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<sst xmlns="http://schemas.openxmlformats.org/spreadsheetml/2006/main" count="4212" uniqueCount="1107">
  <si>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</si>
  <si>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</si>
  <si>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</si>
  <si>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</si>
  <si>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</si>
  <si>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</si>
  <si>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</si>
  <si>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</si>
  <si>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</si>
  <si>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</si>
  <si>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</si>
  <si>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</si>
  <si>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</si>
  <si>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</si>
  <si>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</si>
  <si>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</si>
  <si>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</si>
  <si>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</si>
  <si>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</si>
  <si>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</si>
  <si>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</si>
  <si>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</si>
  <si>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</si>
  <si>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</si>
  <si>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</si>
  <si>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</si>
  <si>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</si>
  <si>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</si>
  <si>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</si>
  <si>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</si>
  <si>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</si>
  <si>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</si>
  <si>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</si>
  <si>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</si>
  <si>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</si>
  <si>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</si>
  <si>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</si>
  <si>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</si>
  <si>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</si>
  <si>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</si>
  <si>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</si>
  <si>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</si>
  <si>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2022/01</t>
  </si>
  <si>
    <t>1305</t>
  </si>
  <si>
    <t>ダイワ上場投信－トピックス　受益証券</t>
  </si>
  <si>
    <t>Daiwa ETF-TOPIX</t>
  </si>
  <si>
    <t/>
  </si>
  <si>
    <t>貸借</t>
  </si>
  <si>
    <t>4</t>
  </si>
  <si>
    <t>5</t>
  </si>
  <si>
    <t>27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</si>
  <si>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</si>
  <si>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</si>
  <si>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</si>
  <si>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</si>
  <si>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</si>
  <si>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</si>
  <si>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</si>
  <si>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</si>
  <si>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</si>
  <si>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</si>
  <si>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6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</si>
  <si>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</si>
  <si>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</si>
  <si>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</si>
  <si>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</si>
  <si>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</si>
  <si>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</si>
  <si>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7</t>
  </si>
  <si>
    <t>28</t>
  </si>
  <si>
    <t>1313</t>
  </si>
  <si>
    <t>サムスンＫＯＤＥＸ２００証券上場指数投資信託[株式]　受益証券</t>
  </si>
  <si>
    <t>SAMSUNG KODEX200 SECURITIES EXCHANGE TRADED FUND [STOCK]</t>
  </si>
  <si>
    <t>1319</t>
  </si>
  <si>
    <t>ＮＥＸＴ　ＦＵＮＤＳ　日経３００株価指数連動型上場投信　受益証券</t>
  </si>
  <si>
    <t>NEXT FUNDS Nikkei 300 Index Exchange Traded Fund</t>
  </si>
  <si>
    <t>25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</si>
  <si>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</si>
  <si>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</si>
  <si>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</si>
  <si>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</si>
  <si>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</si>
  <si>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</si>
  <si>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</si>
  <si>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</si>
  <si>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</si>
  <si>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21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</si>
  <si>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</si>
  <si>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</si>
  <si>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</si>
  <si>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18</t>
  </si>
  <si>
    <t>1324</t>
  </si>
  <si>
    <t>ＮＥＸＴ　ＦＵＮＤＳ　ロシア株式指数・ＲＴＳ連動型上場投信　受益証券</t>
  </si>
  <si>
    <t>NEXT FUNDS Russia RTS Linked Exchange Traded Fund</t>
  </si>
  <si>
    <t>12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</si>
  <si>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</si>
  <si>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</si>
  <si>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</si>
  <si>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</si>
  <si>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</si>
  <si>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</si>
  <si>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</si>
  <si>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</si>
  <si>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</si>
  <si>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</si>
  <si>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</si>
  <si>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</si>
  <si>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</si>
  <si>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</si>
  <si>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</si>
  <si>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</si>
  <si>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</si>
  <si>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</si>
  <si>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</si>
  <si>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</si>
  <si>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</si>
  <si>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</si>
  <si>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</si>
  <si>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</si>
  <si>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</si>
  <si>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</si>
  <si>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</si>
  <si>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</si>
  <si>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</si>
  <si>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</si>
  <si>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</si>
  <si>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</si>
  <si>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</si>
  <si>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</si>
  <si>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</si>
  <si>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</si>
  <si>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</si>
  <si>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</si>
  <si>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</si>
  <si>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</si>
  <si>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</si>
  <si>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</si>
  <si>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</si>
  <si>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</si>
  <si>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</si>
  <si>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</si>
  <si>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</si>
  <si>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</si>
  <si>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</si>
  <si>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</si>
  <si>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</si>
  <si>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</si>
  <si>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</si>
  <si>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</si>
  <si>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</si>
  <si>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</si>
  <si>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</si>
  <si>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</si>
  <si>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</si>
  <si>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</si>
  <si>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</si>
  <si>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</si>
  <si>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</si>
  <si>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</si>
  <si>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</si>
  <si>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</si>
  <si>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</si>
  <si>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</si>
  <si>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</si>
  <si>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</si>
  <si>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</si>
  <si>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</si>
  <si>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</si>
  <si>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</si>
  <si>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</si>
  <si>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</si>
  <si>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</si>
  <si>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</si>
  <si>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</si>
  <si>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</si>
  <si>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</si>
  <si>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</si>
  <si>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</si>
  <si>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</si>
  <si>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</si>
  <si>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</si>
  <si>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</si>
  <si>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</si>
  <si>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</si>
  <si>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</si>
  <si>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</si>
  <si>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</si>
  <si>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</si>
  <si>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</si>
  <si>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</si>
  <si>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</si>
  <si>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</si>
  <si>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</si>
  <si>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</si>
  <si>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17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</si>
  <si>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</si>
  <si>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</si>
  <si>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</si>
  <si>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</si>
  <si>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</si>
  <si>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</si>
  <si>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</si>
  <si>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</si>
  <si>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</si>
  <si>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</si>
  <si>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</si>
  <si>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</si>
  <si>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</si>
  <si>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</si>
  <si>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</si>
  <si>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</si>
  <si>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</si>
  <si>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</si>
  <si>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</si>
  <si>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</si>
  <si>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</si>
  <si>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</si>
  <si>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</si>
  <si>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</si>
  <si>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13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</si>
  <si>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</si>
  <si>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</si>
  <si>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</si>
  <si>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</si>
  <si>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</si>
  <si>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</si>
  <si>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</si>
  <si>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</si>
  <si>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</si>
  <si>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確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</si>
  <si>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</si>
  <si>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</si>
  <si>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</si>
  <si>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</si>
  <si>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</si>
  <si>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</si>
  <si>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</si>
  <si>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</si>
  <si>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</si>
  <si>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</si>
  <si>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</si>
  <si>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</si>
  <si>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</si>
  <si>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</si>
  <si>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</si>
  <si>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</si>
  <si>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</si>
  <si>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</si>
  <si>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</si>
  <si>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</si>
  <si>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</si>
  <si>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</si>
  <si>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</si>
  <si>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</si>
  <si>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</si>
  <si>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</si>
  <si>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</si>
  <si>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</si>
  <si>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</si>
  <si>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</si>
  <si>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</si>
  <si>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</si>
  <si>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</si>
  <si>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19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</si>
  <si>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</si>
  <si>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</si>
  <si>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</si>
  <si>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</si>
  <si>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</si>
  <si>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</si>
  <si>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</si>
  <si>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</si>
  <si>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</si>
  <si>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</si>
  <si>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</si>
  <si>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</si>
  <si>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</si>
  <si>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</si>
  <si>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</si>
  <si>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</si>
  <si>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</si>
  <si>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</si>
  <si>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</si>
  <si>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</si>
  <si>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</si>
  <si>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</si>
  <si>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</si>
  <si>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</si>
  <si>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24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</si>
  <si>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</si>
  <si>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</si>
  <si>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</si>
  <si>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</si>
  <si>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</si>
  <si>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</si>
  <si>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</si>
  <si>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</si>
  <si>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</si>
  <si>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</si>
  <si>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</si>
  <si>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</si>
  <si>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</si>
  <si>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</si>
  <si>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</si>
  <si>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</si>
  <si>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</si>
  <si>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</si>
  <si>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</si>
  <si>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</si>
  <si>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</si>
  <si>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</si>
  <si>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</si>
  <si>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</si>
  <si>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20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</si>
  <si>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</si>
  <si>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</si>
  <si>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</si>
  <si>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</si>
  <si>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</si>
  <si>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</si>
  <si>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11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</si>
  <si>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</si>
  <si>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</si>
  <si>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</si>
  <si>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</si>
  <si>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</si>
  <si>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</si>
  <si>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</si>
  <si>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</si>
  <si>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</si>
  <si>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</si>
  <si>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</si>
  <si>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</si>
  <si>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</si>
  <si>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</si>
  <si>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</si>
  <si>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</si>
  <si>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</si>
  <si>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</si>
  <si>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</si>
  <si>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</si>
  <si>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</si>
  <si>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</si>
  <si>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</si>
  <si>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</si>
  <si>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</si>
  <si>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</si>
  <si>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</si>
  <si>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</si>
  <si>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</si>
  <si>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</si>
  <si>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</si>
  <si>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</si>
  <si>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</si>
  <si>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</si>
  <si>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</si>
  <si>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</si>
  <si>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</si>
  <si>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</si>
  <si>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</si>
  <si>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</si>
  <si>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</si>
  <si>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</si>
  <si>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</si>
  <si>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</si>
  <si>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</si>
  <si>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</si>
  <si>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</si>
  <si>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</si>
  <si>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</si>
  <si>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</si>
  <si>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</si>
  <si>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</si>
  <si>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</si>
  <si>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</si>
  <si>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</si>
  <si>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</si>
  <si>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</si>
  <si>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</si>
  <si>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</si>
  <si>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</si>
  <si>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</si>
  <si>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</si>
  <si>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</si>
  <si>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</si>
  <si>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</si>
  <si>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</si>
  <si>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</si>
  <si>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</si>
  <si>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</si>
  <si>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</si>
  <si>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</si>
  <si>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</si>
  <si>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</si>
  <si>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</si>
  <si>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</si>
  <si>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</si>
  <si>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</si>
  <si>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</si>
  <si>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</si>
  <si>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</si>
  <si>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</si>
  <si>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14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</si>
  <si>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</si>
  <si>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</si>
  <si>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</si>
  <si>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</si>
  <si>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</si>
  <si>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</si>
  <si>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</si>
  <si>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</si>
  <si>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</si>
  <si>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</si>
  <si>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</si>
  <si>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</si>
  <si>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</si>
  <si>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</si>
  <si>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</si>
  <si>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</si>
  <si>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</si>
  <si>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</si>
  <si>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</si>
  <si>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</si>
  <si>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</si>
  <si>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</si>
  <si>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</si>
  <si>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</si>
  <si>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</si>
  <si>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</si>
  <si>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</si>
  <si>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</si>
  <si>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</si>
  <si>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</si>
  <si>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</si>
  <si>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</si>
  <si>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</si>
  <si>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</si>
  <si>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</si>
  <si>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</si>
  <si>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</si>
  <si>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</si>
  <si>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</si>
  <si>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</si>
  <si>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</si>
  <si>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</si>
  <si>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</si>
  <si>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</si>
  <si>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</si>
  <si>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</si>
  <si>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</si>
  <si>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</si>
  <si>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</si>
  <si>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</si>
  <si>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</si>
  <si>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</si>
  <si>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</si>
  <si>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</si>
  <si>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</si>
  <si>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</si>
  <si>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</si>
  <si>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</si>
  <si>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</si>
  <si>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</si>
  <si>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</si>
  <si>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</si>
  <si>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</si>
  <si>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26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</si>
  <si>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</si>
  <si>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</si>
  <si>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</si>
  <si>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</si>
  <si>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</si>
  <si>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</si>
  <si>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</si>
  <si>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</si>
  <si>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</si>
  <si>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</si>
  <si>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</si>
  <si>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</si>
  <si>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</si>
  <si>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</si>
  <si>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</si>
  <si>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</si>
  <si>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</si>
  <si>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</si>
  <si>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</si>
  <si>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</si>
  <si>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</si>
  <si>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</si>
  <si>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</si>
  <si>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</si>
  <si>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</si>
  <si>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</si>
  <si>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</si>
  <si>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</si>
  <si>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</si>
  <si>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</si>
  <si>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</si>
  <si>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</si>
  <si>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</si>
  <si>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</si>
  <si>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</si>
  <si>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</si>
  <si>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</si>
  <si>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</si>
  <si>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</si>
  <si>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</si>
  <si>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</si>
  <si>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</si>
  <si>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</si>
  <si>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</si>
  <si>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</si>
  <si>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</si>
  <si>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</si>
  <si>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</si>
  <si>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</si>
  <si>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</si>
  <si>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</si>
  <si>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</si>
  <si>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</si>
  <si>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</si>
  <si>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</si>
  <si>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</si>
  <si>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</si>
  <si>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</si>
  <si>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</si>
  <si>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</si>
  <si>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</si>
  <si>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</si>
  <si>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</si>
  <si>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</si>
  <si>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</si>
  <si>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</si>
  <si>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</si>
  <si>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</si>
  <si>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</si>
  <si>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</si>
  <si>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</si>
  <si>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</si>
  <si>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</si>
  <si>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</si>
  <si>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</si>
  <si>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</si>
  <si>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</si>
  <si>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</si>
  <si>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</si>
  <si>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</si>
  <si>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</si>
  <si>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</si>
  <si>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</si>
  <si>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</si>
  <si>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</si>
  <si>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</si>
  <si>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</si>
  <si>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</si>
  <si>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</si>
  <si>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</si>
  <si>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</si>
  <si>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</si>
  <si>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</si>
  <si>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</si>
  <si>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</si>
  <si>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</si>
  <si>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</si>
  <si>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</si>
  <si>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</si>
  <si>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</si>
  <si>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</si>
  <si>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</si>
  <si>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</si>
  <si>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</si>
  <si>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</si>
  <si>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</si>
  <si>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</si>
  <si>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</si>
  <si>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</si>
  <si>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</si>
  <si>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</si>
  <si>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</si>
  <si>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</si>
  <si>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</si>
  <si>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</si>
  <si>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</si>
  <si>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</si>
  <si>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</si>
  <si>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</si>
  <si>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</si>
  <si>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</si>
  <si>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</si>
  <si>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</si>
  <si>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</si>
  <si>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</si>
  <si>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</si>
  <si>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</si>
  <si>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</si>
  <si>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</si>
  <si>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</si>
  <si>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</si>
  <si>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</si>
  <si>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</si>
  <si>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</si>
  <si>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</si>
  <si>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</si>
  <si>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</si>
  <si>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</si>
  <si>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</si>
  <si>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</si>
  <si>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</si>
  <si>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</si>
  <si>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</si>
  <si>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</si>
  <si>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</si>
  <si>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</si>
  <si>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</si>
  <si>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</si>
  <si>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</si>
  <si>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</si>
  <si>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</si>
  <si>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</si>
  <si>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</si>
  <si>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</si>
  <si>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</si>
  <si>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</si>
  <si>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</si>
  <si>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</si>
  <si>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</si>
  <si>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</si>
  <si>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</si>
  <si>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</si>
  <si>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</si>
  <si>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</si>
  <si>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</si>
  <si>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</si>
  <si>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</si>
  <si>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</si>
  <si>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</si>
  <si>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</si>
  <si>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</si>
  <si>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</si>
  <si>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</si>
  <si>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</si>
  <si>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</si>
  <si>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</si>
  <si>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</si>
  <si>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</si>
  <si>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</si>
  <si>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</si>
  <si>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</si>
  <si>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</si>
  <si>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</si>
  <si>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</si>
  <si>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</si>
  <si>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</si>
  <si>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</si>
  <si>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</si>
  <si>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</si>
  <si>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</si>
  <si>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</si>
  <si>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</si>
  <si>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</si>
  <si>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</si>
  <si>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</si>
  <si>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</si>
  <si>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</si>
  <si>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</si>
  <si>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</si>
  <si>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</si>
  <si>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</si>
  <si>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</si>
  <si>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</si>
  <si>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</si>
  <si>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</si>
  <si>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</si>
  <si>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</si>
  <si>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</si>
  <si>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</si>
  <si>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</si>
  <si>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</si>
  <si>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</si>
  <si>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</si>
  <si>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</si>
  <si>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</si>
  <si>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</si>
  <si>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</si>
  <si>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</si>
  <si>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</si>
  <si>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</si>
  <si>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</si>
  <si>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</si>
  <si>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</si>
  <si>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</si>
  <si>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</si>
  <si>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</si>
  <si>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</si>
  <si>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</si>
  <si>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</si>
  <si>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</si>
  <si>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</si>
  <si>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</si>
  <si>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</si>
  <si>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</si>
  <si>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</si>
  <si>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</si>
  <si>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</si>
  <si>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</si>
  <si>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</si>
  <si>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</si>
  <si>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</si>
  <si>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</si>
  <si>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</si>
  <si>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</si>
  <si>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</si>
  <si>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</si>
  <si>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</si>
  <si>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</si>
  <si>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</si>
  <si>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</si>
  <si>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</si>
  <si>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</si>
  <si>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</si>
  <si>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</si>
  <si>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</si>
  <si>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</si>
  <si>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</si>
  <si>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</si>
  <si>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</si>
  <si>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</si>
  <si>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</si>
  <si>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</si>
  <si>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</si>
  <si>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</si>
  <si>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</si>
  <si>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</si>
  <si>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</si>
  <si>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</si>
  <si>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</si>
  <si>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</si>
  <si>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</si>
  <si>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</si>
  <si>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</si>
  <si>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</si>
  <si>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</si>
  <si>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</si>
  <si>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</si>
  <si>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</si>
  <si>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</si>
  <si>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</si>
  <si>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</si>
  <si>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</si>
  <si>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</si>
  <si>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</si>
  <si>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</si>
  <si>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</si>
  <si>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</si>
  <si>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</si>
  <si>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</si>
  <si>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</si>
  <si>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</si>
  <si>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</si>
  <si>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</si>
  <si>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</si>
  <si>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</si>
  <si>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</si>
  <si>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</si>
  <si>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</si>
  <si>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</si>
  <si>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</si>
  <si>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</si>
  <si>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</si>
  <si>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</si>
  <si>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</si>
  <si>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</si>
  <si>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</si>
  <si>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</si>
  <si>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</si>
  <si>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</si>
  <si>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</si>
  <si>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</si>
  <si>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</si>
  <si>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</si>
  <si>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</si>
  <si>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</si>
  <si>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</si>
  <si>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</si>
  <si>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</si>
  <si>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</si>
  <si>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</si>
  <si>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</si>
  <si>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</si>
  <si>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</si>
  <si>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</si>
  <si>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</si>
  <si>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</si>
  <si>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</si>
  <si>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</si>
  <si>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</si>
  <si>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</si>
  <si>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</si>
  <si>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</si>
  <si>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</si>
  <si>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</si>
  <si>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</si>
  <si>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</si>
  <si>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</si>
  <si>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</si>
  <si>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</si>
  <si>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</si>
  <si>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</si>
  <si>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</si>
  <si>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</si>
  <si>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</si>
  <si>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</si>
  <si>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</si>
  <si>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</si>
  <si>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</si>
  <si>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</si>
  <si>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</si>
  <si>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</si>
  <si>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</si>
  <si>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</si>
  <si>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</si>
  <si>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</si>
  <si>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</si>
  <si>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</si>
  <si>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</si>
  <si>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</si>
  <si>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</si>
  <si>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</si>
  <si>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</si>
  <si>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</si>
  <si>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</si>
  <si>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</si>
  <si>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</si>
  <si>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</si>
  <si>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</si>
  <si>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</si>
  <si>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</si>
  <si>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</si>
  <si>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</si>
  <si>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</si>
  <si>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</si>
  <si>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</si>
  <si>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</si>
  <si>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</si>
  <si>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</si>
  <si>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</si>
  <si>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</si>
  <si>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</si>
  <si>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</si>
  <si>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</si>
  <si>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</si>
  <si>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</si>
  <si>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</si>
  <si>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</si>
  <si>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</si>
  <si>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</si>
  <si>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</si>
  <si>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</si>
  <si>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</si>
  <si>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</si>
  <si>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</si>
  <si>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</si>
  <si>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</si>
  <si>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</si>
  <si>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</si>
  <si>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</si>
  <si>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</si>
  <si>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</si>
  <si>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</si>
  <si>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</si>
  <si>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</si>
  <si>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</si>
  <si>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</si>
  <si>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</si>
  <si>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</si>
  <si>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</si>
  <si>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</si>
  <si>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</si>
  <si>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</si>
  <si>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</si>
  <si>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</si>
  <si>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</si>
  <si>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</si>
  <si>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</si>
  <si>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</si>
  <si>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</si>
  <si>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</si>
  <si>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</si>
  <si>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 xml:space="preserve">新規上場  </t>
  </si>
  <si>
    <t xml:space="preserve">New Listing  </t>
  </si>
  <si>
    <t xml:space="preserve">2022/01/14  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</si>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</sst>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5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2124</f>
        <v>2124.0</v>
      </c>
      <c r="L7" s="34" t="s">
        <v>48</v>
      </c>
      <c r="M7" s="33" t="n">
        <f>2151.5</f>
        <v>2151.5</v>
      </c>
      <c r="N7" s="34" t="s">
        <v>49</v>
      </c>
      <c r="O7" s="33" t="n">
        <f>1932</f>
        <v>1932.0</v>
      </c>
      <c r="P7" s="34" t="s">
        <v>50</v>
      </c>
      <c r="Q7" s="33" t="n">
        <f>1998.5</f>
        <v>1998.5</v>
      </c>
      <c r="R7" s="34" t="s">
        <v>51</v>
      </c>
      <c r="S7" s="35" t="n">
        <f>2058.89</f>
        <v>2058.89</v>
      </c>
      <c r="T7" s="32" t="n">
        <f>6983730</f>
        <v>6983730.0</v>
      </c>
      <c r="U7" s="32" t="n">
        <f>1503850</f>
        <v>1503850.0</v>
      </c>
      <c r="V7" s="32" t="n">
        <f>14338092900</f>
        <v>1.43380929E10</v>
      </c>
      <c r="W7" s="32" t="n">
        <f>3129667120</f>
        <v>3.12966712E9</v>
      </c>
      <c r="X7" s="36" t="n">
        <f>19</f>
        <v>19.0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2100.5</f>
        <v>2100.5</v>
      </c>
      <c r="L8" s="34" t="s">
        <v>48</v>
      </c>
      <c r="M8" s="33" t="n">
        <f>2127</f>
        <v>2127.0</v>
      </c>
      <c r="N8" s="34" t="s">
        <v>49</v>
      </c>
      <c r="O8" s="33" t="n">
        <f>1911</f>
        <v>1911.0</v>
      </c>
      <c r="P8" s="34" t="s">
        <v>50</v>
      </c>
      <c r="Q8" s="33" t="n">
        <f>1973.5</f>
        <v>1973.5</v>
      </c>
      <c r="R8" s="34" t="s">
        <v>51</v>
      </c>
      <c r="S8" s="35" t="n">
        <f>2035.82</f>
        <v>2035.82</v>
      </c>
      <c r="T8" s="32" t="n">
        <f>53672000</f>
        <v>5.3672E7</v>
      </c>
      <c r="U8" s="32" t="n">
        <f>5197720</f>
        <v>5197720.0</v>
      </c>
      <c r="V8" s="32" t="n">
        <f>108032678295</f>
        <v>1.08032678295E11</v>
      </c>
      <c r="W8" s="32" t="n">
        <f>10169123975</f>
        <v>1.0169123975E10</v>
      </c>
      <c r="X8" s="36" t="n">
        <f>19</f>
        <v>19.0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2078.5</f>
        <v>2078.5</v>
      </c>
      <c r="L9" s="34" t="s">
        <v>48</v>
      </c>
      <c r="M9" s="33" t="n">
        <f>2103</f>
        <v>2103.0</v>
      </c>
      <c r="N9" s="34" t="s">
        <v>49</v>
      </c>
      <c r="O9" s="33" t="n">
        <f>1890</f>
        <v>1890.0</v>
      </c>
      <c r="P9" s="34" t="s">
        <v>50</v>
      </c>
      <c r="Q9" s="33" t="n">
        <f>1952</f>
        <v>1952.0</v>
      </c>
      <c r="R9" s="34" t="s">
        <v>51</v>
      </c>
      <c r="S9" s="35" t="n">
        <f>2013.24</f>
        <v>2013.24</v>
      </c>
      <c r="T9" s="32" t="n">
        <f>5367700</f>
        <v>5367700.0</v>
      </c>
      <c r="U9" s="32" t="n">
        <f>18600</f>
        <v>18600.0</v>
      </c>
      <c r="V9" s="32" t="n">
        <f>10660067660</f>
        <v>1.066006766E10</v>
      </c>
      <c r="W9" s="32" t="n">
        <f>37709810</f>
        <v>3.770981E7</v>
      </c>
      <c r="X9" s="36" t="n">
        <f>19</f>
        <v>19.0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44330</f>
        <v>44330.0</v>
      </c>
      <c r="L10" s="34" t="s">
        <v>48</v>
      </c>
      <c r="M10" s="33" t="n">
        <f>44860</f>
        <v>44860.0</v>
      </c>
      <c r="N10" s="34" t="s">
        <v>61</v>
      </c>
      <c r="O10" s="33" t="n">
        <f>41760</f>
        <v>41760.0</v>
      </c>
      <c r="P10" s="34" t="s">
        <v>51</v>
      </c>
      <c r="Q10" s="33" t="n">
        <f>41830</f>
        <v>41830.0</v>
      </c>
      <c r="R10" s="34" t="s">
        <v>51</v>
      </c>
      <c r="S10" s="35" t="n">
        <f>43463.16</f>
        <v>43463.16</v>
      </c>
      <c r="T10" s="32" t="n">
        <f>3718</f>
        <v>3718.0</v>
      </c>
      <c r="U10" s="32" t="str">
        <f>"－"</f>
        <v>－</v>
      </c>
      <c r="V10" s="32" t="n">
        <f>161277420</f>
        <v>1.6127742E8</v>
      </c>
      <c r="W10" s="32" t="str">
        <f>"－"</f>
        <v>－</v>
      </c>
      <c r="X10" s="36" t="n">
        <f>19</f>
        <v>19.0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1030</f>
        <v>1030.0</v>
      </c>
      <c r="L11" s="34" t="s">
        <v>48</v>
      </c>
      <c r="M11" s="33" t="n">
        <f>1044</f>
        <v>1044.0</v>
      </c>
      <c r="N11" s="34" t="s">
        <v>49</v>
      </c>
      <c r="O11" s="33" t="n">
        <f>899</f>
        <v>899.0</v>
      </c>
      <c r="P11" s="34" t="s">
        <v>50</v>
      </c>
      <c r="Q11" s="33" t="n">
        <f>938</f>
        <v>938.0</v>
      </c>
      <c r="R11" s="34" t="s">
        <v>51</v>
      </c>
      <c r="S11" s="35" t="n">
        <f>982.86</f>
        <v>982.86</v>
      </c>
      <c r="T11" s="32" t="n">
        <f>512670</f>
        <v>512670.0</v>
      </c>
      <c r="U11" s="32" t="n">
        <f>100070</f>
        <v>100070.0</v>
      </c>
      <c r="V11" s="32" t="n">
        <f>499131476</f>
        <v>4.99131476E8</v>
      </c>
      <c r="W11" s="32" t="n">
        <f>95443116</f>
        <v>9.5443116E7</v>
      </c>
      <c r="X11" s="36" t="n">
        <f>19</f>
        <v>19.0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20515</f>
        <v>20515.0</v>
      </c>
      <c r="L12" s="34" t="s">
        <v>48</v>
      </c>
      <c r="M12" s="33" t="n">
        <f>21085</f>
        <v>21085.0</v>
      </c>
      <c r="N12" s="34" t="s">
        <v>68</v>
      </c>
      <c r="O12" s="33" t="n">
        <f>19000</f>
        <v>19000.0</v>
      </c>
      <c r="P12" s="34" t="s">
        <v>69</v>
      </c>
      <c r="Q12" s="33" t="n">
        <f>19660</f>
        <v>19660.0</v>
      </c>
      <c r="R12" s="34" t="s">
        <v>51</v>
      </c>
      <c r="S12" s="35" t="n">
        <f>20020.26</f>
        <v>20020.26</v>
      </c>
      <c r="T12" s="32" t="n">
        <f>691</f>
        <v>691.0</v>
      </c>
      <c r="U12" s="32" t="str">
        <f>"－"</f>
        <v>－</v>
      </c>
      <c r="V12" s="32" t="n">
        <f>13767810</f>
        <v>1.376781E7</v>
      </c>
      <c r="W12" s="32" t="str">
        <f>"－"</f>
        <v>－</v>
      </c>
      <c r="X12" s="36" t="n">
        <f>19</f>
        <v>19.0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3985</f>
        <v>3985.0</v>
      </c>
      <c r="L13" s="34" t="s">
        <v>48</v>
      </c>
      <c r="M13" s="33" t="n">
        <f>4048</f>
        <v>4048.0</v>
      </c>
      <c r="N13" s="34" t="s">
        <v>69</v>
      </c>
      <c r="O13" s="33" t="n">
        <f>3400</f>
        <v>3400.0</v>
      </c>
      <c r="P13" s="34" t="s">
        <v>50</v>
      </c>
      <c r="Q13" s="33" t="n">
        <f>3591</f>
        <v>3591.0</v>
      </c>
      <c r="R13" s="34" t="s">
        <v>51</v>
      </c>
      <c r="S13" s="35" t="n">
        <f>3737.21</f>
        <v>3737.21</v>
      </c>
      <c r="T13" s="32" t="n">
        <f>2020</f>
        <v>2020.0</v>
      </c>
      <c r="U13" s="32" t="n">
        <f>10</f>
        <v>10.0</v>
      </c>
      <c r="V13" s="32" t="n">
        <f>7522160</f>
        <v>7522160.0</v>
      </c>
      <c r="W13" s="32" t="n">
        <f>35900</f>
        <v>35900.0</v>
      </c>
      <c r="X13" s="36" t="n">
        <f>14</f>
        <v>14.0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373.6</f>
        <v>373.6</v>
      </c>
      <c r="L14" s="34" t="s">
        <v>49</v>
      </c>
      <c r="M14" s="33" t="n">
        <f>376.7</f>
        <v>376.7</v>
      </c>
      <c r="N14" s="34" t="s">
        <v>49</v>
      </c>
      <c r="O14" s="33" t="n">
        <f>334.1</f>
        <v>334.1</v>
      </c>
      <c r="P14" s="34" t="s">
        <v>76</v>
      </c>
      <c r="Q14" s="33" t="n">
        <f>352</f>
        <v>352.0</v>
      </c>
      <c r="R14" s="34" t="s">
        <v>51</v>
      </c>
      <c r="S14" s="35" t="n">
        <f>360.38</f>
        <v>360.38</v>
      </c>
      <c r="T14" s="32" t="n">
        <f>93000</f>
        <v>93000.0</v>
      </c>
      <c r="U14" s="32" t="n">
        <f>2000</f>
        <v>2000.0</v>
      </c>
      <c r="V14" s="32" t="n">
        <f>32886600</f>
        <v>3.28866E7</v>
      </c>
      <c r="W14" s="32" t="n">
        <f>719100</f>
        <v>719100.0</v>
      </c>
      <c r="X14" s="36" t="n">
        <f>15</f>
        <v>15.0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29955</f>
        <v>29955.0</v>
      </c>
      <c r="L15" s="34" t="s">
        <v>48</v>
      </c>
      <c r="M15" s="33" t="n">
        <f>30280</f>
        <v>30280.0</v>
      </c>
      <c r="N15" s="34" t="s">
        <v>49</v>
      </c>
      <c r="O15" s="33" t="n">
        <f>26860</f>
        <v>26860.0</v>
      </c>
      <c r="P15" s="34" t="s">
        <v>50</v>
      </c>
      <c r="Q15" s="33" t="n">
        <f>27855</f>
        <v>27855.0</v>
      </c>
      <c r="R15" s="34" t="s">
        <v>51</v>
      </c>
      <c r="S15" s="35" t="n">
        <f>28761.58</f>
        <v>28761.58</v>
      </c>
      <c r="T15" s="32" t="n">
        <f>2394678</f>
        <v>2394678.0</v>
      </c>
      <c r="U15" s="32" t="n">
        <f>799188</f>
        <v>799188.0</v>
      </c>
      <c r="V15" s="32" t="n">
        <f>69424580943</f>
        <v>6.9424580943E10</v>
      </c>
      <c r="W15" s="32" t="n">
        <f>23588622588</f>
        <v>2.3588622588E10</v>
      </c>
      <c r="X15" s="36" t="n">
        <f>19</f>
        <v>19.0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30020</f>
        <v>30020.0</v>
      </c>
      <c r="L16" s="34" t="s">
        <v>48</v>
      </c>
      <c r="M16" s="33" t="n">
        <f>30370</f>
        <v>30370.0</v>
      </c>
      <c r="N16" s="34" t="s">
        <v>49</v>
      </c>
      <c r="O16" s="33" t="n">
        <f>26945</f>
        <v>26945.0</v>
      </c>
      <c r="P16" s="34" t="s">
        <v>50</v>
      </c>
      <c r="Q16" s="33" t="n">
        <f>27910</f>
        <v>27910.0</v>
      </c>
      <c r="R16" s="34" t="s">
        <v>51</v>
      </c>
      <c r="S16" s="35" t="n">
        <f>28824.21</f>
        <v>28824.21</v>
      </c>
      <c r="T16" s="32" t="n">
        <f>5712819</f>
        <v>5712819.0</v>
      </c>
      <c r="U16" s="32" t="n">
        <f>306685</f>
        <v>306685.0</v>
      </c>
      <c r="V16" s="32" t="n">
        <f>163528015240</f>
        <v>1.6352801524E11</v>
      </c>
      <c r="W16" s="32" t="n">
        <f>8654593405</f>
        <v>8.654593405E9</v>
      </c>
      <c r="X16" s="36" t="n">
        <f>19</f>
        <v>19.0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8423</f>
        <v>8423.0</v>
      </c>
      <c r="L17" s="34" t="s">
        <v>48</v>
      </c>
      <c r="M17" s="33" t="n">
        <f>8559</f>
        <v>8559.0</v>
      </c>
      <c r="N17" s="34" t="s">
        <v>86</v>
      </c>
      <c r="O17" s="33" t="n">
        <f>8000</f>
        <v>8000.0</v>
      </c>
      <c r="P17" s="34" t="s">
        <v>51</v>
      </c>
      <c r="Q17" s="33" t="n">
        <f>8067</f>
        <v>8067.0</v>
      </c>
      <c r="R17" s="34" t="s">
        <v>51</v>
      </c>
      <c r="S17" s="35" t="n">
        <f>8260.79</f>
        <v>8260.79</v>
      </c>
      <c r="T17" s="32" t="n">
        <f>4810</f>
        <v>4810.0</v>
      </c>
      <c r="U17" s="32" t="str">
        <f>"－"</f>
        <v>－</v>
      </c>
      <c r="V17" s="32" t="n">
        <f>39955960</f>
        <v>3.995596E7</v>
      </c>
      <c r="W17" s="32" t="str">
        <f>"－"</f>
        <v>－</v>
      </c>
      <c r="X17" s="36" t="n">
        <f>19</f>
        <v>19.0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474</f>
        <v>474.0</v>
      </c>
      <c r="L18" s="34" t="s">
        <v>48</v>
      </c>
      <c r="M18" s="33" t="n">
        <f>505.9</f>
        <v>505.9</v>
      </c>
      <c r="N18" s="34" t="s">
        <v>90</v>
      </c>
      <c r="O18" s="33" t="n">
        <f>471.3</f>
        <v>471.3</v>
      </c>
      <c r="P18" s="34" t="s">
        <v>61</v>
      </c>
      <c r="Q18" s="33" t="n">
        <f>485.9</f>
        <v>485.9</v>
      </c>
      <c r="R18" s="34" t="s">
        <v>51</v>
      </c>
      <c r="S18" s="35" t="n">
        <f>488.5</f>
        <v>488.5</v>
      </c>
      <c r="T18" s="32" t="n">
        <f>98000</f>
        <v>98000.0</v>
      </c>
      <c r="U18" s="32" t="str">
        <f>"－"</f>
        <v>－</v>
      </c>
      <c r="V18" s="32" t="n">
        <f>48067360</f>
        <v>4.806736E7</v>
      </c>
      <c r="W18" s="32" t="str">
        <f>"－"</f>
        <v>－</v>
      </c>
      <c r="X18" s="36" t="n">
        <f>19</f>
        <v>19.0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163.5</f>
        <v>163.5</v>
      </c>
      <c r="L19" s="34" t="s">
        <v>48</v>
      </c>
      <c r="M19" s="33" t="n">
        <f>167</f>
        <v>167.0</v>
      </c>
      <c r="N19" s="34" t="s">
        <v>94</v>
      </c>
      <c r="O19" s="33" t="n">
        <f>139.5</f>
        <v>139.5</v>
      </c>
      <c r="P19" s="34" t="s">
        <v>76</v>
      </c>
      <c r="Q19" s="33" t="n">
        <f>146.8</f>
        <v>146.8</v>
      </c>
      <c r="R19" s="34" t="s">
        <v>51</v>
      </c>
      <c r="S19" s="35" t="n">
        <f>153.52</f>
        <v>153.52</v>
      </c>
      <c r="T19" s="32" t="n">
        <f>900400</f>
        <v>900400.0</v>
      </c>
      <c r="U19" s="32" t="str">
        <f>"－"</f>
        <v>－</v>
      </c>
      <c r="V19" s="32" t="n">
        <f>137883850</f>
        <v>1.3788385E8</v>
      </c>
      <c r="W19" s="32" t="str">
        <f>"－"</f>
        <v>－</v>
      </c>
      <c r="X19" s="36" t="n">
        <f>19</f>
        <v>19.0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162.5</f>
        <v>162.5</v>
      </c>
      <c r="L20" s="34" t="s">
        <v>48</v>
      </c>
      <c r="M20" s="33" t="n">
        <f>175.9</f>
        <v>175.9</v>
      </c>
      <c r="N20" s="34" t="s">
        <v>51</v>
      </c>
      <c r="O20" s="33" t="n">
        <f>160</f>
        <v>160.0</v>
      </c>
      <c r="P20" s="34" t="s">
        <v>61</v>
      </c>
      <c r="Q20" s="33" t="n">
        <f>175.9</f>
        <v>175.9</v>
      </c>
      <c r="R20" s="34" t="s">
        <v>51</v>
      </c>
      <c r="S20" s="35" t="n">
        <f>167.57</f>
        <v>167.57</v>
      </c>
      <c r="T20" s="32" t="n">
        <f>509400</f>
        <v>509400.0</v>
      </c>
      <c r="U20" s="32" t="n">
        <f>1700</f>
        <v>1700.0</v>
      </c>
      <c r="V20" s="32" t="n">
        <f>85684600</f>
        <v>8.56846E7</v>
      </c>
      <c r="W20" s="32" t="n">
        <f>288230</f>
        <v>288230.0</v>
      </c>
      <c r="X20" s="36" t="n">
        <f>19</f>
        <v>19.0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19425</f>
        <v>19425.0</v>
      </c>
      <c r="L21" s="34" t="s">
        <v>48</v>
      </c>
      <c r="M21" s="33" t="n">
        <f>19695</f>
        <v>19695.0</v>
      </c>
      <c r="N21" s="34" t="s">
        <v>49</v>
      </c>
      <c r="O21" s="33" t="n">
        <f>19255</f>
        <v>19255.0</v>
      </c>
      <c r="P21" s="34" t="s">
        <v>51</v>
      </c>
      <c r="Q21" s="33" t="n">
        <f>19280</f>
        <v>19280.0</v>
      </c>
      <c r="R21" s="34" t="s">
        <v>51</v>
      </c>
      <c r="S21" s="35" t="n">
        <f>19501.84</f>
        <v>19501.84</v>
      </c>
      <c r="T21" s="32" t="n">
        <f>130166</f>
        <v>130166.0</v>
      </c>
      <c r="U21" s="32" t="str">
        <f>"－"</f>
        <v>－</v>
      </c>
      <c r="V21" s="32" t="n">
        <f>2540253900</f>
        <v>2.5402539E9</v>
      </c>
      <c r="W21" s="32" t="str">
        <f>"－"</f>
        <v>－</v>
      </c>
      <c r="X21" s="36" t="n">
        <f>19</f>
        <v>19.0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5253</f>
        <v>5253.0</v>
      </c>
      <c r="L22" s="34" t="s">
        <v>48</v>
      </c>
      <c r="M22" s="33" t="n">
        <f>5326</f>
        <v>5326.0</v>
      </c>
      <c r="N22" s="34" t="s">
        <v>49</v>
      </c>
      <c r="O22" s="33" t="n">
        <f>5201</f>
        <v>5201.0</v>
      </c>
      <c r="P22" s="34" t="s">
        <v>51</v>
      </c>
      <c r="Q22" s="33" t="n">
        <f>5215</f>
        <v>5215.0</v>
      </c>
      <c r="R22" s="34" t="s">
        <v>51</v>
      </c>
      <c r="S22" s="35" t="n">
        <f>5271.79</f>
        <v>5271.79</v>
      </c>
      <c r="T22" s="32" t="n">
        <f>88850</f>
        <v>88850.0</v>
      </c>
      <c r="U22" s="32" t="n">
        <f>50</f>
        <v>50.0</v>
      </c>
      <c r="V22" s="32" t="n">
        <f>468376330</f>
        <v>4.6837633E8</v>
      </c>
      <c r="W22" s="32" t="n">
        <f>263190</f>
        <v>263190.0</v>
      </c>
      <c r="X22" s="36" t="n">
        <f>19</f>
        <v>19.0</v>
      </c>
    </row>
    <row r="23">
      <c r="A23" s="27" t="s">
        <v>42</v>
      </c>
      <c r="B23" s="27" t="s">
        <v>104</v>
      </c>
      <c r="C23" s="27" t="s">
        <v>105</v>
      </c>
      <c r="D23" s="27" t="s">
        <v>106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30160</f>
        <v>30160.0</v>
      </c>
      <c r="L23" s="34" t="s">
        <v>48</v>
      </c>
      <c r="M23" s="33" t="n">
        <f>30480</f>
        <v>30480.0</v>
      </c>
      <c r="N23" s="34" t="s">
        <v>49</v>
      </c>
      <c r="O23" s="33" t="n">
        <f>27020</f>
        <v>27020.0</v>
      </c>
      <c r="P23" s="34" t="s">
        <v>50</v>
      </c>
      <c r="Q23" s="33" t="n">
        <f>28045</f>
        <v>28045.0</v>
      </c>
      <c r="R23" s="34" t="s">
        <v>51</v>
      </c>
      <c r="S23" s="35" t="n">
        <f>28958.95</f>
        <v>28958.95</v>
      </c>
      <c r="T23" s="32" t="n">
        <f>1003308</f>
        <v>1003308.0</v>
      </c>
      <c r="U23" s="32" t="n">
        <f>269437</f>
        <v>269437.0</v>
      </c>
      <c r="V23" s="32" t="n">
        <f>28580899967</f>
        <v>2.8580899967E10</v>
      </c>
      <c r="W23" s="32" t="n">
        <f>7642678327</f>
        <v>7.642678327E9</v>
      </c>
      <c r="X23" s="36" t="n">
        <f>19</f>
        <v>19.0</v>
      </c>
    </row>
    <row r="24">
      <c r="A24" s="27" t="s">
        <v>42</v>
      </c>
      <c r="B24" s="27" t="s">
        <v>107</v>
      </c>
      <c r="C24" s="27" t="s">
        <v>108</v>
      </c>
      <c r="D24" s="27" t="s">
        <v>109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30060</f>
        <v>30060.0</v>
      </c>
      <c r="L24" s="34" t="s">
        <v>48</v>
      </c>
      <c r="M24" s="33" t="n">
        <f>30380</f>
        <v>30380.0</v>
      </c>
      <c r="N24" s="34" t="s">
        <v>49</v>
      </c>
      <c r="O24" s="33" t="n">
        <f>26955</f>
        <v>26955.0</v>
      </c>
      <c r="P24" s="34" t="s">
        <v>50</v>
      </c>
      <c r="Q24" s="33" t="n">
        <f>27930</f>
        <v>27930.0</v>
      </c>
      <c r="R24" s="34" t="s">
        <v>51</v>
      </c>
      <c r="S24" s="35" t="n">
        <f>28852.63</f>
        <v>28852.63</v>
      </c>
      <c r="T24" s="32" t="n">
        <f>1170110</f>
        <v>1170110.0</v>
      </c>
      <c r="U24" s="32" t="n">
        <f>139920</f>
        <v>139920.0</v>
      </c>
      <c r="V24" s="32" t="n">
        <f>33621668035</f>
        <v>3.3621668035E10</v>
      </c>
      <c r="W24" s="32" t="n">
        <f>3959500835</f>
        <v>3.959500835E9</v>
      </c>
      <c r="X24" s="36" t="n">
        <f>19</f>
        <v>19.0</v>
      </c>
    </row>
    <row r="25">
      <c r="A25" s="27" t="s">
        <v>42</v>
      </c>
      <c r="B25" s="27" t="s">
        <v>110</v>
      </c>
      <c r="C25" s="27" t="s">
        <v>111</v>
      </c>
      <c r="D25" s="27" t="s">
        <v>112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2235</f>
        <v>2235.0</v>
      </c>
      <c r="L25" s="34" t="s">
        <v>48</v>
      </c>
      <c r="M25" s="33" t="n">
        <f>2287.5</f>
        <v>2287.5</v>
      </c>
      <c r="N25" s="34" t="s">
        <v>48</v>
      </c>
      <c r="O25" s="33" t="n">
        <f>1928.5</f>
        <v>1928.5</v>
      </c>
      <c r="P25" s="34" t="s">
        <v>86</v>
      </c>
      <c r="Q25" s="33" t="n">
        <f>2102</f>
        <v>2102.0</v>
      </c>
      <c r="R25" s="34" t="s">
        <v>51</v>
      </c>
      <c r="S25" s="35" t="n">
        <f>2111.84</f>
        <v>2111.84</v>
      </c>
      <c r="T25" s="32" t="n">
        <f>22588800</f>
        <v>2.25888E7</v>
      </c>
      <c r="U25" s="32" t="n">
        <f>7454090</f>
        <v>7454090.0</v>
      </c>
      <c r="V25" s="32" t="n">
        <f>47674145248</f>
        <v>4.7674145248E10</v>
      </c>
      <c r="W25" s="32" t="n">
        <f>15643702428</f>
        <v>1.5643702428E10</v>
      </c>
      <c r="X25" s="36" t="n">
        <f>19</f>
        <v>19.0</v>
      </c>
    </row>
    <row r="26">
      <c r="A26" s="27" t="s">
        <v>42</v>
      </c>
      <c r="B26" s="27" t="s">
        <v>113</v>
      </c>
      <c r="C26" s="27" t="s">
        <v>114</v>
      </c>
      <c r="D26" s="27" t="s">
        <v>115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100.0</v>
      </c>
      <c r="K26" s="33" t="n">
        <f>2096.5</f>
        <v>2096.5</v>
      </c>
      <c r="L26" s="34" t="s">
        <v>48</v>
      </c>
      <c r="M26" s="33" t="n">
        <f>2116</f>
        <v>2116.0</v>
      </c>
      <c r="N26" s="34" t="s">
        <v>48</v>
      </c>
      <c r="O26" s="33" t="n">
        <f>1810.5</f>
        <v>1810.5</v>
      </c>
      <c r="P26" s="34" t="s">
        <v>86</v>
      </c>
      <c r="Q26" s="33" t="n">
        <f>1978</f>
        <v>1978.0</v>
      </c>
      <c r="R26" s="34" t="s">
        <v>51</v>
      </c>
      <c r="S26" s="35" t="n">
        <f>1987</f>
        <v>1987.0</v>
      </c>
      <c r="T26" s="32" t="n">
        <f>3608800</f>
        <v>3608800.0</v>
      </c>
      <c r="U26" s="32" t="n">
        <f>650700</f>
        <v>650700.0</v>
      </c>
      <c r="V26" s="32" t="n">
        <f>7008822759</f>
        <v>7.008822759E9</v>
      </c>
      <c r="W26" s="32" t="n">
        <f>1234148709</f>
        <v>1.234148709E9</v>
      </c>
      <c r="X26" s="36" t="n">
        <f>19</f>
        <v>19.0</v>
      </c>
    </row>
    <row r="27">
      <c r="A27" s="27" t="s">
        <v>42</v>
      </c>
      <c r="B27" s="27" t="s">
        <v>116</v>
      </c>
      <c r="C27" s="27" t="s">
        <v>117</v>
      </c>
      <c r="D27" s="27" t="s">
        <v>118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30150</f>
        <v>30150.0</v>
      </c>
      <c r="L27" s="34" t="s">
        <v>48</v>
      </c>
      <c r="M27" s="33" t="n">
        <f>30500</f>
        <v>30500.0</v>
      </c>
      <c r="N27" s="34" t="s">
        <v>49</v>
      </c>
      <c r="O27" s="33" t="n">
        <f>26835</f>
        <v>26835.0</v>
      </c>
      <c r="P27" s="34" t="s">
        <v>50</v>
      </c>
      <c r="Q27" s="33" t="n">
        <f>27815</f>
        <v>27815.0</v>
      </c>
      <c r="R27" s="34" t="s">
        <v>51</v>
      </c>
      <c r="S27" s="35" t="n">
        <f>28810.79</f>
        <v>28810.79</v>
      </c>
      <c r="T27" s="32" t="n">
        <f>490687</f>
        <v>490687.0</v>
      </c>
      <c r="U27" s="32" t="n">
        <f>6251</f>
        <v>6251.0</v>
      </c>
      <c r="V27" s="32" t="n">
        <f>14029325725</f>
        <v>1.4029325725E10</v>
      </c>
      <c r="W27" s="32" t="n">
        <f>174835740</f>
        <v>1.7483574E8</v>
      </c>
      <c r="X27" s="36" t="n">
        <f>19</f>
        <v>19.0</v>
      </c>
    </row>
    <row r="28">
      <c r="A28" s="27" t="s">
        <v>42</v>
      </c>
      <c r="B28" s="27" t="s">
        <v>119</v>
      </c>
      <c r="C28" s="27" t="s">
        <v>120</v>
      </c>
      <c r="D28" s="27" t="s">
        <v>121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2099</f>
        <v>2099.0</v>
      </c>
      <c r="L28" s="34" t="s">
        <v>48</v>
      </c>
      <c r="M28" s="33" t="n">
        <f>2127</f>
        <v>2127.0</v>
      </c>
      <c r="N28" s="34" t="s">
        <v>49</v>
      </c>
      <c r="O28" s="33" t="n">
        <f>1893</f>
        <v>1893.0</v>
      </c>
      <c r="P28" s="34" t="s">
        <v>50</v>
      </c>
      <c r="Q28" s="33" t="n">
        <f>1959</f>
        <v>1959.0</v>
      </c>
      <c r="R28" s="34" t="s">
        <v>51</v>
      </c>
      <c r="S28" s="35" t="n">
        <f>2024.82</f>
        <v>2024.82</v>
      </c>
      <c r="T28" s="32" t="n">
        <f>4728560</f>
        <v>4728560.0</v>
      </c>
      <c r="U28" s="32" t="n">
        <f>1841780</f>
        <v>1841780.0</v>
      </c>
      <c r="V28" s="32" t="n">
        <f>9581908420</f>
        <v>9.58190842E9</v>
      </c>
      <c r="W28" s="32" t="n">
        <f>3750017390</f>
        <v>3.75001739E9</v>
      </c>
      <c r="X28" s="36" t="n">
        <f>19</f>
        <v>19.0</v>
      </c>
    </row>
    <row r="29">
      <c r="A29" s="27" t="s">
        <v>42</v>
      </c>
      <c r="B29" s="27" t="s">
        <v>122</v>
      </c>
      <c r="C29" s="27" t="s">
        <v>123</v>
      </c>
      <c r="D29" s="27" t="s">
        <v>124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13785</f>
        <v>13785.0</v>
      </c>
      <c r="L29" s="34" t="s">
        <v>48</v>
      </c>
      <c r="M29" s="33" t="n">
        <f>13940</f>
        <v>13940.0</v>
      </c>
      <c r="N29" s="34" t="s">
        <v>49</v>
      </c>
      <c r="O29" s="33" t="n">
        <f>13350</f>
        <v>13350.0</v>
      </c>
      <c r="P29" s="34" t="s">
        <v>50</v>
      </c>
      <c r="Q29" s="33" t="n">
        <f>13535</f>
        <v>13535.0</v>
      </c>
      <c r="R29" s="34" t="s">
        <v>51</v>
      </c>
      <c r="S29" s="35" t="n">
        <f>13641.94</f>
        <v>13641.94</v>
      </c>
      <c r="T29" s="32" t="n">
        <f>876</f>
        <v>876.0</v>
      </c>
      <c r="U29" s="32" t="str">
        <f>"－"</f>
        <v>－</v>
      </c>
      <c r="V29" s="32" t="n">
        <f>11910070</f>
        <v>1.191007E7</v>
      </c>
      <c r="W29" s="32" t="str">
        <f>"－"</f>
        <v>－</v>
      </c>
      <c r="X29" s="36" t="n">
        <f>18</f>
        <v>18.0</v>
      </c>
    </row>
    <row r="30">
      <c r="A30" s="27" t="s">
        <v>42</v>
      </c>
      <c r="B30" s="27" t="s">
        <v>125</v>
      </c>
      <c r="C30" s="27" t="s">
        <v>126</v>
      </c>
      <c r="D30" s="27" t="s">
        <v>127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996.7</f>
        <v>996.7</v>
      </c>
      <c r="L30" s="34" t="s">
        <v>48</v>
      </c>
      <c r="M30" s="33" t="n">
        <f>1190.5</f>
        <v>1190.5</v>
      </c>
      <c r="N30" s="34" t="s">
        <v>50</v>
      </c>
      <c r="O30" s="33" t="n">
        <f>970</f>
        <v>970.0</v>
      </c>
      <c r="P30" s="34" t="s">
        <v>49</v>
      </c>
      <c r="Q30" s="33" t="n">
        <f>1112</f>
        <v>1112.0</v>
      </c>
      <c r="R30" s="34" t="s">
        <v>51</v>
      </c>
      <c r="S30" s="35" t="n">
        <f>1056.71</f>
        <v>1056.71</v>
      </c>
      <c r="T30" s="32" t="n">
        <f>9557460</f>
        <v>9557460.0</v>
      </c>
      <c r="U30" s="32" t="n">
        <f>630</f>
        <v>630.0</v>
      </c>
      <c r="V30" s="32" t="n">
        <f>10164650293</f>
        <v>1.0164650293E10</v>
      </c>
      <c r="W30" s="32" t="n">
        <f>702285</f>
        <v>702285.0</v>
      </c>
      <c r="X30" s="36" t="n">
        <f>19</f>
        <v>19.0</v>
      </c>
    </row>
    <row r="31">
      <c r="A31" s="27" t="s">
        <v>42</v>
      </c>
      <c r="B31" s="27" t="s">
        <v>128</v>
      </c>
      <c r="C31" s="27" t="s">
        <v>129</v>
      </c>
      <c r="D31" s="27" t="s">
        <v>130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379</f>
        <v>379.0</v>
      </c>
      <c r="L31" s="34" t="s">
        <v>48</v>
      </c>
      <c r="M31" s="33" t="n">
        <f>465</f>
        <v>465.0</v>
      </c>
      <c r="N31" s="34" t="s">
        <v>50</v>
      </c>
      <c r="O31" s="33" t="n">
        <f>369</f>
        <v>369.0</v>
      </c>
      <c r="P31" s="34" t="s">
        <v>49</v>
      </c>
      <c r="Q31" s="33" t="n">
        <f>431</f>
        <v>431.0</v>
      </c>
      <c r="R31" s="34" t="s">
        <v>51</v>
      </c>
      <c r="S31" s="35" t="n">
        <f>408.74</f>
        <v>408.74</v>
      </c>
      <c r="T31" s="32" t="n">
        <f>1559373223</f>
        <v>1.559373223E9</v>
      </c>
      <c r="U31" s="32" t="n">
        <f>3100751</f>
        <v>3100751.0</v>
      </c>
      <c r="V31" s="32" t="n">
        <f>646763911188</f>
        <v>6.46763911188E11</v>
      </c>
      <c r="W31" s="32" t="n">
        <f>1317818300</f>
        <v>1.3178183E9</v>
      </c>
      <c r="X31" s="36" t="n">
        <f>19</f>
        <v>19.0</v>
      </c>
    </row>
    <row r="32">
      <c r="A32" s="27" t="s">
        <v>42</v>
      </c>
      <c r="B32" s="27" t="s">
        <v>131</v>
      </c>
      <c r="C32" s="27" t="s">
        <v>132</v>
      </c>
      <c r="D32" s="27" t="s">
        <v>133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29575</f>
        <v>29575.0</v>
      </c>
      <c r="L32" s="34" t="s">
        <v>48</v>
      </c>
      <c r="M32" s="33" t="n">
        <f>30280</f>
        <v>30280.0</v>
      </c>
      <c r="N32" s="34" t="s">
        <v>49</v>
      </c>
      <c r="O32" s="33" t="n">
        <f>23685</f>
        <v>23685.0</v>
      </c>
      <c r="P32" s="34" t="s">
        <v>50</v>
      </c>
      <c r="Q32" s="33" t="n">
        <f>25520</f>
        <v>25520.0</v>
      </c>
      <c r="R32" s="34" t="s">
        <v>51</v>
      </c>
      <c r="S32" s="35" t="n">
        <f>27287.37</f>
        <v>27287.37</v>
      </c>
      <c r="T32" s="32" t="n">
        <f>748070</f>
        <v>748070.0</v>
      </c>
      <c r="U32" s="32" t="n">
        <f>1</f>
        <v>1.0</v>
      </c>
      <c r="V32" s="32" t="n">
        <f>20054993760</f>
        <v>2.005499376E10</v>
      </c>
      <c r="W32" s="32" t="n">
        <f>25520</f>
        <v>25520.0</v>
      </c>
      <c r="X32" s="36" t="n">
        <f>19</f>
        <v>19.0</v>
      </c>
    </row>
    <row r="33">
      <c r="A33" s="27" t="s">
        <v>42</v>
      </c>
      <c r="B33" s="27" t="s">
        <v>134</v>
      </c>
      <c r="C33" s="27" t="s">
        <v>135</v>
      </c>
      <c r="D33" s="27" t="s">
        <v>136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10.0</v>
      </c>
      <c r="K33" s="33" t="n">
        <f>925.7</f>
        <v>925.7</v>
      </c>
      <c r="L33" s="34" t="s">
        <v>48</v>
      </c>
      <c r="M33" s="33" t="n">
        <f>1135.5</f>
        <v>1135.5</v>
      </c>
      <c r="N33" s="34" t="s">
        <v>50</v>
      </c>
      <c r="O33" s="33" t="n">
        <f>903.2</f>
        <v>903.2</v>
      </c>
      <c r="P33" s="34" t="s">
        <v>49</v>
      </c>
      <c r="Q33" s="33" t="n">
        <f>1054.5</f>
        <v>1054.5</v>
      </c>
      <c r="R33" s="34" t="s">
        <v>51</v>
      </c>
      <c r="S33" s="35" t="n">
        <f>998.66</f>
        <v>998.66</v>
      </c>
      <c r="T33" s="32" t="n">
        <f>274494990</f>
        <v>2.7449499E8</v>
      </c>
      <c r="U33" s="32" t="n">
        <f>4000</f>
        <v>4000.0</v>
      </c>
      <c r="V33" s="32" t="n">
        <f>276278782849</f>
        <v>2.76278782849E11</v>
      </c>
      <c r="W33" s="32" t="n">
        <f>4020000</f>
        <v>4020000.0</v>
      </c>
      <c r="X33" s="36" t="n">
        <f>19</f>
        <v>19.0</v>
      </c>
    </row>
    <row r="34">
      <c r="A34" s="27" t="s">
        <v>42</v>
      </c>
      <c r="B34" s="27" t="s">
        <v>137</v>
      </c>
      <c r="C34" s="27" t="s">
        <v>138</v>
      </c>
      <c r="D34" s="27" t="s">
        <v>139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18620</f>
        <v>18620.0</v>
      </c>
      <c r="L34" s="34" t="s">
        <v>48</v>
      </c>
      <c r="M34" s="33" t="n">
        <f>18975</f>
        <v>18975.0</v>
      </c>
      <c r="N34" s="34" t="s">
        <v>49</v>
      </c>
      <c r="O34" s="33" t="n">
        <f>17000</f>
        <v>17000.0</v>
      </c>
      <c r="P34" s="34" t="s">
        <v>50</v>
      </c>
      <c r="Q34" s="33" t="n">
        <f>17570</f>
        <v>17570.0</v>
      </c>
      <c r="R34" s="34" t="s">
        <v>51</v>
      </c>
      <c r="S34" s="35" t="n">
        <f>18112.89</f>
        <v>18112.89</v>
      </c>
      <c r="T34" s="32" t="n">
        <f>5782</f>
        <v>5782.0</v>
      </c>
      <c r="U34" s="32" t="str">
        <f>"－"</f>
        <v>－</v>
      </c>
      <c r="V34" s="32" t="n">
        <f>104203675</f>
        <v>1.04203675E8</v>
      </c>
      <c r="W34" s="32" t="str">
        <f>"－"</f>
        <v>－</v>
      </c>
      <c r="X34" s="36" t="n">
        <f>19</f>
        <v>19.0</v>
      </c>
    </row>
    <row r="35">
      <c r="A35" s="27" t="s">
        <v>42</v>
      </c>
      <c r="B35" s="27" t="s">
        <v>140</v>
      </c>
      <c r="C35" s="27" t="s">
        <v>141</v>
      </c>
      <c r="D35" s="27" t="s">
        <v>142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24650</f>
        <v>24650.0</v>
      </c>
      <c r="L35" s="34" t="s">
        <v>48</v>
      </c>
      <c r="M35" s="33" t="n">
        <f>25190</f>
        <v>25190.0</v>
      </c>
      <c r="N35" s="34" t="s">
        <v>49</v>
      </c>
      <c r="O35" s="33" t="n">
        <f>19680</f>
        <v>19680.0</v>
      </c>
      <c r="P35" s="34" t="s">
        <v>50</v>
      </c>
      <c r="Q35" s="33" t="n">
        <f>21165</f>
        <v>21165.0</v>
      </c>
      <c r="R35" s="34" t="s">
        <v>51</v>
      </c>
      <c r="S35" s="35" t="n">
        <f>22663.42</f>
        <v>22663.42</v>
      </c>
      <c r="T35" s="32" t="n">
        <f>1427422</f>
        <v>1427422.0</v>
      </c>
      <c r="U35" s="32" t="str">
        <f>"－"</f>
        <v>－</v>
      </c>
      <c r="V35" s="32" t="n">
        <f>31807664415</f>
        <v>3.1807664415E10</v>
      </c>
      <c r="W35" s="32" t="str">
        <f>"－"</f>
        <v>－</v>
      </c>
      <c r="X35" s="36" t="n">
        <f>19</f>
        <v>19.0</v>
      </c>
    </row>
    <row r="36">
      <c r="A36" s="27" t="s">
        <v>42</v>
      </c>
      <c r="B36" s="27" t="s">
        <v>143</v>
      </c>
      <c r="C36" s="27" t="s">
        <v>144</v>
      </c>
      <c r="D36" s="27" t="s">
        <v>145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989</f>
        <v>989.0</v>
      </c>
      <c r="L36" s="34" t="s">
        <v>48</v>
      </c>
      <c r="M36" s="33" t="n">
        <f>1215</f>
        <v>1215.0</v>
      </c>
      <c r="N36" s="34" t="s">
        <v>50</v>
      </c>
      <c r="O36" s="33" t="n">
        <f>966</f>
        <v>966.0</v>
      </c>
      <c r="P36" s="34" t="s">
        <v>49</v>
      </c>
      <c r="Q36" s="33" t="n">
        <f>1128</f>
        <v>1128.0</v>
      </c>
      <c r="R36" s="34" t="s">
        <v>51</v>
      </c>
      <c r="S36" s="35" t="n">
        <f>1068.11</f>
        <v>1068.11</v>
      </c>
      <c r="T36" s="32" t="n">
        <f>26314154</f>
        <v>2.6314154E7</v>
      </c>
      <c r="U36" s="32" t="n">
        <f>90324</f>
        <v>90324.0</v>
      </c>
      <c r="V36" s="32" t="n">
        <f>28462272000</f>
        <v>2.8462272E10</v>
      </c>
      <c r="W36" s="32" t="n">
        <f>103167089</f>
        <v>1.03167089E8</v>
      </c>
      <c r="X36" s="36" t="n">
        <f>19</f>
        <v>19.0</v>
      </c>
    </row>
    <row r="37">
      <c r="A37" s="27" t="s">
        <v>42</v>
      </c>
      <c r="B37" s="27" t="s">
        <v>146</v>
      </c>
      <c r="C37" s="27" t="s">
        <v>147</v>
      </c>
      <c r="D37" s="27" t="s">
        <v>148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19945</f>
        <v>19945.0</v>
      </c>
      <c r="L37" s="34" t="s">
        <v>48</v>
      </c>
      <c r="M37" s="33" t="n">
        <f>20515</f>
        <v>20515.0</v>
      </c>
      <c r="N37" s="34" t="s">
        <v>49</v>
      </c>
      <c r="O37" s="33" t="n">
        <f>16480</f>
        <v>16480.0</v>
      </c>
      <c r="P37" s="34" t="s">
        <v>50</v>
      </c>
      <c r="Q37" s="33" t="n">
        <f>17580</f>
        <v>17580.0</v>
      </c>
      <c r="R37" s="34" t="s">
        <v>51</v>
      </c>
      <c r="S37" s="35" t="n">
        <f>18777.37</f>
        <v>18777.37</v>
      </c>
      <c r="T37" s="32" t="n">
        <f>192623</f>
        <v>192623.0</v>
      </c>
      <c r="U37" s="32" t="n">
        <f>20</f>
        <v>20.0</v>
      </c>
      <c r="V37" s="32" t="n">
        <f>3551716675</f>
        <v>3.551716675E9</v>
      </c>
      <c r="W37" s="32" t="n">
        <f>309600</f>
        <v>309600.0</v>
      </c>
      <c r="X37" s="36" t="n">
        <f>19</f>
        <v>19.0</v>
      </c>
    </row>
    <row r="38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1448</f>
        <v>1448.0</v>
      </c>
      <c r="L38" s="34" t="s">
        <v>48</v>
      </c>
      <c r="M38" s="33" t="n">
        <f>1726</f>
        <v>1726.0</v>
      </c>
      <c r="N38" s="34" t="s">
        <v>50</v>
      </c>
      <c r="O38" s="33" t="n">
        <f>1407</f>
        <v>1407.0</v>
      </c>
      <c r="P38" s="34" t="s">
        <v>49</v>
      </c>
      <c r="Q38" s="33" t="n">
        <f>1615</f>
        <v>1615.0</v>
      </c>
      <c r="R38" s="34" t="s">
        <v>51</v>
      </c>
      <c r="S38" s="35" t="n">
        <f>1532.84</f>
        <v>1532.84</v>
      </c>
      <c r="T38" s="32" t="n">
        <f>1175740</f>
        <v>1175740.0</v>
      </c>
      <c r="U38" s="32" t="str">
        <f>"－"</f>
        <v>－</v>
      </c>
      <c r="V38" s="32" t="n">
        <f>1821191881</f>
        <v>1.821191881E9</v>
      </c>
      <c r="W38" s="32" t="str">
        <f>"－"</f>
        <v>－</v>
      </c>
      <c r="X38" s="36" t="n">
        <f>19</f>
        <v>19.0</v>
      </c>
    </row>
    <row r="39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29235</f>
        <v>29235.0</v>
      </c>
      <c r="L39" s="34" t="s">
        <v>48</v>
      </c>
      <c r="M39" s="33" t="n">
        <f>29515</f>
        <v>29515.0</v>
      </c>
      <c r="N39" s="34" t="s">
        <v>49</v>
      </c>
      <c r="O39" s="33" t="n">
        <f>26050</f>
        <v>26050.0</v>
      </c>
      <c r="P39" s="34" t="s">
        <v>50</v>
      </c>
      <c r="Q39" s="33" t="n">
        <f>26995</f>
        <v>26995.0</v>
      </c>
      <c r="R39" s="34" t="s">
        <v>51</v>
      </c>
      <c r="S39" s="35" t="n">
        <f>27904.21</f>
        <v>27904.21</v>
      </c>
      <c r="T39" s="32" t="n">
        <f>1391486</f>
        <v>1391486.0</v>
      </c>
      <c r="U39" s="32" t="n">
        <f>1131000</f>
        <v>1131000.0</v>
      </c>
      <c r="V39" s="32" t="n">
        <f>39523117825</f>
        <v>3.9523117825E10</v>
      </c>
      <c r="W39" s="32" t="n">
        <f>32256834300</f>
        <v>3.22568343E10</v>
      </c>
      <c r="X39" s="36" t="n">
        <f>19</f>
        <v>19.0</v>
      </c>
    </row>
    <row r="40">
      <c r="A40" s="27" t="s">
        <v>42</v>
      </c>
      <c r="B40" s="27" t="s">
        <v>155</v>
      </c>
      <c r="C40" s="27" t="s">
        <v>156</v>
      </c>
      <c r="D40" s="27" t="s">
        <v>157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5689</f>
        <v>5689.0</v>
      </c>
      <c r="L40" s="34" t="s">
        <v>48</v>
      </c>
      <c r="M40" s="33" t="n">
        <f>5834</f>
        <v>5834.0</v>
      </c>
      <c r="N40" s="34" t="s">
        <v>49</v>
      </c>
      <c r="O40" s="33" t="n">
        <f>5299</f>
        <v>5299.0</v>
      </c>
      <c r="P40" s="34" t="s">
        <v>76</v>
      </c>
      <c r="Q40" s="33" t="n">
        <f>5448</f>
        <v>5448.0</v>
      </c>
      <c r="R40" s="34" t="s">
        <v>51</v>
      </c>
      <c r="S40" s="35" t="n">
        <f>5603.63</f>
        <v>5603.63</v>
      </c>
      <c r="T40" s="32" t="n">
        <f>4526</f>
        <v>4526.0</v>
      </c>
      <c r="U40" s="32" t="n">
        <f>870</f>
        <v>870.0</v>
      </c>
      <c r="V40" s="32" t="n">
        <f>25556357</f>
        <v>2.5556357E7</v>
      </c>
      <c r="W40" s="32" t="n">
        <f>4971528</f>
        <v>4971528.0</v>
      </c>
      <c r="X40" s="36" t="n">
        <f>19</f>
        <v>19.0</v>
      </c>
    </row>
    <row r="41">
      <c r="A41" s="27" t="s">
        <v>42</v>
      </c>
      <c r="B41" s="27" t="s">
        <v>158</v>
      </c>
      <c r="C41" s="27" t="s">
        <v>159</v>
      </c>
      <c r="D41" s="27" t="s">
        <v>160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10400</f>
        <v>10400.0</v>
      </c>
      <c r="L41" s="34" t="s">
        <v>48</v>
      </c>
      <c r="M41" s="33" t="n">
        <f>10545</f>
        <v>10545.0</v>
      </c>
      <c r="N41" s="34" t="s">
        <v>49</v>
      </c>
      <c r="O41" s="33" t="n">
        <f>9694</f>
        <v>9694.0</v>
      </c>
      <c r="P41" s="34" t="s">
        <v>69</v>
      </c>
      <c r="Q41" s="33" t="n">
        <f>9838</f>
        <v>9838.0</v>
      </c>
      <c r="R41" s="34" t="s">
        <v>51</v>
      </c>
      <c r="S41" s="35" t="n">
        <f>10162.47</f>
        <v>10162.47</v>
      </c>
      <c r="T41" s="32" t="n">
        <f>1399</f>
        <v>1399.0</v>
      </c>
      <c r="U41" s="32" t="str">
        <f>"－"</f>
        <v>－</v>
      </c>
      <c r="V41" s="32" t="n">
        <f>14204078</f>
        <v>1.4204078E7</v>
      </c>
      <c r="W41" s="32" t="str">
        <f>"－"</f>
        <v>－</v>
      </c>
      <c r="X41" s="36" t="n">
        <f>19</f>
        <v>19.0</v>
      </c>
    </row>
    <row r="42">
      <c r="A42" s="27" t="s">
        <v>42</v>
      </c>
      <c r="B42" s="27" t="s">
        <v>161</v>
      </c>
      <c r="C42" s="27" t="s">
        <v>162</v>
      </c>
      <c r="D42" s="27" t="s">
        <v>163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20215</f>
        <v>20215.0</v>
      </c>
      <c r="L42" s="34" t="s">
        <v>48</v>
      </c>
      <c r="M42" s="33" t="n">
        <f>20420</f>
        <v>20420.0</v>
      </c>
      <c r="N42" s="34" t="s">
        <v>61</v>
      </c>
      <c r="O42" s="33" t="n">
        <f>18605</f>
        <v>18605.0</v>
      </c>
      <c r="P42" s="34" t="s">
        <v>50</v>
      </c>
      <c r="Q42" s="33" t="n">
        <f>19095</f>
        <v>19095.0</v>
      </c>
      <c r="R42" s="34" t="s">
        <v>51</v>
      </c>
      <c r="S42" s="35" t="n">
        <f>19585.36</f>
        <v>19585.36</v>
      </c>
      <c r="T42" s="32" t="n">
        <f>237</f>
        <v>237.0</v>
      </c>
      <c r="U42" s="32" t="str">
        <f>"－"</f>
        <v>－</v>
      </c>
      <c r="V42" s="32" t="n">
        <f>4642945</f>
        <v>4642945.0</v>
      </c>
      <c r="W42" s="32" t="str">
        <f>"－"</f>
        <v>－</v>
      </c>
      <c r="X42" s="36" t="n">
        <f>14</f>
        <v>14.0</v>
      </c>
    </row>
    <row r="43">
      <c r="A43" s="27" t="s">
        <v>42</v>
      </c>
      <c r="B43" s="27" t="s">
        <v>164</v>
      </c>
      <c r="C43" s="27" t="s">
        <v>165</v>
      </c>
      <c r="D43" s="27" t="s">
        <v>166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17390</f>
        <v>17390.0</v>
      </c>
      <c r="L43" s="34" t="s">
        <v>48</v>
      </c>
      <c r="M43" s="33" t="n">
        <f>17805</f>
        <v>17805.0</v>
      </c>
      <c r="N43" s="34" t="s">
        <v>49</v>
      </c>
      <c r="O43" s="33" t="n">
        <f>15995</f>
        <v>15995.0</v>
      </c>
      <c r="P43" s="34" t="s">
        <v>50</v>
      </c>
      <c r="Q43" s="33" t="n">
        <f>16450</f>
        <v>16450.0</v>
      </c>
      <c r="R43" s="34" t="s">
        <v>51</v>
      </c>
      <c r="S43" s="35" t="n">
        <f>16975.83</f>
        <v>16975.83</v>
      </c>
      <c r="T43" s="32" t="n">
        <f>44</f>
        <v>44.0</v>
      </c>
      <c r="U43" s="32" t="str">
        <f>"－"</f>
        <v>－</v>
      </c>
      <c r="V43" s="32" t="n">
        <f>746240</f>
        <v>746240.0</v>
      </c>
      <c r="W43" s="32" t="str">
        <f>"－"</f>
        <v>－</v>
      </c>
      <c r="X43" s="36" t="n">
        <f>12</f>
        <v>12.0</v>
      </c>
    </row>
    <row r="44">
      <c r="A44" s="27" t="s">
        <v>42</v>
      </c>
      <c r="B44" s="27" t="s">
        <v>167</v>
      </c>
      <c r="C44" s="27" t="s">
        <v>168</v>
      </c>
      <c r="D44" s="27" t="s">
        <v>169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10670</f>
        <v>10670.0</v>
      </c>
      <c r="L44" s="34" t="s">
        <v>48</v>
      </c>
      <c r="M44" s="33" t="n">
        <f>11100</f>
        <v>11100.0</v>
      </c>
      <c r="N44" s="34" t="s">
        <v>90</v>
      </c>
      <c r="O44" s="33" t="n">
        <f>10500</f>
        <v>10500.0</v>
      </c>
      <c r="P44" s="34" t="s">
        <v>76</v>
      </c>
      <c r="Q44" s="33" t="n">
        <f>10670</f>
        <v>10670.0</v>
      </c>
      <c r="R44" s="34" t="s">
        <v>51</v>
      </c>
      <c r="S44" s="35" t="n">
        <f>10818.61</f>
        <v>10818.61</v>
      </c>
      <c r="T44" s="32" t="n">
        <f>2684</f>
        <v>2684.0</v>
      </c>
      <c r="U44" s="32" t="str">
        <f>"－"</f>
        <v>－</v>
      </c>
      <c r="V44" s="32" t="n">
        <f>28828375</f>
        <v>2.8828375E7</v>
      </c>
      <c r="W44" s="32" t="str">
        <f>"－"</f>
        <v>－</v>
      </c>
      <c r="X44" s="36" t="n">
        <f>18</f>
        <v>18.0</v>
      </c>
    </row>
    <row r="45">
      <c r="A45" s="27" t="s">
        <v>42</v>
      </c>
      <c r="B45" s="27" t="s">
        <v>170</v>
      </c>
      <c r="C45" s="27" t="s">
        <v>171</v>
      </c>
      <c r="D45" s="27" t="s">
        <v>172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5428</f>
        <v>5428.0</v>
      </c>
      <c r="L45" s="34" t="s">
        <v>48</v>
      </c>
      <c r="M45" s="33" t="n">
        <f>5499</f>
        <v>5499.0</v>
      </c>
      <c r="N45" s="34" t="s">
        <v>49</v>
      </c>
      <c r="O45" s="33" t="n">
        <f>4960</f>
        <v>4960.0</v>
      </c>
      <c r="P45" s="34" t="s">
        <v>50</v>
      </c>
      <c r="Q45" s="33" t="n">
        <f>5040</f>
        <v>5040.0</v>
      </c>
      <c r="R45" s="34" t="s">
        <v>51</v>
      </c>
      <c r="S45" s="35" t="n">
        <f>5296.84</f>
        <v>5296.84</v>
      </c>
      <c r="T45" s="32" t="n">
        <f>1872</f>
        <v>1872.0</v>
      </c>
      <c r="U45" s="32" t="str">
        <f>"－"</f>
        <v>－</v>
      </c>
      <c r="V45" s="32" t="n">
        <f>9851357</f>
        <v>9851357.0</v>
      </c>
      <c r="W45" s="32" t="str">
        <f>"－"</f>
        <v>－</v>
      </c>
      <c r="X45" s="36" t="n">
        <f>19</f>
        <v>19.0</v>
      </c>
    </row>
    <row r="46">
      <c r="A46" s="27" t="s">
        <v>42</v>
      </c>
      <c r="B46" s="27" t="s">
        <v>173</v>
      </c>
      <c r="C46" s="27" t="s">
        <v>174</v>
      </c>
      <c r="D46" s="27" t="s">
        <v>175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3140</f>
        <v>3140.0</v>
      </c>
      <c r="L46" s="34" t="s">
        <v>48</v>
      </c>
      <c r="M46" s="33" t="n">
        <f>3190</f>
        <v>3190.0</v>
      </c>
      <c r="N46" s="34" t="s">
        <v>49</v>
      </c>
      <c r="O46" s="33" t="n">
        <f>2850</f>
        <v>2850.0</v>
      </c>
      <c r="P46" s="34" t="s">
        <v>50</v>
      </c>
      <c r="Q46" s="33" t="n">
        <f>2964</f>
        <v>2964.0</v>
      </c>
      <c r="R46" s="34" t="s">
        <v>51</v>
      </c>
      <c r="S46" s="35" t="n">
        <f>3014.16</f>
        <v>3014.16</v>
      </c>
      <c r="T46" s="32" t="n">
        <f>10336</f>
        <v>10336.0</v>
      </c>
      <c r="U46" s="32" t="str">
        <f>"－"</f>
        <v>－</v>
      </c>
      <c r="V46" s="32" t="n">
        <f>31331483</f>
        <v>3.1331483E7</v>
      </c>
      <c r="W46" s="32" t="str">
        <f>"－"</f>
        <v>－</v>
      </c>
      <c r="X46" s="36" t="n">
        <f>19</f>
        <v>19.0</v>
      </c>
    </row>
    <row r="47">
      <c r="A47" s="27" t="s">
        <v>42</v>
      </c>
      <c r="B47" s="27" t="s">
        <v>176</v>
      </c>
      <c r="C47" s="27" t="s">
        <v>177</v>
      </c>
      <c r="D47" s="27" t="s">
        <v>178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2843</f>
        <v>2843.0</v>
      </c>
      <c r="L47" s="34" t="s">
        <v>48</v>
      </c>
      <c r="M47" s="33" t="n">
        <f>3000</f>
        <v>3000.0</v>
      </c>
      <c r="N47" s="34" t="s">
        <v>90</v>
      </c>
      <c r="O47" s="33" t="n">
        <f>2802</f>
        <v>2802.0</v>
      </c>
      <c r="P47" s="34" t="s">
        <v>76</v>
      </c>
      <c r="Q47" s="33" t="n">
        <f>2875</f>
        <v>2875.0</v>
      </c>
      <c r="R47" s="34" t="s">
        <v>51</v>
      </c>
      <c r="S47" s="35" t="n">
        <f>2926.58</f>
        <v>2926.58</v>
      </c>
      <c r="T47" s="32" t="n">
        <f>3802</f>
        <v>3802.0</v>
      </c>
      <c r="U47" s="32" t="str">
        <f>"－"</f>
        <v>－</v>
      </c>
      <c r="V47" s="32" t="n">
        <f>11077265</f>
        <v>1.1077265E7</v>
      </c>
      <c r="W47" s="32" t="str">
        <f>"－"</f>
        <v>－</v>
      </c>
      <c r="X47" s="36" t="n">
        <f>19</f>
        <v>19.0</v>
      </c>
    </row>
    <row r="48">
      <c r="A48" s="27" t="s">
        <v>42</v>
      </c>
      <c r="B48" s="27" t="s">
        <v>179</v>
      </c>
      <c r="C48" s="27" t="s">
        <v>180</v>
      </c>
      <c r="D48" s="27" t="s">
        <v>181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54930</f>
        <v>54930.0</v>
      </c>
      <c r="L48" s="34" t="s">
        <v>48</v>
      </c>
      <c r="M48" s="33" t="n">
        <f>55670</f>
        <v>55670.0</v>
      </c>
      <c r="N48" s="34" t="s">
        <v>49</v>
      </c>
      <c r="O48" s="33" t="n">
        <f>48300</f>
        <v>48300.0</v>
      </c>
      <c r="P48" s="34" t="s">
        <v>50</v>
      </c>
      <c r="Q48" s="33" t="n">
        <f>50590</f>
        <v>50590.0</v>
      </c>
      <c r="R48" s="34" t="s">
        <v>51</v>
      </c>
      <c r="S48" s="35" t="n">
        <f>51814.74</f>
        <v>51814.74</v>
      </c>
      <c r="T48" s="32" t="n">
        <f>2467</f>
        <v>2467.0</v>
      </c>
      <c r="U48" s="32" t="str">
        <f>"－"</f>
        <v>－</v>
      </c>
      <c r="V48" s="32" t="n">
        <f>127973960</f>
        <v>1.2797396E8</v>
      </c>
      <c r="W48" s="32" t="str">
        <f>"－"</f>
        <v>－</v>
      </c>
      <c r="X48" s="36" t="n">
        <f>19</f>
        <v>19.0</v>
      </c>
    </row>
    <row r="49">
      <c r="A49" s="27" t="s">
        <v>42</v>
      </c>
      <c r="B49" s="27" t="s">
        <v>182</v>
      </c>
      <c r="C49" s="27" t="s">
        <v>183</v>
      </c>
      <c r="D49" s="27" t="s">
        <v>184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38330</f>
        <v>38330.0</v>
      </c>
      <c r="L49" s="34" t="s">
        <v>48</v>
      </c>
      <c r="M49" s="33" t="n">
        <f>38710</f>
        <v>38710.0</v>
      </c>
      <c r="N49" s="34" t="s">
        <v>49</v>
      </c>
      <c r="O49" s="33" t="n">
        <f>33980</f>
        <v>33980.0</v>
      </c>
      <c r="P49" s="34" t="s">
        <v>50</v>
      </c>
      <c r="Q49" s="33" t="n">
        <f>35620</f>
        <v>35620.0</v>
      </c>
      <c r="R49" s="34" t="s">
        <v>51</v>
      </c>
      <c r="S49" s="35" t="n">
        <f>36550</f>
        <v>36550.0</v>
      </c>
      <c r="T49" s="32" t="n">
        <f>509</f>
        <v>509.0</v>
      </c>
      <c r="U49" s="32" t="str">
        <f>"－"</f>
        <v>－</v>
      </c>
      <c r="V49" s="32" t="n">
        <f>18572980</f>
        <v>1.857298E7</v>
      </c>
      <c r="W49" s="32" t="str">
        <f>"－"</f>
        <v>－</v>
      </c>
      <c r="X49" s="36" t="n">
        <f>17</f>
        <v>17.0</v>
      </c>
    </row>
    <row r="50">
      <c r="A50" s="27" t="s">
        <v>42</v>
      </c>
      <c r="B50" s="27" t="s">
        <v>185</v>
      </c>
      <c r="C50" s="27" t="s">
        <v>186</v>
      </c>
      <c r="D50" s="27" t="s">
        <v>187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29275</f>
        <v>29275.0</v>
      </c>
      <c r="L50" s="34" t="s">
        <v>48</v>
      </c>
      <c r="M50" s="33" t="n">
        <f>29600</f>
        <v>29600.0</v>
      </c>
      <c r="N50" s="34" t="s">
        <v>49</v>
      </c>
      <c r="O50" s="33" t="n">
        <f>26370</f>
        <v>26370.0</v>
      </c>
      <c r="P50" s="34" t="s">
        <v>50</v>
      </c>
      <c r="Q50" s="33" t="n">
        <f>27275</f>
        <v>27275.0</v>
      </c>
      <c r="R50" s="34" t="s">
        <v>51</v>
      </c>
      <c r="S50" s="35" t="n">
        <f>28138.16</f>
        <v>28138.16</v>
      </c>
      <c r="T50" s="32" t="n">
        <f>11443</f>
        <v>11443.0</v>
      </c>
      <c r="U50" s="32" t="str">
        <f>"－"</f>
        <v>－</v>
      </c>
      <c r="V50" s="32" t="n">
        <f>322741485</f>
        <v>3.22741485E8</v>
      </c>
      <c r="W50" s="32" t="str">
        <f>"－"</f>
        <v>－</v>
      </c>
      <c r="X50" s="36" t="n">
        <f>19</f>
        <v>19.0</v>
      </c>
    </row>
    <row r="51">
      <c r="A51" s="27" t="s">
        <v>42</v>
      </c>
      <c r="B51" s="27" t="s">
        <v>188</v>
      </c>
      <c r="C51" s="27" t="s">
        <v>189</v>
      </c>
      <c r="D51" s="27" t="s">
        <v>190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2130</f>
        <v>2130.0</v>
      </c>
      <c r="L51" s="34" t="s">
        <v>48</v>
      </c>
      <c r="M51" s="33" t="n">
        <f>2132</f>
        <v>2132.0</v>
      </c>
      <c r="N51" s="34" t="s">
        <v>49</v>
      </c>
      <c r="O51" s="33" t="n">
        <f>1838</f>
        <v>1838.0</v>
      </c>
      <c r="P51" s="34" t="s">
        <v>86</v>
      </c>
      <c r="Q51" s="33" t="n">
        <f>2005.5</f>
        <v>2005.5</v>
      </c>
      <c r="R51" s="34" t="s">
        <v>51</v>
      </c>
      <c r="S51" s="35" t="n">
        <f>2007.87</f>
        <v>2007.87</v>
      </c>
      <c r="T51" s="32" t="n">
        <f>847230</f>
        <v>847230.0</v>
      </c>
      <c r="U51" s="32" t="n">
        <f>24920</f>
        <v>24920.0</v>
      </c>
      <c r="V51" s="32" t="n">
        <f>1659776085</f>
        <v>1.659776085E9</v>
      </c>
      <c r="W51" s="32" t="n">
        <f>52507440</f>
        <v>5.250744E7</v>
      </c>
      <c r="X51" s="36" t="n">
        <f>19</f>
        <v>19.0</v>
      </c>
    </row>
    <row r="52">
      <c r="A52" s="27" t="s">
        <v>42</v>
      </c>
      <c r="B52" s="27" t="s">
        <v>191</v>
      </c>
      <c r="C52" s="27" t="s">
        <v>192</v>
      </c>
      <c r="D52" s="27" t="s">
        <v>193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1552</f>
        <v>1552.0</v>
      </c>
      <c r="L52" s="34" t="s">
        <v>48</v>
      </c>
      <c r="M52" s="33" t="n">
        <f>1583.5</f>
        <v>1583.5</v>
      </c>
      <c r="N52" s="34" t="s">
        <v>194</v>
      </c>
      <c r="O52" s="33" t="n">
        <f>1509.5</f>
        <v>1509.5</v>
      </c>
      <c r="P52" s="34" t="s">
        <v>50</v>
      </c>
      <c r="Q52" s="33" t="n">
        <f>1544.5</f>
        <v>1544.5</v>
      </c>
      <c r="R52" s="34" t="s">
        <v>51</v>
      </c>
      <c r="S52" s="35" t="n">
        <f>1552.5</f>
        <v>1552.5</v>
      </c>
      <c r="T52" s="32" t="n">
        <f>3280</f>
        <v>3280.0</v>
      </c>
      <c r="U52" s="32" t="str">
        <f>"－"</f>
        <v>－</v>
      </c>
      <c r="V52" s="32" t="n">
        <f>5101985</f>
        <v>5101985.0</v>
      </c>
      <c r="W52" s="32" t="str">
        <f>"－"</f>
        <v>－</v>
      </c>
      <c r="X52" s="36" t="n">
        <f>18</f>
        <v>18.0</v>
      </c>
    </row>
    <row r="53">
      <c r="A53" s="27" t="s">
        <v>42</v>
      </c>
      <c r="B53" s="27" t="s">
        <v>195</v>
      </c>
      <c r="C53" s="27" t="s">
        <v>196</v>
      </c>
      <c r="D53" s="27" t="s">
        <v>197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4185</f>
        <v>4185.0</v>
      </c>
      <c r="L53" s="34" t="s">
        <v>48</v>
      </c>
      <c r="M53" s="33" t="n">
        <f>4645</f>
        <v>4645.0</v>
      </c>
      <c r="N53" s="34" t="s">
        <v>50</v>
      </c>
      <c r="O53" s="33" t="n">
        <f>4140</f>
        <v>4140.0</v>
      </c>
      <c r="P53" s="34" t="s">
        <v>49</v>
      </c>
      <c r="Q53" s="33" t="n">
        <f>4475</f>
        <v>4475.0</v>
      </c>
      <c r="R53" s="34" t="s">
        <v>51</v>
      </c>
      <c r="S53" s="35" t="n">
        <f>4351.84</f>
        <v>4351.84</v>
      </c>
      <c r="T53" s="32" t="n">
        <f>1887465</f>
        <v>1887465.0</v>
      </c>
      <c r="U53" s="32" t="n">
        <f>700000</f>
        <v>700000.0</v>
      </c>
      <c r="V53" s="32" t="n">
        <f>8276135290</f>
        <v>8.27613529E9</v>
      </c>
      <c r="W53" s="32" t="n">
        <f>3013587500</f>
        <v>3.0135875E9</v>
      </c>
      <c r="X53" s="36" t="n">
        <f>19</f>
        <v>19.0</v>
      </c>
    </row>
    <row r="54">
      <c r="A54" s="27" t="s">
        <v>42</v>
      </c>
      <c r="B54" s="27" t="s">
        <v>198</v>
      </c>
      <c r="C54" s="27" t="s">
        <v>199</v>
      </c>
      <c r="D54" s="27" t="s">
        <v>200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4980</f>
        <v>4980.0</v>
      </c>
      <c r="L54" s="34" t="s">
        <v>48</v>
      </c>
      <c r="M54" s="33" t="n">
        <f>5460</f>
        <v>5460.0</v>
      </c>
      <c r="N54" s="34" t="s">
        <v>50</v>
      </c>
      <c r="O54" s="33" t="n">
        <f>4925</f>
        <v>4925.0</v>
      </c>
      <c r="P54" s="34" t="s">
        <v>49</v>
      </c>
      <c r="Q54" s="33" t="n">
        <f>5270</f>
        <v>5270.0</v>
      </c>
      <c r="R54" s="34" t="s">
        <v>51</v>
      </c>
      <c r="S54" s="35" t="n">
        <f>5140</f>
        <v>5140.0</v>
      </c>
      <c r="T54" s="32" t="n">
        <f>941911</f>
        <v>941911.0</v>
      </c>
      <c r="U54" s="32" t="n">
        <f>20000</f>
        <v>20000.0</v>
      </c>
      <c r="V54" s="32" t="n">
        <f>4923956645</f>
        <v>4.923956645E9</v>
      </c>
      <c r="W54" s="32" t="n">
        <f>108312000</f>
        <v>1.08312E8</v>
      </c>
      <c r="X54" s="36" t="n">
        <f>19</f>
        <v>19.0</v>
      </c>
    </row>
    <row r="55">
      <c r="A55" s="27" t="s">
        <v>42</v>
      </c>
      <c r="B55" s="27" t="s">
        <v>201</v>
      </c>
      <c r="C55" s="27" t="s">
        <v>202</v>
      </c>
      <c r="D55" s="27" t="s">
        <v>203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18685</f>
        <v>18685.0</v>
      </c>
      <c r="L55" s="34" t="s">
        <v>48</v>
      </c>
      <c r="M55" s="33" t="n">
        <f>19100</f>
        <v>19100.0</v>
      </c>
      <c r="N55" s="34" t="s">
        <v>49</v>
      </c>
      <c r="O55" s="33" t="n">
        <f>14930</f>
        <v>14930.0</v>
      </c>
      <c r="P55" s="34" t="s">
        <v>50</v>
      </c>
      <c r="Q55" s="33" t="n">
        <f>16070</f>
        <v>16070.0</v>
      </c>
      <c r="R55" s="34" t="s">
        <v>51</v>
      </c>
      <c r="S55" s="35" t="n">
        <f>17194.74</f>
        <v>17194.74</v>
      </c>
      <c r="T55" s="32" t="n">
        <f>15521927</f>
        <v>1.5521927E7</v>
      </c>
      <c r="U55" s="32" t="str">
        <f>"－"</f>
        <v>－</v>
      </c>
      <c r="V55" s="32" t="n">
        <f>263438381920</f>
        <v>2.6343838192E11</v>
      </c>
      <c r="W55" s="32" t="str">
        <f>"－"</f>
        <v>－</v>
      </c>
      <c r="X55" s="36" t="n">
        <f>19</f>
        <v>19.0</v>
      </c>
    </row>
    <row r="56">
      <c r="A56" s="27" t="s">
        <v>42</v>
      </c>
      <c r="B56" s="27" t="s">
        <v>204</v>
      </c>
      <c r="C56" s="27" t="s">
        <v>205</v>
      </c>
      <c r="D56" s="27" t="s">
        <v>206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1513</f>
        <v>1513.0</v>
      </c>
      <c r="L56" s="34" t="s">
        <v>48</v>
      </c>
      <c r="M56" s="33" t="n">
        <f>1861</f>
        <v>1861.0</v>
      </c>
      <c r="N56" s="34" t="s">
        <v>50</v>
      </c>
      <c r="O56" s="33" t="n">
        <f>1479</f>
        <v>1479.0</v>
      </c>
      <c r="P56" s="34" t="s">
        <v>49</v>
      </c>
      <c r="Q56" s="33" t="n">
        <f>1729</f>
        <v>1729.0</v>
      </c>
      <c r="R56" s="34" t="s">
        <v>51</v>
      </c>
      <c r="S56" s="35" t="n">
        <f>1635.37</f>
        <v>1635.37</v>
      </c>
      <c r="T56" s="32" t="n">
        <f>180614881</f>
        <v>1.80614881E8</v>
      </c>
      <c r="U56" s="32" t="n">
        <f>200117</f>
        <v>200117.0</v>
      </c>
      <c r="V56" s="32" t="n">
        <f>298108581424</f>
        <v>2.98108581424E11</v>
      </c>
      <c r="W56" s="32" t="n">
        <f>333239544</f>
        <v>3.33239544E8</v>
      </c>
      <c r="X56" s="36" t="n">
        <f>19</f>
        <v>19.0</v>
      </c>
    </row>
    <row r="57">
      <c r="A57" s="27" t="s">
        <v>42</v>
      </c>
      <c r="B57" s="27" t="s">
        <v>207</v>
      </c>
      <c r="C57" s="27" t="s">
        <v>208</v>
      </c>
      <c r="D57" s="27" t="s">
        <v>209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15970</f>
        <v>15970.0</v>
      </c>
      <c r="L57" s="34" t="s">
        <v>48</v>
      </c>
      <c r="M57" s="33" t="n">
        <f>16330</f>
        <v>16330.0</v>
      </c>
      <c r="N57" s="34" t="s">
        <v>49</v>
      </c>
      <c r="O57" s="33" t="n">
        <f>13200</f>
        <v>13200.0</v>
      </c>
      <c r="P57" s="34" t="s">
        <v>50</v>
      </c>
      <c r="Q57" s="33" t="n">
        <f>14020</f>
        <v>14020.0</v>
      </c>
      <c r="R57" s="34" t="s">
        <v>51</v>
      </c>
      <c r="S57" s="35" t="n">
        <f>14959.47</f>
        <v>14959.47</v>
      </c>
      <c r="T57" s="32" t="n">
        <f>6695</f>
        <v>6695.0</v>
      </c>
      <c r="U57" s="32" t="str">
        <f>"－"</f>
        <v>－</v>
      </c>
      <c r="V57" s="32" t="n">
        <f>97835840</f>
        <v>9.783584E7</v>
      </c>
      <c r="W57" s="32" t="str">
        <f>"－"</f>
        <v>－</v>
      </c>
      <c r="X57" s="36" t="n">
        <f>19</f>
        <v>19.0</v>
      </c>
    </row>
    <row r="58">
      <c r="A58" s="27" t="s">
        <v>42</v>
      </c>
      <c r="B58" s="27" t="s">
        <v>210</v>
      </c>
      <c r="C58" s="27" t="s">
        <v>211</v>
      </c>
      <c r="D58" s="27" t="s">
        <v>212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4805</f>
        <v>4805.0</v>
      </c>
      <c r="L58" s="34" t="s">
        <v>48</v>
      </c>
      <c r="M58" s="33" t="n">
        <f>5310</f>
        <v>5310.0</v>
      </c>
      <c r="N58" s="34" t="s">
        <v>50</v>
      </c>
      <c r="O58" s="33" t="n">
        <f>4775</f>
        <v>4775.0</v>
      </c>
      <c r="P58" s="34" t="s">
        <v>61</v>
      </c>
      <c r="Q58" s="33" t="n">
        <f>5230</f>
        <v>5230.0</v>
      </c>
      <c r="R58" s="34" t="s">
        <v>51</v>
      </c>
      <c r="S58" s="35" t="n">
        <f>5009</f>
        <v>5009.0</v>
      </c>
      <c r="T58" s="32" t="n">
        <f>1319</f>
        <v>1319.0</v>
      </c>
      <c r="U58" s="32" t="str">
        <f>"－"</f>
        <v>－</v>
      </c>
      <c r="V58" s="32" t="n">
        <f>6628265</f>
        <v>6628265.0</v>
      </c>
      <c r="W58" s="32" t="str">
        <f>"－"</f>
        <v>－</v>
      </c>
      <c r="X58" s="36" t="n">
        <f>15</f>
        <v>15.0</v>
      </c>
    </row>
    <row r="59">
      <c r="A59" s="27" t="s">
        <v>42</v>
      </c>
      <c r="B59" s="27" t="s">
        <v>213</v>
      </c>
      <c r="C59" s="27" t="s">
        <v>214</v>
      </c>
      <c r="D59" s="27" t="s">
        <v>215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1873</f>
        <v>1873.0</v>
      </c>
      <c r="L59" s="34" t="s">
        <v>48</v>
      </c>
      <c r="M59" s="33" t="n">
        <f>2220</f>
        <v>2220.0</v>
      </c>
      <c r="N59" s="34" t="s">
        <v>50</v>
      </c>
      <c r="O59" s="33" t="n">
        <f>1825</f>
        <v>1825.0</v>
      </c>
      <c r="P59" s="34" t="s">
        <v>49</v>
      </c>
      <c r="Q59" s="33" t="n">
        <f>2069</f>
        <v>2069.0</v>
      </c>
      <c r="R59" s="34" t="s">
        <v>51</v>
      </c>
      <c r="S59" s="35" t="n">
        <f>1979.84</f>
        <v>1979.84</v>
      </c>
      <c r="T59" s="32" t="n">
        <f>57718</f>
        <v>57718.0</v>
      </c>
      <c r="U59" s="32" t="str">
        <f>"－"</f>
        <v>－</v>
      </c>
      <c r="V59" s="32" t="n">
        <f>115587258</f>
        <v>1.15587258E8</v>
      </c>
      <c r="W59" s="32" t="str">
        <f>"－"</f>
        <v>－</v>
      </c>
      <c r="X59" s="36" t="n">
        <f>19</f>
        <v>19.0</v>
      </c>
    </row>
    <row r="60">
      <c r="A60" s="27" t="s">
        <v>42</v>
      </c>
      <c r="B60" s="27" t="s">
        <v>216</v>
      </c>
      <c r="C60" s="27" t="s">
        <v>217</v>
      </c>
      <c r="D60" s="27" t="s">
        <v>218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14920</f>
        <v>14920.0</v>
      </c>
      <c r="L60" s="34" t="s">
        <v>48</v>
      </c>
      <c r="M60" s="33" t="n">
        <f>15090</f>
        <v>15090.0</v>
      </c>
      <c r="N60" s="34" t="s">
        <v>219</v>
      </c>
      <c r="O60" s="33" t="n">
        <f>12300</f>
        <v>12300.0</v>
      </c>
      <c r="P60" s="34" t="s">
        <v>50</v>
      </c>
      <c r="Q60" s="33" t="n">
        <f>13275</f>
        <v>13275.0</v>
      </c>
      <c r="R60" s="34" t="s">
        <v>51</v>
      </c>
      <c r="S60" s="35" t="n">
        <f>13983.06</f>
        <v>13983.06</v>
      </c>
      <c r="T60" s="32" t="n">
        <f>6350</f>
        <v>6350.0</v>
      </c>
      <c r="U60" s="32" t="n">
        <f>40</f>
        <v>40.0</v>
      </c>
      <c r="V60" s="32" t="n">
        <f>88330350</f>
        <v>8.833035E7</v>
      </c>
      <c r="W60" s="32" t="n">
        <f>525600</f>
        <v>525600.0</v>
      </c>
      <c r="X60" s="36" t="n">
        <f>18</f>
        <v>18.0</v>
      </c>
    </row>
    <row r="61">
      <c r="A61" s="27" t="s">
        <v>42</v>
      </c>
      <c r="B61" s="27" t="s">
        <v>220</v>
      </c>
      <c r="C61" s="27" t="s">
        <v>221</v>
      </c>
      <c r="D61" s="27" t="s">
        <v>222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4585</f>
        <v>4585.0</v>
      </c>
      <c r="L61" s="34" t="s">
        <v>48</v>
      </c>
      <c r="M61" s="33" t="n">
        <f>4869</f>
        <v>4869.0</v>
      </c>
      <c r="N61" s="34" t="s">
        <v>76</v>
      </c>
      <c r="O61" s="33" t="n">
        <f>4515</f>
        <v>4515.0</v>
      </c>
      <c r="P61" s="34" t="s">
        <v>61</v>
      </c>
      <c r="Q61" s="33" t="n">
        <f>4865</f>
        <v>4865.0</v>
      </c>
      <c r="R61" s="34" t="s">
        <v>50</v>
      </c>
      <c r="S61" s="35" t="n">
        <f>4751.11</f>
        <v>4751.11</v>
      </c>
      <c r="T61" s="32" t="n">
        <f>640550</f>
        <v>640550.0</v>
      </c>
      <c r="U61" s="32" t="n">
        <f>640000</f>
        <v>640000.0</v>
      </c>
      <c r="V61" s="32" t="n">
        <f>2999863930</f>
        <v>2.99986393E9</v>
      </c>
      <c r="W61" s="32" t="n">
        <f>2997280000</f>
        <v>2.99728E9</v>
      </c>
      <c r="X61" s="36" t="n">
        <f>9</f>
        <v>9.0</v>
      </c>
    </row>
    <row r="62">
      <c r="A62" s="27" t="s">
        <v>42</v>
      </c>
      <c r="B62" s="27" t="s">
        <v>223</v>
      </c>
      <c r="C62" s="27" t="s">
        <v>224</v>
      </c>
      <c r="D62" s="27" t="s">
        <v>225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1860</f>
        <v>1860.0</v>
      </c>
      <c r="L62" s="34" t="s">
        <v>48</v>
      </c>
      <c r="M62" s="33" t="n">
        <f>2190</f>
        <v>2190.0</v>
      </c>
      <c r="N62" s="34" t="s">
        <v>50</v>
      </c>
      <c r="O62" s="33" t="n">
        <f>1813</f>
        <v>1813.0</v>
      </c>
      <c r="P62" s="34" t="s">
        <v>49</v>
      </c>
      <c r="Q62" s="33" t="n">
        <f>2044.5</f>
        <v>2044.5</v>
      </c>
      <c r="R62" s="34" t="s">
        <v>51</v>
      </c>
      <c r="S62" s="35" t="n">
        <f>1954.37</f>
        <v>1954.37</v>
      </c>
      <c r="T62" s="32" t="n">
        <f>81520</f>
        <v>81520.0</v>
      </c>
      <c r="U62" s="32" t="str">
        <f>"－"</f>
        <v>－</v>
      </c>
      <c r="V62" s="32" t="n">
        <f>160517590</f>
        <v>1.6051759E8</v>
      </c>
      <c r="W62" s="32" t="str">
        <f>"－"</f>
        <v>－</v>
      </c>
      <c r="X62" s="36" t="n">
        <f>19</f>
        <v>19.0</v>
      </c>
    </row>
    <row r="63">
      <c r="A63" s="27" t="s">
        <v>42</v>
      </c>
      <c r="B63" s="27" t="s">
        <v>226</v>
      </c>
      <c r="C63" s="27" t="s">
        <v>227</v>
      </c>
      <c r="D63" s="27" t="s">
        <v>228</v>
      </c>
      <c r="E63" s="28" t="s">
        <v>46</v>
      </c>
      <c r="F63" s="29" t="s">
        <v>46</v>
      </c>
      <c r="G63" s="30" t="s">
        <v>46</v>
      </c>
      <c r="H63" s="31" t="s">
        <v>229</v>
      </c>
      <c r="I63" s="31" t="s">
        <v>47</v>
      </c>
      <c r="J63" s="32" t="n">
        <v>1.0</v>
      </c>
      <c r="K63" s="33" t="n">
        <f>3125</f>
        <v>3125.0</v>
      </c>
      <c r="L63" s="34" t="s">
        <v>48</v>
      </c>
      <c r="M63" s="33" t="n">
        <f>3365</f>
        <v>3365.0</v>
      </c>
      <c r="N63" s="34" t="s">
        <v>69</v>
      </c>
      <c r="O63" s="33" t="n">
        <f>3060</f>
        <v>3060.0</v>
      </c>
      <c r="P63" s="34" t="s">
        <v>61</v>
      </c>
      <c r="Q63" s="33" t="n">
        <f>3275</f>
        <v>3275.0</v>
      </c>
      <c r="R63" s="34" t="s">
        <v>51</v>
      </c>
      <c r="S63" s="35" t="n">
        <f>3215.63</f>
        <v>3215.63</v>
      </c>
      <c r="T63" s="32" t="n">
        <f>925903</f>
        <v>925903.0</v>
      </c>
      <c r="U63" s="32" t="n">
        <f>925002</f>
        <v>925002.0</v>
      </c>
      <c r="V63" s="32" t="n">
        <f>2972717090</f>
        <v>2.97271709E9</v>
      </c>
      <c r="W63" s="32" t="n">
        <f>2969789585</f>
        <v>2.969789585E9</v>
      </c>
      <c r="X63" s="36" t="n">
        <f>16</f>
        <v>16.0</v>
      </c>
    </row>
    <row r="64">
      <c r="A64" s="27" t="s">
        <v>42</v>
      </c>
      <c r="B64" s="27" t="s">
        <v>230</v>
      </c>
      <c r="C64" s="27" t="s">
        <v>231</v>
      </c>
      <c r="D64" s="27" t="s">
        <v>232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755</f>
        <v>755.0</v>
      </c>
      <c r="L64" s="34" t="s">
        <v>48</v>
      </c>
      <c r="M64" s="33" t="n">
        <f>889</f>
        <v>889.0</v>
      </c>
      <c r="N64" s="34" t="s">
        <v>50</v>
      </c>
      <c r="O64" s="33" t="n">
        <f>725</f>
        <v>725.0</v>
      </c>
      <c r="P64" s="34" t="s">
        <v>49</v>
      </c>
      <c r="Q64" s="33" t="n">
        <f>837</f>
        <v>837.0</v>
      </c>
      <c r="R64" s="34" t="s">
        <v>51</v>
      </c>
      <c r="S64" s="35" t="n">
        <f>789.26</f>
        <v>789.26</v>
      </c>
      <c r="T64" s="32" t="n">
        <f>81455</f>
        <v>81455.0</v>
      </c>
      <c r="U64" s="32" t="str">
        <f>"－"</f>
        <v>－</v>
      </c>
      <c r="V64" s="32" t="n">
        <f>65678218</f>
        <v>6.5678218E7</v>
      </c>
      <c r="W64" s="32" t="str">
        <f>"－"</f>
        <v>－</v>
      </c>
      <c r="X64" s="36" t="n">
        <f>19</f>
        <v>19.0</v>
      </c>
    </row>
    <row r="65">
      <c r="A65" s="27" t="s">
        <v>42</v>
      </c>
      <c r="B65" s="27" t="s">
        <v>233</v>
      </c>
      <c r="C65" s="27" t="s">
        <v>234</v>
      </c>
      <c r="D65" s="27" t="s">
        <v>235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2053</f>
        <v>2053.0</v>
      </c>
      <c r="L65" s="34" t="s">
        <v>48</v>
      </c>
      <c r="M65" s="33" t="n">
        <f>2085</f>
        <v>2085.0</v>
      </c>
      <c r="N65" s="34" t="s">
        <v>49</v>
      </c>
      <c r="O65" s="33" t="n">
        <f>1860</f>
        <v>1860.0</v>
      </c>
      <c r="P65" s="34" t="s">
        <v>50</v>
      </c>
      <c r="Q65" s="33" t="n">
        <f>1921</f>
        <v>1921.0</v>
      </c>
      <c r="R65" s="34" t="s">
        <v>51</v>
      </c>
      <c r="S65" s="35" t="n">
        <f>1980.21</f>
        <v>1980.21</v>
      </c>
      <c r="T65" s="32" t="n">
        <f>317670</f>
        <v>317670.0</v>
      </c>
      <c r="U65" s="32" t="n">
        <f>23120</f>
        <v>23120.0</v>
      </c>
      <c r="V65" s="32" t="n">
        <f>619638043</f>
        <v>6.19638043E8</v>
      </c>
      <c r="W65" s="32" t="n">
        <f>44988148</f>
        <v>4.4988148E7</v>
      </c>
      <c r="X65" s="36" t="n">
        <f>19</f>
        <v>19.0</v>
      </c>
    </row>
    <row r="66">
      <c r="A66" s="27" t="s">
        <v>42</v>
      </c>
      <c r="B66" s="27" t="s">
        <v>236</v>
      </c>
      <c r="C66" s="27" t="s">
        <v>237</v>
      </c>
      <c r="D66" s="27" t="s">
        <v>238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18485</f>
        <v>18485.0</v>
      </c>
      <c r="L66" s="34" t="s">
        <v>48</v>
      </c>
      <c r="M66" s="33" t="n">
        <f>18735</f>
        <v>18735.0</v>
      </c>
      <c r="N66" s="34" t="s">
        <v>49</v>
      </c>
      <c r="O66" s="33" t="n">
        <f>16720</f>
        <v>16720.0</v>
      </c>
      <c r="P66" s="34" t="s">
        <v>50</v>
      </c>
      <c r="Q66" s="33" t="n">
        <f>17200</f>
        <v>17200.0</v>
      </c>
      <c r="R66" s="34" t="s">
        <v>51</v>
      </c>
      <c r="S66" s="35" t="n">
        <f>17771.32</f>
        <v>17771.32</v>
      </c>
      <c r="T66" s="32" t="n">
        <f>29742</f>
        <v>29742.0</v>
      </c>
      <c r="U66" s="32" t="n">
        <f>20000</f>
        <v>20000.0</v>
      </c>
      <c r="V66" s="32" t="n">
        <f>523533055</f>
        <v>5.23533055E8</v>
      </c>
      <c r="W66" s="32" t="n">
        <f>352392000</f>
        <v>3.52392E8</v>
      </c>
      <c r="X66" s="36" t="n">
        <f>19</f>
        <v>19.0</v>
      </c>
    </row>
    <row r="67">
      <c r="A67" s="27" t="s">
        <v>42</v>
      </c>
      <c r="B67" s="27" t="s">
        <v>239</v>
      </c>
      <c r="C67" s="27" t="s">
        <v>240</v>
      </c>
      <c r="D67" s="27" t="s">
        <v>241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2071</f>
        <v>2071.0</v>
      </c>
      <c r="L67" s="34" t="s">
        <v>48</v>
      </c>
      <c r="M67" s="33" t="n">
        <f>2099</f>
        <v>2099.0</v>
      </c>
      <c r="N67" s="34" t="s">
        <v>49</v>
      </c>
      <c r="O67" s="33" t="n">
        <f>1886</f>
        <v>1886.0</v>
      </c>
      <c r="P67" s="34" t="s">
        <v>50</v>
      </c>
      <c r="Q67" s="33" t="n">
        <f>1946</f>
        <v>1946.0</v>
      </c>
      <c r="R67" s="34" t="s">
        <v>51</v>
      </c>
      <c r="S67" s="35" t="n">
        <f>2008.84</f>
        <v>2008.84</v>
      </c>
      <c r="T67" s="32" t="n">
        <f>7684409</f>
        <v>7684409.0</v>
      </c>
      <c r="U67" s="32" t="n">
        <f>1734381</f>
        <v>1734381.0</v>
      </c>
      <c r="V67" s="32" t="n">
        <f>15403604132</f>
        <v>1.5403604132E10</v>
      </c>
      <c r="W67" s="32" t="n">
        <f>3531072805</f>
        <v>3.531072805E9</v>
      </c>
      <c r="X67" s="36" t="n">
        <f>19</f>
        <v>19.0</v>
      </c>
    </row>
    <row r="68">
      <c r="A68" s="27" t="s">
        <v>42</v>
      </c>
      <c r="B68" s="27" t="s">
        <v>242</v>
      </c>
      <c r="C68" s="27" t="s">
        <v>243</v>
      </c>
      <c r="D68" s="27" t="s">
        <v>244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2146</f>
        <v>2146.0</v>
      </c>
      <c r="L68" s="34" t="s">
        <v>48</v>
      </c>
      <c r="M68" s="33" t="n">
        <f>2156</f>
        <v>2156.0</v>
      </c>
      <c r="N68" s="34" t="s">
        <v>49</v>
      </c>
      <c r="O68" s="33" t="n">
        <f>1846</f>
        <v>1846.0</v>
      </c>
      <c r="P68" s="34" t="s">
        <v>86</v>
      </c>
      <c r="Q68" s="33" t="n">
        <f>2021</f>
        <v>2021.0</v>
      </c>
      <c r="R68" s="34" t="s">
        <v>51</v>
      </c>
      <c r="S68" s="35" t="n">
        <f>2026.63</f>
        <v>2026.63</v>
      </c>
      <c r="T68" s="32" t="n">
        <f>6451358</f>
        <v>6451358.0</v>
      </c>
      <c r="U68" s="32" t="n">
        <f>1686927</f>
        <v>1686927.0</v>
      </c>
      <c r="V68" s="32" t="n">
        <f>12977719430</f>
        <v>1.297771943E10</v>
      </c>
      <c r="W68" s="32" t="n">
        <f>3377958318</f>
        <v>3.377958318E9</v>
      </c>
      <c r="X68" s="36" t="n">
        <f>19</f>
        <v>19.0</v>
      </c>
    </row>
    <row r="69">
      <c r="A69" s="27" t="s">
        <v>42</v>
      </c>
      <c r="B69" s="27" t="s">
        <v>245</v>
      </c>
      <c r="C69" s="27" t="s">
        <v>246</v>
      </c>
      <c r="D69" s="27" t="s">
        <v>247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1912</f>
        <v>1912.0</v>
      </c>
      <c r="L69" s="34" t="s">
        <v>48</v>
      </c>
      <c r="M69" s="33" t="n">
        <f>1930</f>
        <v>1930.0</v>
      </c>
      <c r="N69" s="34" t="s">
        <v>49</v>
      </c>
      <c r="O69" s="33" t="n">
        <f>1771</f>
        <v>1771.0</v>
      </c>
      <c r="P69" s="34" t="s">
        <v>50</v>
      </c>
      <c r="Q69" s="33" t="n">
        <f>1813</f>
        <v>1813.0</v>
      </c>
      <c r="R69" s="34" t="s">
        <v>51</v>
      </c>
      <c r="S69" s="35" t="n">
        <f>1855.21</f>
        <v>1855.21</v>
      </c>
      <c r="T69" s="32" t="n">
        <f>56010</f>
        <v>56010.0</v>
      </c>
      <c r="U69" s="32" t="n">
        <f>42888</f>
        <v>42888.0</v>
      </c>
      <c r="V69" s="32" t="n">
        <f>103130399</f>
        <v>1.03130399E8</v>
      </c>
      <c r="W69" s="32" t="n">
        <f>78603252</f>
        <v>7.8603252E7</v>
      </c>
      <c r="X69" s="36" t="n">
        <f>19</f>
        <v>19.0</v>
      </c>
    </row>
    <row r="70">
      <c r="A70" s="27" t="s">
        <v>42</v>
      </c>
      <c r="B70" s="27" t="s">
        <v>248</v>
      </c>
      <c r="C70" s="27" t="s">
        <v>249</v>
      </c>
      <c r="D70" s="27" t="s">
        <v>250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2210</f>
        <v>2210.0</v>
      </c>
      <c r="L70" s="34" t="s">
        <v>48</v>
      </c>
      <c r="M70" s="33" t="n">
        <f>2310</f>
        <v>2310.0</v>
      </c>
      <c r="N70" s="34" t="s">
        <v>194</v>
      </c>
      <c r="O70" s="33" t="n">
        <f>2196</f>
        <v>2196.0</v>
      </c>
      <c r="P70" s="34" t="s">
        <v>48</v>
      </c>
      <c r="Q70" s="33" t="n">
        <f>2270</f>
        <v>2270.0</v>
      </c>
      <c r="R70" s="34" t="s">
        <v>51</v>
      </c>
      <c r="S70" s="35" t="n">
        <f>2265.58</f>
        <v>2265.58</v>
      </c>
      <c r="T70" s="32" t="n">
        <f>393207</f>
        <v>393207.0</v>
      </c>
      <c r="U70" s="32" t="n">
        <f>57700</f>
        <v>57700.0</v>
      </c>
      <c r="V70" s="32" t="n">
        <f>889178798</f>
        <v>8.89178798E8</v>
      </c>
      <c r="W70" s="32" t="n">
        <f>129881958</f>
        <v>1.29881958E8</v>
      </c>
      <c r="X70" s="36" t="n">
        <f>19</f>
        <v>19.0</v>
      </c>
    </row>
    <row r="71">
      <c r="A71" s="27" t="s">
        <v>42</v>
      </c>
      <c r="B71" s="27" t="s">
        <v>251</v>
      </c>
      <c r="C71" s="27" t="s">
        <v>252</v>
      </c>
      <c r="D71" s="27" t="s">
        <v>253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25870</f>
        <v>25870.0</v>
      </c>
      <c r="L71" s="34" t="s">
        <v>48</v>
      </c>
      <c r="M71" s="33" t="n">
        <f>26050</f>
        <v>26050.0</v>
      </c>
      <c r="N71" s="34" t="s">
        <v>49</v>
      </c>
      <c r="O71" s="33" t="n">
        <f>23210</f>
        <v>23210.0</v>
      </c>
      <c r="P71" s="34" t="s">
        <v>50</v>
      </c>
      <c r="Q71" s="33" t="n">
        <f>23660</f>
        <v>23660.0</v>
      </c>
      <c r="R71" s="34" t="s">
        <v>51</v>
      </c>
      <c r="S71" s="35" t="n">
        <f>24537</f>
        <v>24537.0</v>
      </c>
      <c r="T71" s="32" t="n">
        <f>121</f>
        <v>121.0</v>
      </c>
      <c r="U71" s="32" t="str">
        <f>"－"</f>
        <v>－</v>
      </c>
      <c r="V71" s="32" t="n">
        <f>2957590</f>
        <v>2957590.0</v>
      </c>
      <c r="W71" s="32" t="str">
        <f>"－"</f>
        <v>－</v>
      </c>
      <c r="X71" s="36" t="n">
        <f>10</f>
        <v>10.0</v>
      </c>
    </row>
    <row r="72">
      <c r="A72" s="27" t="s">
        <v>42</v>
      </c>
      <c r="B72" s="27" t="s">
        <v>254</v>
      </c>
      <c r="C72" s="27" t="s">
        <v>255</v>
      </c>
      <c r="D72" s="27" t="s">
        <v>256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20525</f>
        <v>20525.0</v>
      </c>
      <c r="L72" s="34" t="s">
        <v>48</v>
      </c>
      <c r="M72" s="33" t="n">
        <f>20835</f>
        <v>20835.0</v>
      </c>
      <c r="N72" s="34" t="s">
        <v>49</v>
      </c>
      <c r="O72" s="33" t="n">
        <f>18760</f>
        <v>18760.0</v>
      </c>
      <c r="P72" s="34" t="s">
        <v>50</v>
      </c>
      <c r="Q72" s="33" t="n">
        <f>19005</f>
        <v>19005.0</v>
      </c>
      <c r="R72" s="34" t="s">
        <v>51</v>
      </c>
      <c r="S72" s="35" t="n">
        <f>19900</f>
        <v>19900.0</v>
      </c>
      <c r="T72" s="32" t="n">
        <f>70</f>
        <v>70.0</v>
      </c>
      <c r="U72" s="32" t="str">
        <f>"－"</f>
        <v>－</v>
      </c>
      <c r="V72" s="32" t="n">
        <f>1392940</f>
        <v>1392940.0</v>
      </c>
      <c r="W72" s="32" t="str">
        <f>"－"</f>
        <v>－</v>
      </c>
      <c r="X72" s="36" t="n">
        <f>12</f>
        <v>12.0</v>
      </c>
    </row>
    <row r="73">
      <c r="A73" s="27" t="s">
        <v>42</v>
      </c>
      <c r="B73" s="27" t="s">
        <v>257</v>
      </c>
      <c r="C73" s="27" t="s">
        <v>258</v>
      </c>
      <c r="D73" s="27" t="s">
        <v>259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2066</f>
        <v>2066.0</v>
      </c>
      <c r="L73" s="34" t="s">
        <v>48</v>
      </c>
      <c r="M73" s="33" t="n">
        <f>2074</f>
        <v>2074.0</v>
      </c>
      <c r="N73" s="34" t="s">
        <v>49</v>
      </c>
      <c r="O73" s="33" t="n">
        <f>1870</f>
        <v>1870.0</v>
      </c>
      <c r="P73" s="34" t="s">
        <v>50</v>
      </c>
      <c r="Q73" s="33" t="n">
        <f>1879</f>
        <v>1879.0</v>
      </c>
      <c r="R73" s="34" t="s">
        <v>50</v>
      </c>
      <c r="S73" s="35" t="n">
        <f>1979.53</f>
        <v>1979.53</v>
      </c>
      <c r="T73" s="32" t="n">
        <f>4075</f>
        <v>4075.0</v>
      </c>
      <c r="U73" s="32" t="str">
        <f>"－"</f>
        <v>－</v>
      </c>
      <c r="V73" s="32" t="n">
        <f>7910682</f>
        <v>7910682.0</v>
      </c>
      <c r="W73" s="32" t="str">
        <f>"－"</f>
        <v>－</v>
      </c>
      <c r="X73" s="36" t="n">
        <f>17</f>
        <v>17.0</v>
      </c>
    </row>
    <row r="74">
      <c r="A74" s="27" t="s">
        <v>42</v>
      </c>
      <c r="B74" s="27" t="s">
        <v>260</v>
      </c>
      <c r="C74" s="27" t="s">
        <v>261</v>
      </c>
      <c r="D74" s="27" t="s">
        <v>262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2324</f>
        <v>2324.0</v>
      </c>
      <c r="L74" s="34" t="s">
        <v>48</v>
      </c>
      <c r="M74" s="33" t="n">
        <f>2346</f>
        <v>2346.0</v>
      </c>
      <c r="N74" s="34" t="s">
        <v>61</v>
      </c>
      <c r="O74" s="33" t="n">
        <f>2263</f>
        <v>2263.0</v>
      </c>
      <c r="P74" s="34" t="s">
        <v>263</v>
      </c>
      <c r="Q74" s="33" t="n">
        <f>2279</f>
        <v>2279.0</v>
      </c>
      <c r="R74" s="34" t="s">
        <v>51</v>
      </c>
      <c r="S74" s="35" t="n">
        <f>2289.89</f>
        <v>2289.89</v>
      </c>
      <c r="T74" s="32" t="n">
        <f>8715156</f>
        <v>8715156.0</v>
      </c>
      <c r="U74" s="32" t="n">
        <f>3175052</f>
        <v>3175052.0</v>
      </c>
      <c r="V74" s="32" t="n">
        <f>20025627013</f>
        <v>2.0025627013E10</v>
      </c>
      <c r="W74" s="32" t="n">
        <f>7298466995</f>
        <v>7.298466995E9</v>
      </c>
      <c r="X74" s="36" t="n">
        <f>19</f>
        <v>19.0</v>
      </c>
    </row>
    <row r="75">
      <c r="A75" s="27" t="s">
        <v>42</v>
      </c>
      <c r="B75" s="27" t="s">
        <v>264</v>
      </c>
      <c r="C75" s="27" t="s">
        <v>265</v>
      </c>
      <c r="D75" s="27" t="s">
        <v>266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1997</f>
        <v>1997.0</v>
      </c>
      <c r="L75" s="34" t="s">
        <v>48</v>
      </c>
      <c r="M75" s="33" t="n">
        <f>2073</f>
        <v>2073.0</v>
      </c>
      <c r="N75" s="34" t="s">
        <v>68</v>
      </c>
      <c r="O75" s="33" t="n">
        <f>1900</f>
        <v>1900.0</v>
      </c>
      <c r="P75" s="34" t="s">
        <v>50</v>
      </c>
      <c r="Q75" s="33" t="n">
        <f>1935</f>
        <v>1935.0</v>
      </c>
      <c r="R75" s="34" t="s">
        <v>51</v>
      </c>
      <c r="S75" s="35" t="n">
        <f>1996.71</f>
        <v>1996.71</v>
      </c>
      <c r="T75" s="32" t="n">
        <f>705</f>
        <v>705.0</v>
      </c>
      <c r="U75" s="32" t="str">
        <f>"－"</f>
        <v>－</v>
      </c>
      <c r="V75" s="32" t="n">
        <f>1398771</f>
        <v>1398771.0</v>
      </c>
      <c r="W75" s="32" t="str">
        <f>"－"</f>
        <v>－</v>
      </c>
      <c r="X75" s="36" t="n">
        <f>17</f>
        <v>17.0</v>
      </c>
    </row>
    <row r="76">
      <c r="A76" s="27" t="s">
        <v>42</v>
      </c>
      <c r="B76" s="27" t="s">
        <v>267</v>
      </c>
      <c r="C76" s="27" t="s">
        <v>268</v>
      </c>
      <c r="D76" s="27" t="s">
        <v>269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10.0</v>
      </c>
      <c r="K76" s="33" t="n">
        <f>2047</f>
        <v>2047.0</v>
      </c>
      <c r="L76" s="34" t="s">
        <v>48</v>
      </c>
      <c r="M76" s="33" t="n">
        <f>2047.5</f>
        <v>2047.5</v>
      </c>
      <c r="N76" s="34" t="s">
        <v>49</v>
      </c>
      <c r="O76" s="33" t="n">
        <f>1843.5</f>
        <v>1843.5</v>
      </c>
      <c r="P76" s="34" t="s">
        <v>50</v>
      </c>
      <c r="Q76" s="33" t="n">
        <f>1887.5</f>
        <v>1887.5</v>
      </c>
      <c r="R76" s="34" t="s">
        <v>51</v>
      </c>
      <c r="S76" s="35" t="n">
        <f>1945.79</f>
        <v>1945.79</v>
      </c>
      <c r="T76" s="32" t="n">
        <f>3960</f>
        <v>3960.0</v>
      </c>
      <c r="U76" s="32" t="str">
        <f>"－"</f>
        <v>－</v>
      </c>
      <c r="V76" s="32" t="n">
        <f>7720125</f>
        <v>7720125.0</v>
      </c>
      <c r="W76" s="32" t="str">
        <f>"－"</f>
        <v>－</v>
      </c>
      <c r="X76" s="36" t="n">
        <f>19</f>
        <v>19.0</v>
      </c>
    </row>
    <row r="77">
      <c r="A77" s="27" t="s">
        <v>42</v>
      </c>
      <c r="B77" s="27" t="s">
        <v>270</v>
      </c>
      <c r="C77" s="27" t="s">
        <v>271</v>
      </c>
      <c r="D77" s="27" t="s">
        <v>272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32160</f>
        <v>32160.0</v>
      </c>
      <c r="L77" s="34" t="s">
        <v>48</v>
      </c>
      <c r="M77" s="33" t="n">
        <f>32950</f>
        <v>32950.0</v>
      </c>
      <c r="N77" s="34" t="s">
        <v>48</v>
      </c>
      <c r="O77" s="33" t="n">
        <f>28300</f>
        <v>28300.0</v>
      </c>
      <c r="P77" s="34" t="s">
        <v>69</v>
      </c>
      <c r="Q77" s="33" t="n">
        <f>28400</f>
        <v>28400.0</v>
      </c>
      <c r="R77" s="34" t="s">
        <v>51</v>
      </c>
      <c r="S77" s="35" t="n">
        <f>29400</f>
        <v>29400.0</v>
      </c>
      <c r="T77" s="32" t="n">
        <f>35</f>
        <v>35.0</v>
      </c>
      <c r="U77" s="32" t="str">
        <f>"－"</f>
        <v>－</v>
      </c>
      <c r="V77" s="32" t="n">
        <f>1052240</f>
        <v>1052240.0</v>
      </c>
      <c r="W77" s="32" t="str">
        <f>"－"</f>
        <v>－</v>
      </c>
      <c r="X77" s="36" t="n">
        <f>7</f>
        <v>7.0</v>
      </c>
    </row>
    <row r="78">
      <c r="A78" s="27" t="s">
        <v>42</v>
      </c>
      <c r="B78" s="27" t="s">
        <v>273</v>
      </c>
      <c r="C78" s="27" t="s">
        <v>274</v>
      </c>
      <c r="D78" s="27" t="s">
        <v>275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22160</f>
        <v>22160.0</v>
      </c>
      <c r="L78" s="34" t="s">
        <v>48</v>
      </c>
      <c r="M78" s="33" t="n">
        <f>22260</f>
        <v>22260.0</v>
      </c>
      <c r="N78" s="34" t="s">
        <v>49</v>
      </c>
      <c r="O78" s="33" t="n">
        <f>21225</f>
        <v>21225.0</v>
      </c>
      <c r="P78" s="34" t="s">
        <v>263</v>
      </c>
      <c r="Q78" s="33" t="n">
        <f>21585</f>
        <v>21585.0</v>
      </c>
      <c r="R78" s="34" t="s">
        <v>51</v>
      </c>
      <c r="S78" s="35" t="n">
        <f>21550.79</f>
        <v>21550.79</v>
      </c>
      <c r="T78" s="32" t="n">
        <f>128615</f>
        <v>128615.0</v>
      </c>
      <c r="U78" s="32" t="n">
        <f>58305</f>
        <v>58305.0</v>
      </c>
      <c r="V78" s="32" t="n">
        <f>2794261215</f>
        <v>2.794261215E9</v>
      </c>
      <c r="W78" s="32" t="n">
        <f>1282211455</f>
        <v>1.282211455E9</v>
      </c>
      <c r="X78" s="36" t="n">
        <f>19</f>
        <v>19.0</v>
      </c>
    </row>
    <row r="79">
      <c r="A79" s="27" t="s">
        <v>42</v>
      </c>
      <c r="B79" s="27" t="s">
        <v>276</v>
      </c>
      <c r="C79" s="27" t="s">
        <v>277</v>
      </c>
      <c r="D79" s="27" t="s">
        <v>278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18125</f>
        <v>18125.0</v>
      </c>
      <c r="L79" s="34" t="s">
        <v>48</v>
      </c>
      <c r="M79" s="33" t="n">
        <f>18130</f>
        <v>18130.0</v>
      </c>
      <c r="N79" s="34" t="s">
        <v>48</v>
      </c>
      <c r="O79" s="33" t="n">
        <f>17530</f>
        <v>17530.0</v>
      </c>
      <c r="P79" s="34" t="s">
        <v>263</v>
      </c>
      <c r="Q79" s="33" t="n">
        <f>17670</f>
        <v>17670.0</v>
      </c>
      <c r="R79" s="34" t="s">
        <v>51</v>
      </c>
      <c r="S79" s="35" t="n">
        <f>17740.26</f>
        <v>17740.26</v>
      </c>
      <c r="T79" s="32" t="n">
        <f>186813</f>
        <v>186813.0</v>
      </c>
      <c r="U79" s="32" t="n">
        <f>105900</f>
        <v>105900.0</v>
      </c>
      <c r="V79" s="32" t="n">
        <f>3318136279</f>
        <v>3.318136279E9</v>
      </c>
      <c r="W79" s="32" t="n">
        <f>1872962409</f>
        <v>1.872962409E9</v>
      </c>
      <c r="X79" s="36" t="n">
        <f>19</f>
        <v>19.0</v>
      </c>
    </row>
    <row r="80">
      <c r="A80" s="27" t="s">
        <v>42</v>
      </c>
      <c r="B80" s="27" t="s">
        <v>279</v>
      </c>
      <c r="C80" s="27" t="s">
        <v>280</v>
      </c>
      <c r="D80" s="27" t="s">
        <v>281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2143</f>
        <v>2143.0</v>
      </c>
      <c r="L80" s="34" t="s">
        <v>48</v>
      </c>
      <c r="M80" s="33" t="n">
        <f>2147.5</f>
        <v>2147.5</v>
      </c>
      <c r="N80" s="34" t="s">
        <v>48</v>
      </c>
      <c r="O80" s="33" t="n">
        <f>1843</f>
        <v>1843.0</v>
      </c>
      <c r="P80" s="34" t="s">
        <v>86</v>
      </c>
      <c r="Q80" s="33" t="n">
        <f>2018.5</f>
        <v>2018.5</v>
      </c>
      <c r="R80" s="34" t="s">
        <v>51</v>
      </c>
      <c r="S80" s="35" t="n">
        <f>2023.34</f>
        <v>2023.34</v>
      </c>
      <c r="T80" s="32" t="n">
        <f>2418260</f>
        <v>2418260.0</v>
      </c>
      <c r="U80" s="32" t="n">
        <f>424180</f>
        <v>424180.0</v>
      </c>
      <c r="V80" s="32" t="n">
        <f>4861493411</f>
        <v>4.861493411E9</v>
      </c>
      <c r="W80" s="32" t="n">
        <f>854804446</f>
        <v>8.54804446E8</v>
      </c>
      <c r="X80" s="36" t="n">
        <f>19</f>
        <v>19.0</v>
      </c>
    </row>
    <row r="81">
      <c r="A81" s="27" t="s">
        <v>42</v>
      </c>
      <c r="B81" s="27" t="s">
        <v>282</v>
      </c>
      <c r="C81" s="27" t="s">
        <v>283</v>
      </c>
      <c r="D81" s="27" t="s">
        <v>284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36980</f>
        <v>36980.0</v>
      </c>
      <c r="L81" s="34" t="s">
        <v>48</v>
      </c>
      <c r="M81" s="33" t="n">
        <f>39530</f>
        <v>39530.0</v>
      </c>
      <c r="N81" s="34" t="s">
        <v>194</v>
      </c>
      <c r="O81" s="33" t="n">
        <f>36980</f>
        <v>36980.0</v>
      </c>
      <c r="P81" s="34" t="s">
        <v>48</v>
      </c>
      <c r="Q81" s="33" t="n">
        <f>38210</f>
        <v>38210.0</v>
      </c>
      <c r="R81" s="34" t="s">
        <v>51</v>
      </c>
      <c r="S81" s="35" t="n">
        <f>38315.79</f>
        <v>38315.79</v>
      </c>
      <c r="T81" s="32" t="n">
        <f>56795</f>
        <v>56795.0</v>
      </c>
      <c r="U81" s="32" t="n">
        <f>4003</f>
        <v>4003.0</v>
      </c>
      <c r="V81" s="32" t="n">
        <f>2179940950</f>
        <v>2.17994095E9</v>
      </c>
      <c r="W81" s="32" t="n">
        <f>155156770</f>
        <v>1.5515677E8</v>
      </c>
      <c r="X81" s="36" t="n">
        <f>19</f>
        <v>19.0</v>
      </c>
    </row>
    <row r="82">
      <c r="A82" s="27" t="s">
        <v>42</v>
      </c>
      <c r="B82" s="27" t="s">
        <v>285</v>
      </c>
      <c r="C82" s="27" t="s">
        <v>286</v>
      </c>
      <c r="D82" s="27" t="s">
        <v>287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7400</f>
        <v>7400.0</v>
      </c>
      <c r="L82" s="34" t="s">
        <v>61</v>
      </c>
      <c r="M82" s="33" t="n">
        <f>7699</f>
        <v>7699.0</v>
      </c>
      <c r="N82" s="34" t="s">
        <v>288</v>
      </c>
      <c r="O82" s="33" t="n">
        <f>7280</f>
        <v>7280.0</v>
      </c>
      <c r="P82" s="34" t="s">
        <v>68</v>
      </c>
      <c r="Q82" s="33" t="n">
        <f>7690</f>
        <v>7690.0</v>
      </c>
      <c r="R82" s="34" t="s">
        <v>51</v>
      </c>
      <c r="S82" s="35" t="n">
        <f>7481.1</f>
        <v>7481.1</v>
      </c>
      <c r="T82" s="32" t="n">
        <f>480</f>
        <v>480.0</v>
      </c>
      <c r="U82" s="32" t="str">
        <f>"－"</f>
        <v>－</v>
      </c>
      <c r="V82" s="32" t="n">
        <f>3614330</f>
        <v>3614330.0</v>
      </c>
      <c r="W82" s="32" t="str">
        <f>"－"</f>
        <v>－</v>
      </c>
      <c r="X82" s="36" t="n">
        <f>10</f>
        <v>10.0</v>
      </c>
    </row>
    <row r="83">
      <c r="A83" s="27" t="s">
        <v>42</v>
      </c>
      <c r="B83" s="27" t="s">
        <v>289</v>
      </c>
      <c r="C83" s="27" t="s">
        <v>290</v>
      </c>
      <c r="D83" s="27" t="s">
        <v>291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17000</f>
        <v>17000.0</v>
      </c>
      <c r="L83" s="34" t="s">
        <v>48</v>
      </c>
      <c r="M83" s="33" t="n">
        <f>17000</f>
        <v>17000.0</v>
      </c>
      <c r="N83" s="34" t="s">
        <v>48</v>
      </c>
      <c r="O83" s="33" t="n">
        <f>14825</f>
        <v>14825.0</v>
      </c>
      <c r="P83" s="34" t="s">
        <v>50</v>
      </c>
      <c r="Q83" s="33" t="n">
        <f>15180</f>
        <v>15180.0</v>
      </c>
      <c r="R83" s="34" t="s">
        <v>51</v>
      </c>
      <c r="S83" s="35" t="n">
        <f>15801.58</f>
        <v>15801.58</v>
      </c>
      <c r="T83" s="32" t="n">
        <f>1302</f>
        <v>1302.0</v>
      </c>
      <c r="U83" s="32" t="str">
        <f>"－"</f>
        <v>－</v>
      </c>
      <c r="V83" s="32" t="n">
        <f>20461325</f>
        <v>2.0461325E7</v>
      </c>
      <c r="W83" s="32" t="str">
        <f>"－"</f>
        <v>－</v>
      </c>
      <c r="X83" s="36" t="n">
        <f>19</f>
        <v>19.0</v>
      </c>
    </row>
    <row r="84">
      <c r="A84" s="27" t="s">
        <v>42</v>
      </c>
      <c r="B84" s="27" t="s">
        <v>292</v>
      </c>
      <c r="C84" s="27" t="s">
        <v>293</v>
      </c>
      <c r="D84" s="27" t="s">
        <v>294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16265</f>
        <v>16265.0</v>
      </c>
      <c r="L84" s="34" t="s">
        <v>48</v>
      </c>
      <c r="M84" s="33" t="n">
        <f>16645</f>
        <v>16645.0</v>
      </c>
      <c r="N84" s="34" t="s">
        <v>48</v>
      </c>
      <c r="O84" s="33" t="n">
        <f>14555</f>
        <v>14555.0</v>
      </c>
      <c r="P84" s="34" t="s">
        <v>50</v>
      </c>
      <c r="Q84" s="33" t="n">
        <f>15165</f>
        <v>15165.0</v>
      </c>
      <c r="R84" s="34" t="s">
        <v>51</v>
      </c>
      <c r="S84" s="35" t="n">
        <f>15632.89</f>
        <v>15632.89</v>
      </c>
      <c r="T84" s="32" t="n">
        <f>1403</f>
        <v>1403.0</v>
      </c>
      <c r="U84" s="32" t="str">
        <f>"－"</f>
        <v>－</v>
      </c>
      <c r="V84" s="32" t="n">
        <f>22512775</f>
        <v>2.2512775E7</v>
      </c>
      <c r="W84" s="32" t="str">
        <f>"－"</f>
        <v>－</v>
      </c>
      <c r="X84" s="36" t="n">
        <f>19</f>
        <v>19.0</v>
      </c>
    </row>
    <row r="85">
      <c r="A85" s="27" t="s">
        <v>42</v>
      </c>
      <c r="B85" s="27" t="s">
        <v>295</v>
      </c>
      <c r="C85" s="27" t="s">
        <v>296</v>
      </c>
      <c r="D85" s="27" t="s">
        <v>297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18900</f>
        <v>18900.0</v>
      </c>
      <c r="L85" s="34" t="s">
        <v>48</v>
      </c>
      <c r="M85" s="33" t="n">
        <f>19810</f>
        <v>19810.0</v>
      </c>
      <c r="N85" s="34" t="s">
        <v>90</v>
      </c>
      <c r="O85" s="33" t="n">
        <f>18770</f>
        <v>18770.0</v>
      </c>
      <c r="P85" s="34" t="s">
        <v>50</v>
      </c>
      <c r="Q85" s="33" t="n">
        <f>19160</f>
        <v>19160.0</v>
      </c>
      <c r="R85" s="34" t="s">
        <v>51</v>
      </c>
      <c r="S85" s="35" t="n">
        <f>19281.32</f>
        <v>19281.32</v>
      </c>
      <c r="T85" s="32" t="n">
        <f>8233</f>
        <v>8233.0</v>
      </c>
      <c r="U85" s="32" t="str">
        <f>"－"</f>
        <v>－</v>
      </c>
      <c r="V85" s="32" t="n">
        <f>159272020</f>
        <v>1.5927202E8</v>
      </c>
      <c r="W85" s="32" t="str">
        <f>"－"</f>
        <v>－</v>
      </c>
      <c r="X85" s="36" t="n">
        <f>19</f>
        <v>19.0</v>
      </c>
    </row>
    <row r="86">
      <c r="A86" s="27" t="s">
        <v>42</v>
      </c>
      <c r="B86" s="27" t="s">
        <v>298</v>
      </c>
      <c r="C86" s="27" t="s">
        <v>299</v>
      </c>
      <c r="D86" s="27" t="s">
        <v>300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10590</f>
        <v>10590.0</v>
      </c>
      <c r="L86" s="34" t="s">
        <v>48</v>
      </c>
      <c r="M86" s="33" t="n">
        <f>10590</f>
        <v>10590.0</v>
      </c>
      <c r="N86" s="34" t="s">
        <v>48</v>
      </c>
      <c r="O86" s="33" t="n">
        <f>10000</f>
        <v>10000.0</v>
      </c>
      <c r="P86" s="34" t="s">
        <v>51</v>
      </c>
      <c r="Q86" s="33" t="n">
        <f>10000</f>
        <v>10000.0</v>
      </c>
      <c r="R86" s="34" t="s">
        <v>51</v>
      </c>
      <c r="S86" s="35" t="n">
        <f>10313.68</f>
        <v>10313.68</v>
      </c>
      <c r="T86" s="32" t="n">
        <f>8490</f>
        <v>8490.0</v>
      </c>
      <c r="U86" s="32" t="n">
        <f>30</f>
        <v>30.0</v>
      </c>
      <c r="V86" s="32" t="n">
        <f>87307800</f>
        <v>8.73078E7</v>
      </c>
      <c r="W86" s="32" t="n">
        <f>303600</f>
        <v>303600.0</v>
      </c>
      <c r="X86" s="36" t="n">
        <f>19</f>
        <v>19.0</v>
      </c>
    </row>
    <row r="87">
      <c r="A87" s="27" t="s">
        <v>42</v>
      </c>
      <c r="B87" s="27" t="s">
        <v>301</v>
      </c>
      <c r="C87" s="27" t="s">
        <v>302</v>
      </c>
      <c r="D87" s="27" t="s">
        <v>303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2564</f>
        <v>2564.0</v>
      </c>
      <c r="L87" s="34" t="s">
        <v>48</v>
      </c>
      <c r="M87" s="33" t="n">
        <f>2564</f>
        <v>2564.0</v>
      </c>
      <c r="N87" s="34" t="s">
        <v>48</v>
      </c>
      <c r="O87" s="33" t="n">
        <f>2456</f>
        <v>2456.0</v>
      </c>
      <c r="P87" s="34" t="s">
        <v>50</v>
      </c>
      <c r="Q87" s="33" t="n">
        <f>2466</f>
        <v>2466.0</v>
      </c>
      <c r="R87" s="34" t="s">
        <v>51</v>
      </c>
      <c r="S87" s="35" t="n">
        <f>2494.84</f>
        <v>2494.84</v>
      </c>
      <c r="T87" s="32" t="n">
        <f>381427</f>
        <v>381427.0</v>
      </c>
      <c r="U87" s="32" t="n">
        <f>242471</f>
        <v>242471.0</v>
      </c>
      <c r="V87" s="32" t="n">
        <f>953189511</f>
        <v>9.53189511E8</v>
      </c>
      <c r="W87" s="32" t="n">
        <f>607245595</f>
        <v>6.07245595E8</v>
      </c>
      <c r="X87" s="36" t="n">
        <f>19</f>
        <v>19.0</v>
      </c>
    </row>
    <row r="88">
      <c r="A88" s="27" t="s">
        <v>42</v>
      </c>
      <c r="B88" s="27" t="s">
        <v>304</v>
      </c>
      <c r="C88" s="27" t="s">
        <v>305</v>
      </c>
      <c r="D88" s="27" t="s">
        <v>306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2370</f>
        <v>2370.0</v>
      </c>
      <c r="L88" s="34" t="s">
        <v>48</v>
      </c>
      <c r="M88" s="33" t="n">
        <f>2370</f>
        <v>2370.0</v>
      </c>
      <c r="N88" s="34" t="s">
        <v>48</v>
      </c>
      <c r="O88" s="33" t="n">
        <f>2269</f>
        <v>2269.0</v>
      </c>
      <c r="P88" s="34" t="s">
        <v>69</v>
      </c>
      <c r="Q88" s="33" t="n">
        <f>2274</f>
        <v>2274.0</v>
      </c>
      <c r="R88" s="34" t="s">
        <v>51</v>
      </c>
      <c r="S88" s="35" t="n">
        <f>2312.95</f>
        <v>2312.95</v>
      </c>
      <c r="T88" s="32" t="n">
        <f>236949</f>
        <v>236949.0</v>
      </c>
      <c r="U88" s="32" t="n">
        <f>43000</f>
        <v>43000.0</v>
      </c>
      <c r="V88" s="32" t="n">
        <f>546504885</f>
        <v>5.46504885E8</v>
      </c>
      <c r="W88" s="32" t="n">
        <f>99791699</f>
        <v>9.9791699E7</v>
      </c>
      <c r="X88" s="36" t="n">
        <f>19</f>
        <v>19.0</v>
      </c>
    </row>
    <row r="89">
      <c r="A89" s="27" t="s">
        <v>42</v>
      </c>
      <c r="B89" s="27" t="s">
        <v>307</v>
      </c>
      <c r="C89" s="27" t="s">
        <v>308</v>
      </c>
      <c r="D89" s="27" t="s">
        <v>309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15745</f>
        <v>15745.0</v>
      </c>
      <c r="L89" s="34" t="s">
        <v>48</v>
      </c>
      <c r="M89" s="33" t="n">
        <f>16610</f>
        <v>16610.0</v>
      </c>
      <c r="N89" s="34" t="s">
        <v>61</v>
      </c>
      <c r="O89" s="33" t="n">
        <f>14000</f>
        <v>14000.0</v>
      </c>
      <c r="P89" s="34" t="s">
        <v>50</v>
      </c>
      <c r="Q89" s="33" t="n">
        <f>14470</f>
        <v>14470.0</v>
      </c>
      <c r="R89" s="34" t="s">
        <v>51</v>
      </c>
      <c r="S89" s="35" t="n">
        <f>14991.84</f>
        <v>14991.84</v>
      </c>
      <c r="T89" s="32" t="n">
        <f>11486</f>
        <v>11486.0</v>
      </c>
      <c r="U89" s="32" t="n">
        <f>1713</f>
        <v>1713.0</v>
      </c>
      <c r="V89" s="32" t="n">
        <f>174491988</f>
        <v>1.74491988E8</v>
      </c>
      <c r="W89" s="32" t="n">
        <f>24982903</f>
        <v>2.4982903E7</v>
      </c>
      <c r="X89" s="36" t="n">
        <f>19</f>
        <v>19.0</v>
      </c>
    </row>
    <row r="90">
      <c r="A90" s="27" t="s">
        <v>42</v>
      </c>
      <c r="B90" s="27" t="s">
        <v>310</v>
      </c>
      <c r="C90" s="27" t="s">
        <v>311</v>
      </c>
      <c r="D90" s="27" t="s">
        <v>312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8335</f>
        <v>8335.0</v>
      </c>
      <c r="L90" s="34" t="s">
        <v>48</v>
      </c>
      <c r="M90" s="33" t="n">
        <f>9718</f>
        <v>9718.0</v>
      </c>
      <c r="N90" s="34" t="s">
        <v>313</v>
      </c>
      <c r="O90" s="33" t="n">
        <f>8100</f>
        <v>8100.0</v>
      </c>
      <c r="P90" s="34" t="s">
        <v>68</v>
      </c>
      <c r="Q90" s="33" t="n">
        <f>8617</f>
        <v>8617.0</v>
      </c>
      <c r="R90" s="34" t="s">
        <v>51</v>
      </c>
      <c r="S90" s="35" t="n">
        <f>8479.68</f>
        <v>8479.68</v>
      </c>
      <c r="T90" s="32" t="n">
        <f>7165</f>
        <v>7165.0</v>
      </c>
      <c r="U90" s="32" t="str">
        <f>"－"</f>
        <v>－</v>
      </c>
      <c r="V90" s="32" t="n">
        <f>63658757</f>
        <v>6.3658757E7</v>
      </c>
      <c r="W90" s="32" t="str">
        <f>"－"</f>
        <v>－</v>
      </c>
      <c r="X90" s="36" t="n">
        <f>19</f>
        <v>19.0</v>
      </c>
    </row>
    <row r="91">
      <c r="A91" s="27" t="s">
        <v>42</v>
      </c>
      <c r="B91" s="27" t="s">
        <v>314</v>
      </c>
      <c r="C91" s="27" t="s">
        <v>315</v>
      </c>
      <c r="D91" s="27" t="s">
        <v>316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6377</f>
        <v>6377.0</v>
      </c>
      <c r="L91" s="34" t="s">
        <v>48</v>
      </c>
      <c r="M91" s="33" t="n">
        <f>6470</f>
        <v>6470.0</v>
      </c>
      <c r="N91" s="34" t="s">
        <v>49</v>
      </c>
      <c r="O91" s="33" t="n">
        <f>6321</f>
        <v>6321.0</v>
      </c>
      <c r="P91" s="34" t="s">
        <v>51</v>
      </c>
      <c r="Q91" s="33" t="n">
        <f>6326</f>
        <v>6326.0</v>
      </c>
      <c r="R91" s="34" t="s">
        <v>51</v>
      </c>
      <c r="S91" s="35" t="n">
        <f>6396.68</f>
        <v>6396.68</v>
      </c>
      <c r="T91" s="32" t="n">
        <f>1407749</f>
        <v>1407749.0</v>
      </c>
      <c r="U91" s="32" t="n">
        <f>55599</f>
        <v>55599.0</v>
      </c>
      <c r="V91" s="32" t="n">
        <f>9017132429</f>
        <v>9.017132429E9</v>
      </c>
      <c r="W91" s="32" t="n">
        <f>355491656</f>
        <v>3.55491656E8</v>
      </c>
      <c r="X91" s="36" t="n">
        <f>19</f>
        <v>19.0</v>
      </c>
    </row>
    <row r="92">
      <c r="A92" s="27" t="s">
        <v>42</v>
      </c>
      <c r="B92" s="27" t="s">
        <v>317</v>
      </c>
      <c r="C92" s="27" t="s">
        <v>318</v>
      </c>
      <c r="D92" s="27" t="s">
        <v>319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3340</f>
        <v>3340.0</v>
      </c>
      <c r="L92" s="34" t="s">
        <v>48</v>
      </c>
      <c r="M92" s="33" t="n">
        <f>3580</f>
        <v>3580.0</v>
      </c>
      <c r="N92" s="34" t="s">
        <v>50</v>
      </c>
      <c r="O92" s="33" t="n">
        <f>3300</f>
        <v>3300.0</v>
      </c>
      <c r="P92" s="34" t="s">
        <v>320</v>
      </c>
      <c r="Q92" s="33" t="n">
        <f>3500</f>
        <v>3500.0</v>
      </c>
      <c r="R92" s="34" t="s">
        <v>51</v>
      </c>
      <c r="S92" s="35" t="n">
        <f>3431.58</f>
        <v>3431.58</v>
      </c>
      <c r="T92" s="32" t="n">
        <f>565759</f>
        <v>565759.0</v>
      </c>
      <c r="U92" s="32" t="n">
        <f>1</f>
        <v>1.0</v>
      </c>
      <c r="V92" s="32" t="n">
        <f>1957066085</f>
        <v>1.957066085E9</v>
      </c>
      <c r="W92" s="32" t="n">
        <f>3525</f>
        <v>3525.0</v>
      </c>
      <c r="X92" s="36" t="n">
        <f>19</f>
        <v>19.0</v>
      </c>
    </row>
    <row r="93">
      <c r="A93" s="27" t="s">
        <v>42</v>
      </c>
      <c r="B93" s="27" t="s">
        <v>321</v>
      </c>
      <c r="C93" s="27" t="s">
        <v>322</v>
      </c>
      <c r="D93" s="27" t="s">
        <v>323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7969</f>
        <v>7969.0</v>
      </c>
      <c r="L93" s="34" t="s">
        <v>48</v>
      </c>
      <c r="M93" s="33" t="n">
        <f>8395</f>
        <v>8395.0</v>
      </c>
      <c r="N93" s="34" t="s">
        <v>86</v>
      </c>
      <c r="O93" s="33" t="n">
        <f>7678</f>
        <v>7678.0</v>
      </c>
      <c r="P93" s="34" t="s">
        <v>51</v>
      </c>
      <c r="Q93" s="33" t="n">
        <f>7732</f>
        <v>7732.0</v>
      </c>
      <c r="R93" s="34" t="s">
        <v>51</v>
      </c>
      <c r="S93" s="35" t="n">
        <f>8006.68</f>
        <v>8006.68</v>
      </c>
      <c r="T93" s="32" t="n">
        <f>194684</f>
        <v>194684.0</v>
      </c>
      <c r="U93" s="32" t="str">
        <f>"－"</f>
        <v>－</v>
      </c>
      <c r="V93" s="32" t="n">
        <f>1551348726</f>
        <v>1.551348726E9</v>
      </c>
      <c r="W93" s="32" t="str">
        <f>"－"</f>
        <v>－</v>
      </c>
      <c r="X93" s="36" t="n">
        <f>19</f>
        <v>19.0</v>
      </c>
    </row>
    <row r="94">
      <c r="A94" s="27" t="s">
        <v>42</v>
      </c>
      <c r="B94" s="27" t="s">
        <v>324</v>
      </c>
      <c r="C94" s="27" t="s">
        <v>325</v>
      </c>
      <c r="D94" s="27" t="s">
        <v>326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63090</f>
        <v>63090.0</v>
      </c>
      <c r="L94" s="34" t="s">
        <v>48</v>
      </c>
      <c r="M94" s="33" t="n">
        <f>80520</f>
        <v>80520.0</v>
      </c>
      <c r="N94" s="34" t="s">
        <v>69</v>
      </c>
      <c r="O94" s="33" t="n">
        <f>62000</f>
        <v>62000.0</v>
      </c>
      <c r="P94" s="34" t="s">
        <v>48</v>
      </c>
      <c r="Q94" s="33" t="n">
        <f>78760</f>
        <v>78760.0</v>
      </c>
      <c r="R94" s="34" t="s">
        <v>51</v>
      </c>
      <c r="S94" s="35" t="n">
        <f>68166.32</f>
        <v>68166.32</v>
      </c>
      <c r="T94" s="32" t="n">
        <f>10023</f>
        <v>10023.0</v>
      </c>
      <c r="U94" s="32" t="n">
        <f>4</f>
        <v>4.0</v>
      </c>
      <c r="V94" s="32" t="n">
        <f>736830790</f>
        <v>7.3683079E8</v>
      </c>
      <c r="W94" s="32" t="n">
        <f>315720</f>
        <v>315720.0</v>
      </c>
      <c r="X94" s="36" t="n">
        <f>19</f>
        <v>19.0</v>
      </c>
    </row>
    <row r="95">
      <c r="A95" s="27" t="s">
        <v>42</v>
      </c>
      <c r="B95" s="27" t="s">
        <v>327</v>
      </c>
      <c r="C95" s="27" t="s">
        <v>328</v>
      </c>
      <c r="D95" s="27" t="s">
        <v>329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19275</f>
        <v>19275.0</v>
      </c>
      <c r="L95" s="34" t="s">
        <v>48</v>
      </c>
      <c r="M95" s="33" t="n">
        <f>19400</f>
        <v>19400.0</v>
      </c>
      <c r="N95" s="34" t="s">
        <v>48</v>
      </c>
      <c r="O95" s="33" t="n">
        <f>16100</f>
        <v>16100.0</v>
      </c>
      <c r="P95" s="34" t="s">
        <v>50</v>
      </c>
      <c r="Q95" s="33" t="n">
        <f>16980</f>
        <v>16980.0</v>
      </c>
      <c r="R95" s="34" t="s">
        <v>51</v>
      </c>
      <c r="S95" s="35" t="n">
        <f>17675.53</f>
        <v>17675.53</v>
      </c>
      <c r="T95" s="32" t="n">
        <f>3461605</f>
        <v>3461605.0</v>
      </c>
      <c r="U95" s="32" t="n">
        <f>200880</f>
        <v>200880.0</v>
      </c>
      <c r="V95" s="32" t="n">
        <f>60322266087</f>
        <v>6.0322266087E10</v>
      </c>
      <c r="W95" s="32" t="n">
        <f>3522381807</f>
        <v>3.522381807E9</v>
      </c>
      <c r="X95" s="36" t="n">
        <f>19</f>
        <v>19.0</v>
      </c>
    </row>
    <row r="96">
      <c r="A96" s="27" t="s">
        <v>42</v>
      </c>
      <c r="B96" s="27" t="s">
        <v>330</v>
      </c>
      <c r="C96" s="27" t="s">
        <v>331</v>
      </c>
      <c r="D96" s="27" t="s">
        <v>332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41240</f>
        <v>41240.0</v>
      </c>
      <c r="L96" s="34" t="s">
        <v>48</v>
      </c>
      <c r="M96" s="33" t="n">
        <f>41730</f>
        <v>41730.0</v>
      </c>
      <c r="N96" s="34" t="s">
        <v>49</v>
      </c>
      <c r="O96" s="33" t="n">
        <f>37730</f>
        <v>37730.0</v>
      </c>
      <c r="P96" s="34" t="s">
        <v>50</v>
      </c>
      <c r="Q96" s="33" t="n">
        <f>39270</f>
        <v>39270.0</v>
      </c>
      <c r="R96" s="34" t="s">
        <v>51</v>
      </c>
      <c r="S96" s="35" t="n">
        <f>39779.47</f>
        <v>39779.47</v>
      </c>
      <c r="T96" s="32" t="n">
        <f>319659</f>
        <v>319659.0</v>
      </c>
      <c r="U96" s="32" t="n">
        <f>42103</f>
        <v>42103.0</v>
      </c>
      <c r="V96" s="32" t="n">
        <f>12672804930</f>
        <v>1.267280493E10</v>
      </c>
      <c r="W96" s="32" t="n">
        <f>1662349800</f>
        <v>1.6623498E9</v>
      </c>
      <c r="X96" s="36" t="n">
        <f>19</f>
        <v>19.0</v>
      </c>
    </row>
    <row r="97">
      <c r="A97" s="27" t="s">
        <v>42</v>
      </c>
      <c r="B97" s="27" t="s">
        <v>333</v>
      </c>
      <c r="C97" s="27" t="s">
        <v>334</v>
      </c>
      <c r="D97" s="27" t="s">
        <v>335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6032</f>
        <v>6032.0</v>
      </c>
      <c r="L97" s="34" t="s">
        <v>48</v>
      </c>
      <c r="M97" s="33" t="n">
        <f>6079</f>
        <v>6079.0</v>
      </c>
      <c r="N97" s="34" t="s">
        <v>49</v>
      </c>
      <c r="O97" s="33" t="n">
        <f>5310</f>
        <v>5310.0</v>
      </c>
      <c r="P97" s="34" t="s">
        <v>50</v>
      </c>
      <c r="Q97" s="33" t="n">
        <f>5561</f>
        <v>5561.0</v>
      </c>
      <c r="R97" s="34" t="s">
        <v>51</v>
      </c>
      <c r="S97" s="35" t="n">
        <f>5714.05</f>
        <v>5714.05</v>
      </c>
      <c r="T97" s="32" t="n">
        <f>2618820</f>
        <v>2618820.0</v>
      </c>
      <c r="U97" s="32" t="n">
        <f>187180</f>
        <v>187180.0</v>
      </c>
      <c r="V97" s="32" t="n">
        <f>14893587539</f>
        <v>1.4893587539E10</v>
      </c>
      <c r="W97" s="32" t="n">
        <f>1064771479</f>
        <v>1.064771479E9</v>
      </c>
      <c r="X97" s="36" t="n">
        <f>19</f>
        <v>19.0</v>
      </c>
    </row>
    <row r="98">
      <c r="A98" s="27" t="s">
        <v>42</v>
      </c>
      <c r="B98" s="27" t="s">
        <v>336</v>
      </c>
      <c r="C98" s="27" t="s">
        <v>337</v>
      </c>
      <c r="D98" s="27" t="s">
        <v>338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3845</f>
        <v>3845.0</v>
      </c>
      <c r="L98" s="34" t="s">
        <v>48</v>
      </c>
      <c r="M98" s="33" t="n">
        <f>3880</f>
        <v>3880.0</v>
      </c>
      <c r="N98" s="34" t="s">
        <v>49</v>
      </c>
      <c r="O98" s="33" t="n">
        <f>3452</f>
        <v>3452.0</v>
      </c>
      <c r="P98" s="34" t="s">
        <v>50</v>
      </c>
      <c r="Q98" s="33" t="n">
        <f>3609</f>
        <v>3609.0</v>
      </c>
      <c r="R98" s="34" t="s">
        <v>51</v>
      </c>
      <c r="S98" s="35" t="n">
        <f>3682.68</f>
        <v>3682.68</v>
      </c>
      <c r="T98" s="32" t="n">
        <f>143710</f>
        <v>143710.0</v>
      </c>
      <c r="U98" s="32" t="n">
        <f>50</f>
        <v>50.0</v>
      </c>
      <c r="V98" s="32" t="n">
        <f>526586840</f>
        <v>5.2658684E8</v>
      </c>
      <c r="W98" s="32" t="n">
        <f>190550</f>
        <v>190550.0</v>
      </c>
      <c r="X98" s="36" t="n">
        <f>19</f>
        <v>19.0</v>
      </c>
    </row>
    <row r="99">
      <c r="A99" s="27" t="s">
        <v>42</v>
      </c>
      <c r="B99" s="27" t="s">
        <v>339</v>
      </c>
      <c r="C99" s="27" t="s">
        <v>340</v>
      </c>
      <c r="D99" s="27" t="s">
        <v>341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5521</f>
        <v>5521.0</v>
      </c>
      <c r="L99" s="34" t="s">
        <v>48</v>
      </c>
      <c r="M99" s="33" t="n">
        <f>5642</f>
        <v>5642.0</v>
      </c>
      <c r="N99" s="34" t="s">
        <v>48</v>
      </c>
      <c r="O99" s="33" t="n">
        <f>4453</f>
        <v>4453.0</v>
      </c>
      <c r="P99" s="34" t="s">
        <v>50</v>
      </c>
      <c r="Q99" s="33" t="n">
        <f>4639</f>
        <v>4639.0</v>
      </c>
      <c r="R99" s="34" t="s">
        <v>51</v>
      </c>
      <c r="S99" s="35" t="n">
        <f>4946.68</f>
        <v>4946.68</v>
      </c>
      <c r="T99" s="32" t="n">
        <f>21110</f>
        <v>21110.0</v>
      </c>
      <c r="U99" s="32" t="n">
        <f>10</f>
        <v>10.0</v>
      </c>
      <c r="V99" s="32" t="n">
        <f>104042710</f>
        <v>1.0404271E8</v>
      </c>
      <c r="W99" s="32" t="n">
        <f>49690</f>
        <v>49690.0</v>
      </c>
      <c r="X99" s="36" t="n">
        <f>19</f>
        <v>19.0</v>
      </c>
    </row>
    <row r="100">
      <c r="A100" s="27" t="s">
        <v>42</v>
      </c>
      <c r="B100" s="27" t="s">
        <v>342</v>
      </c>
      <c r="C100" s="27" t="s">
        <v>343</v>
      </c>
      <c r="D100" s="27" t="s">
        <v>344</v>
      </c>
      <c r="E100" s="28" t="s">
        <v>46</v>
      </c>
      <c r="F100" s="29" t="s">
        <v>46</v>
      </c>
      <c r="G100" s="30" t="s">
        <v>46</v>
      </c>
      <c r="H100" s="31" t="s">
        <v>229</v>
      </c>
      <c r="I100" s="31" t="s">
        <v>47</v>
      </c>
      <c r="J100" s="32" t="n">
        <v>1.0</v>
      </c>
      <c r="K100" s="33" t="n">
        <f>1677</f>
        <v>1677.0</v>
      </c>
      <c r="L100" s="34" t="s">
        <v>48</v>
      </c>
      <c r="M100" s="33" t="n">
        <f>2380</f>
        <v>2380.0</v>
      </c>
      <c r="N100" s="34" t="s">
        <v>50</v>
      </c>
      <c r="O100" s="33" t="n">
        <f>1632</f>
        <v>1632.0</v>
      </c>
      <c r="P100" s="34" t="s">
        <v>219</v>
      </c>
      <c r="Q100" s="33" t="n">
        <f>2101</f>
        <v>2101.0</v>
      </c>
      <c r="R100" s="34" t="s">
        <v>51</v>
      </c>
      <c r="S100" s="35" t="n">
        <f>1891.95</f>
        <v>1891.95</v>
      </c>
      <c r="T100" s="32" t="n">
        <f>38965905</f>
        <v>3.8965905E7</v>
      </c>
      <c r="U100" s="32" t="n">
        <f>60136</f>
        <v>60136.0</v>
      </c>
      <c r="V100" s="32" t="n">
        <f>76438741664</f>
        <v>7.6438741664E10</v>
      </c>
      <c r="W100" s="32" t="n">
        <f>133279783</f>
        <v>1.33279783E8</v>
      </c>
      <c r="X100" s="36" t="n">
        <f>19</f>
        <v>19.0</v>
      </c>
    </row>
    <row r="101">
      <c r="A101" s="27" t="s">
        <v>42</v>
      </c>
      <c r="B101" s="27" t="s">
        <v>345</v>
      </c>
      <c r="C101" s="27" t="s">
        <v>346</v>
      </c>
      <c r="D101" s="27" t="s">
        <v>347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3287</f>
        <v>3287.0</v>
      </c>
      <c r="L101" s="34" t="s">
        <v>48</v>
      </c>
      <c r="M101" s="33" t="n">
        <f>3310</f>
        <v>3310.0</v>
      </c>
      <c r="N101" s="34" t="s">
        <v>49</v>
      </c>
      <c r="O101" s="33" t="n">
        <f>2940.5</f>
        <v>2940.5</v>
      </c>
      <c r="P101" s="34" t="s">
        <v>50</v>
      </c>
      <c r="Q101" s="33" t="n">
        <f>3065</f>
        <v>3065.0</v>
      </c>
      <c r="R101" s="34" t="s">
        <v>51</v>
      </c>
      <c r="S101" s="35" t="n">
        <f>3142.74</f>
        <v>3142.74</v>
      </c>
      <c r="T101" s="32" t="n">
        <f>230610</f>
        <v>230610.0</v>
      </c>
      <c r="U101" s="32" t="str">
        <f>"－"</f>
        <v>－</v>
      </c>
      <c r="V101" s="32" t="n">
        <f>727896770</f>
        <v>7.2789677E8</v>
      </c>
      <c r="W101" s="32" t="str">
        <f>"－"</f>
        <v>－</v>
      </c>
      <c r="X101" s="36" t="n">
        <f>19</f>
        <v>19.0</v>
      </c>
    </row>
    <row r="102">
      <c r="A102" s="27" t="s">
        <v>42</v>
      </c>
      <c r="B102" s="27" t="s">
        <v>348</v>
      </c>
      <c r="C102" s="27" t="s">
        <v>349</v>
      </c>
      <c r="D102" s="27" t="s">
        <v>350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1958</f>
        <v>1958.0</v>
      </c>
      <c r="L102" s="34" t="s">
        <v>48</v>
      </c>
      <c r="M102" s="33" t="n">
        <f>1990</f>
        <v>1990.0</v>
      </c>
      <c r="N102" s="34" t="s">
        <v>49</v>
      </c>
      <c r="O102" s="33" t="n">
        <f>1620.5</f>
        <v>1620.5</v>
      </c>
      <c r="P102" s="34" t="s">
        <v>50</v>
      </c>
      <c r="Q102" s="33" t="n">
        <f>1707</f>
        <v>1707.0</v>
      </c>
      <c r="R102" s="34" t="s">
        <v>51</v>
      </c>
      <c r="S102" s="35" t="n">
        <f>1804.26</f>
        <v>1804.26</v>
      </c>
      <c r="T102" s="32" t="n">
        <f>162700</f>
        <v>162700.0</v>
      </c>
      <c r="U102" s="32" t="n">
        <f>140</f>
        <v>140.0</v>
      </c>
      <c r="V102" s="32" t="n">
        <f>291268825</f>
        <v>2.91268825E8</v>
      </c>
      <c r="W102" s="32" t="n">
        <f>237700</f>
        <v>237700.0</v>
      </c>
      <c r="X102" s="36" t="n">
        <f>19</f>
        <v>19.0</v>
      </c>
    </row>
    <row r="103">
      <c r="A103" s="27" t="s">
        <v>42</v>
      </c>
      <c r="B103" s="27" t="s">
        <v>351</v>
      </c>
      <c r="C103" s="27" t="s">
        <v>352</v>
      </c>
      <c r="D103" s="27" t="s">
        <v>353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55080</f>
        <v>55080.0</v>
      </c>
      <c r="L103" s="34" t="s">
        <v>48</v>
      </c>
      <c r="M103" s="33" t="n">
        <f>55460</f>
        <v>55460.0</v>
      </c>
      <c r="N103" s="34" t="s">
        <v>48</v>
      </c>
      <c r="O103" s="33" t="n">
        <f>48840</f>
        <v>48840.0</v>
      </c>
      <c r="P103" s="34" t="s">
        <v>50</v>
      </c>
      <c r="Q103" s="33" t="n">
        <f>51150</f>
        <v>51150.0</v>
      </c>
      <c r="R103" s="34" t="s">
        <v>51</v>
      </c>
      <c r="S103" s="35" t="n">
        <f>52331.58</f>
        <v>52331.58</v>
      </c>
      <c r="T103" s="32" t="n">
        <f>291086</f>
        <v>291086.0</v>
      </c>
      <c r="U103" s="32" t="n">
        <f>18005</f>
        <v>18005.0</v>
      </c>
      <c r="V103" s="32" t="n">
        <f>14988265220</f>
        <v>1.498826522E10</v>
      </c>
      <c r="W103" s="32" t="n">
        <f>996407020</f>
        <v>9.9640702E8</v>
      </c>
      <c r="X103" s="36" t="n">
        <f>19</f>
        <v>19.0</v>
      </c>
    </row>
    <row r="104">
      <c r="A104" s="27" t="s">
        <v>42</v>
      </c>
      <c r="B104" s="27" t="s">
        <v>354</v>
      </c>
      <c r="C104" s="27" t="s">
        <v>355</v>
      </c>
      <c r="D104" s="27" t="s">
        <v>356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3035</f>
        <v>3035.0</v>
      </c>
      <c r="L104" s="34" t="s">
        <v>48</v>
      </c>
      <c r="M104" s="33" t="n">
        <f>3175</f>
        <v>3175.0</v>
      </c>
      <c r="N104" s="34" t="s">
        <v>49</v>
      </c>
      <c r="O104" s="33" t="n">
        <f>3005</f>
        <v>3005.0</v>
      </c>
      <c r="P104" s="34" t="s">
        <v>50</v>
      </c>
      <c r="Q104" s="33" t="n">
        <f>3030</f>
        <v>3030.0</v>
      </c>
      <c r="R104" s="34" t="s">
        <v>51</v>
      </c>
      <c r="S104" s="35" t="n">
        <f>3105</f>
        <v>3105.0</v>
      </c>
      <c r="T104" s="32" t="n">
        <f>6247</f>
        <v>6247.0</v>
      </c>
      <c r="U104" s="32" t="str">
        <f>"－"</f>
        <v>－</v>
      </c>
      <c r="V104" s="32" t="n">
        <f>19454435</f>
        <v>1.9454435E7</v>
      </c>
      <c r="W104" s="32" t="str">
        <f>"－"</f>
        <v>－</v>
      </c>
      <c r="X104" s="36" t="n">
        <f>19</f>
        <v>19.0</v>
      </c>
    </row>
    <row r="105">
      <c r="A105" s="27" t="s">
        <v>42</v>
      </c>
      <c r="B105" s="27" t="s">
        <v>357</v>
      </c>
      <c r="C105" s="27" t="s">
        <v>358</v>
      </c>
      <c r="D105" s="27" t="s">
        <v>359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4090</f>
        <v>4090.0</v>
      </c>
      <c r="L105" s="34" t="s">
        <v>48</v>
      </c>
      <c r="M105" s="33" t="n">
        <f>4245</f>
        <v>4245.0</v>
      </c>
      <c r="N105" s="34" t="s">
        <v>219</v>
      </c>
      <c r="O105" s="33" t="n">
        <f>3940</f>
        <v>3940.0</v>
      </c>
      <c r="P105" s="34" t="s">
        <v>76</v>
      </c>
      <c r="Q105" s="33" t="n">
        <f>4045</f>
        <v>4045.0</v>
      </c>
      <c r="R105" s="34" t="s">
        <v>51</v>
      </c>
      <c r="S105" s="35" t="n">
        <f>4071.84</f>
        <v>4071.84</v>
      </c>
      <c r="T105" s="32" t="n">
        <f>4665</f>
        <v>4665.0</v>
      </c>
      <c r="U105" s="32" t="str">
        <f>"－"</f>
        <v>－</v>
      </c>
      <c r="V105" s="32" t="n">
        <f>19111980</f>
        <v>1.911198E7</v>
      </c>
      <c r="W105" s="32" t="str">
        <f>"－"</f>
        <v>－</v>
      </c>
      <c r="X105" s="36" t="n">
        <f>19</f>
        <v>19.0</v>
      </c>
    </row>
    <row r="106">
      <c r="A106" s="27" t="s">
        <v>42</v>
      </c>
      <c r="B106" s="27" t="s">
        <v>360</v>
      </c>
      <c r="C106" s="27" t="s">
        <v>361</v>
      </c>
      <c r="D106" s="27" t="s">
        <v>362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4075</f>
        <v>4075.0</v>
      </c>
      <c r="L106" s="34" t="s">
        <v>48</v>
      </c>
      <c r="M106" s="33" t="n">
        <f>4080</f>
        <v>4080.0</v>
      </c>
      <c r="N106" s="34" t="s">
        <v>48</v>
      </c>
      <c r="O106" s="33" t="n">
        <f>2565</f>
        <v>2565.0</v>
      </c>
      <c r="P106" s="34" t="s">
        <v>69</v>
      </c>
      <c r="Q106" s="33" t="n">
        <f>2723</f>
        <v>2723.0</v>
      </c>
      <c r="R106" s="34" t="s">
        <v>51</v>
      </c>
      <c r="S106" s="35" t="n">
        <f>3188.16</f>
        <v>3188.16</v>
      </c>
      <c r="T106" s="32" t="n">
        <f>719627</f>
        <v>719627.0</v>
      </c>
      <c r="U106" s="32" t="n">
        <f>16</f>
        <v>16.0</v>
      </c>
      <c r="V106" s="32" t="n">
        <f>2190127632</f>
        <v>2.190127632E9</v>
      </c>
      <c r="W106" s="32" t="n">
        <f>46216</f>
        <v>46216.0</v>
      </c>
      <c r="X106" s="36" t="n">
        <f>19</f>
        <v>19.0</v>
      </c>
    </row>
    <row r="107">
      <c r="A107" s="27" t="s">
        <v>42</v>
      </c>
      <c r="B107" s="27" t="s">
        <v>363</v>
      </c>
      <c r="C107" s="27" t="s">
        <v>364</v>
      </c>
      <c r="D107" s="27" t="s">
        <v>365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43440</f>
        <v>43440.0</v>
      </c>
      <c r="L107" s="34" t="s">
        <v>48</v>
      </c>
      <c r="M107" s="33" t="n">
        <f>43650</f>
        <v>43650.0</v>
      </c>
      <c r="N107" s="34" t="s">
        <v>49</v>
      </c>
      <c r="O107" s="33" t="n">
        <f>42640</f>
        <v>42640.0</v>
      </c>
      <c r="P107" s="34" t="s">
        <v>76</v>
      </c>
      <c r="Q107" s="33" t="n">
        <f>42980</f>
        <v>42980.0</v>
      </c>
      <c r="R107" s="34" t="s">
        <v>51</v>
      </c>
      <c r="S107" s="35" t="n">
        <f>43017.37</f>
        <v>43017.37</v>
      </c>
      <c r="T107" s="32" t="n">
        <f>19047</f>
        <v>19047.0</v>
      </c>
      <c r="U107" s="32" t="n">
        <f>601</f>
        <v>601.0</v>
      </c>
      <c r="V107" s="32" t="n">
        <f>821938822</f>
        <v>8.21938822E8</v>
      </c>
      <c r="W107" s="32" t="n">
        <f>25776332</f>
        <v>2.5776332E7</v>
      </c>
      <c r="X107" s="36" t="n">
        <f>19</f>
        <v>19.0</v>
      </c>
    </row>
    <row r="108">
      <c r="A108" s="27" t="s">
        <v>42</v>
      </c>
      <c r="B108" s="27" t="s">
        <v>366</v>
      </c>
      <c r="C108" s="27" t="s">
        <v>367</v>
      </c>
      <c r="D108" s="27" t="s">
        <v>368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25650</f>
        <v>25650.0</v>
      </c>
      <c r="L108" s="34" t="s">
        <v>48</v>
      </c>
      <c r="M108" s="33" t="n">
        <f>26400</f>
        <v>26400.0</v>
      </c>
      <c r="N108" s="34" t="s">
        <v>49</v>
      </c>
      <c r="O108" s="33" t="n">
        <f>21205</f>
        <v>21205.0</v>
      </c>
      <c r="P108" s="34" t="s">
        <v>50</v>
      </c>
      <c r="Q108" s="33" t="n">
        <f>22670</f>
        <v>22670.0</v>
      </c>
      <c r="R108" s="34" t="s">
        <v>51</v>
      </c>
      <c r="S108" s="35" t="n">
        <f>24136.05</f>
        <v>24136.05</v>
      </c>
      <c r="T108" s="32" t="n">
        <f>2218450</f>
        <v>2218450.0</v>
      </c>
      <c r="U108" s="32" t="n">
        <f>17150</f>
        <v>17150.0</v>
      </c>
      <c r="V108" s="32" t="n">
        <f>53013874632</f>
        <v>5.3013874632E10</v>
      </c>
      <c r="W108" s="32" t="n">
        <f>421849082</f>
        <v>4.21849082E8</v>
      </c>
      <c r="X108" s="36" t="n">
        <f>19</f>
        <v>19.0</v>
      </c>
    </row>
    <row r="109">
      <c r="A109" s="27" t="s">
        <v>42</v>
      </c>
      <c r="B109" s="27" t="s">
        <v>369</v>
      </c>
      <c r="C109" s="27" t="s">
        <v>370</v>
      </c>
      <c r="D109" s="27" t="s">
        <v>371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2088.5</f>
        <v>2088.5</v>
      </c>
      <c r="L109" s="34" t="s">
        <v>48</v>
      </c>
      <c r="M109" s="33" t="n">
        <f>2285</f>
        <v>2285.0</v>
      </c>
      <c r="N109" s="34" t="s">
        <v>50</v>
      </c>
      <c r="O109" s="33" t="n">
        <f>2061</f>
        <v>2061.0</v>
      </c>
      <c r="P109" s="34" t="s">
        <v>49</v>
      </c>
      <c r="Q109" s="33" t="n">
        <f>2212</f>
        <v>2212.0</v>
      </c>
      <c r="R109" s="34" t="s">
        <v>51</v>
      </c>
      <c r="S109" s="35" t="n">
        <f>2151.21</f>
        <v>2151.21</v>
      </c>
      <c r="T109" s="32" t="n">
        <f>410610</f>
        <v>410610.0</v>
      </c>
      <c r="U109" s="32" t="n">
        <f>100</f>
        <v>100.0</v>
      </c>
      <c r="V109" s="32" t="n">
        <f>901290860</f>
        <v>9.0129086E8</v>
      </c>
      <c r="W109" s="32" t="n">
        <f>224320</f>
        <v>224320.0</v>
      </c>
      <c r="X109" s="36" t="n">
        <f>19</f>
        <v>19.0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15950</f>
        <v>15950.0</v>
      </c>
      <c r="L110" s="34" t="s">
        <v>48</v>
      </c>
      <c r="M110" s="33" t="n">
        <f>16295</f>
        <v>16295.0</v>
      </c>
      <c r="N110" s="34" t="s">
        <v>49</v>
      </c>
      <c r="O110" s="33" t="n">
        <f>12735</f>
        <v>12735.0</v>
      </c>
      <c r="P110" s="34" t="s">
        <v>50</v>
      </c>
      <c r="Q110" s="33" t="n">
        <f>13695</f>
        <v>13695.0</v>
      </c>
      <c r="R110" s="34" t="s">
        <v>51</v>
      </c>
      <c r="S110" s="35" t="n">
        <f>14672.63</f>
        <v>14672.63</v>
      </c>
      <c r="T110" s="32" t="n">
        <f>213481867</f>
        <v>2.13481867E8</v>
      </c>
      <c r="U110" s="32" t="n">
        <f>281087</f>
        <v>281087.0</v>
      </c>
      <c r="V110" s="32" t="n">
        <f>3074795169100</f>
        <v>3.0747951691E12</v>
      </c>
      <c r="W110" s="32" t="n">
        <f>4135708155</f>
        <v>4.135708155E9</v>
      </c>
      <c r="X110" s="36" t="n">
        <f>19</f>
        <v>19.0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973</f>
        <v>973.0</v>
      </c>
      <c r="L111" s="34" t="s">
        <v>48</v>
      </c>
      <c r="M111" s="33" t="n">
        <f>1081</f>
        <v>1081.0</v>
      </c>
      <c r="N111" s="34" t="s">
        <v>50</v>
      </c>
      <c r="O111" s="33" t="n">
        <f>962</f>
        <v>962.0</v>
      </c>
      <c r="P111" s="34" t="s">
        <v>49</v>
      </c>
      <c r="Q111" s="33" t="n">
        <f>1042</f>
        <v>1042.0</v>
      </c>
      <c r="R111" s="34" t="s">
        <v>51</v>
      </c>
      <c r="S111" s="35" t="n">
        <f>1012.11</f>
        <v>1012.11</v>
      </c>
      <c r="T111" s="32" t="n">
        <f>27563865</f>
        <v>2.7563865E7</v>
      </c>
      <c r="U111" s="32" t="str">
        <f>"－"</f>
        <v>－</v>
      </c>
      <c r="V111" s="32" t="n">
        <f>28034723397</f>
        <v>2.8034723397E10</v>
      </c>
      <c r="W111" s="32" t="str">
        <f>"－"</f>
        <v>－</v>
      </c>
      <c r="X111" s="36" t="n">
        <f>19</f>
        <v>19.0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6936</f>
        <v>6936.0</v>
      </c>
      <c r="L112" s="34" t="s">
        <v>48</v>
      </c>
      <c r="M112" s="33" t="n">
        <f>7850</f>
        <v>7850.0</v>
      </c>
      <c r="N112" s="34" t="s">
        <v>288</v>
      </c>
      <c r="O112" s="33" t="n">
        <f>6560</f>
        <v>6560.0</v>
      </c>
      <c r="P112" s="34" t="s">
        <v>61</v>
      </c>
      <c r="Q112" s="33" t="n">
        <f>7027</f>
        <v>7027.0</v>
      </c>
      <c r="R112" s="34" t="s">
        <v>51</v>
      </c>
      <c r="S112" s="35" t="n">
        <f>7224.79</f>
        <v>7224.79</v>
      </c>
      <c r="T112" s="32" t="n">
        <f>64130</f>
        <v>64130.0</v>
      </c>
      <c r="U112" s="32" t="str">
        <f>"－"</f>
        <v>－</v>
      </c>
      <c r="V112" s="32" t="n">
        <f>464649620</f>
        <v>4.6464962E8</v>
      </c>
      <c r="W112" s="32" t="str">
        <f>"－"</f>
        <v>－</v>
      </c>
      <c r="X112" s="36" t="n">
        <f>19</f>
        <v>19.0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8719</f>
        <v>8719.0</v>
      </c>
      <c r="L113" s="34" t="s">
        <v>48</v>
      </c>
      <c r="M113" s="33" t="n">
        <f>9000</f>
        <v>9000.0</v>
      </c>
      <c r="N113" s="34" t="s">
        <v>61</v>
      </c>
      <c r="O113" s="33" t="n">
        <f>8120</f>
        <v>8120.0</v>
      </c>
      <c r="P113" s="34" t="s">
        <v>86</v>
      </c>
      <c r="Q113" s="33" t="n">
        <f>8510</f>
        <v>8510.0</v>
      </c>
      <c r="R113" s="34" t="s">
        <v>51</v>
      </c>
      <c r="S113" s="35" t="n">
        <f>8483.84</f>
        <v>8483.84</v>
      </c>
      <c r="T113" s="32" t="n">
        <f>10940</f>
        <v>10940.0</v>
      </c>
      <c r="U113" s="32" t="str">
        <f>"－"</f>
        <v>－</v>
      </c>
      <c r="V113" s="32" t="n">
        <f>92728160</f>
        <v>9.272816E7</v>
      </c>
      <c r="W113" s="32" t="str">
        <f>"－"</f>
        <v>－</v>
      </c>
      <c r="X113" s="36" t="n">
        <f>19</f>
        <v>19.0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849</f>
        <v>849.0</v>
      </c>
      <c r="L114" s="34" t="s">
        <v>48</v>
      </c>
      <c r="M114" s="33" t="n">
        <f>849</f>
        <v>849.0</v>
      </c>
      <c r="N114" s="34" t="s">
        <v>48</v>
      </c>
      <c r="O114" s="33" t="n">
        <f>770</f>
        <v>770.0</v>
      </c>
      <c r="P114" s="34" t="s">
        <v>313</v>
      </c>
      <c r="Q114" s="33" t="n">
        <f>782</f>
        <v>782.0</v>
      </c>
      <c r="R114" s="34" t="s">
        <v>51</v>
      </c>
      <c r="S114" s="35" t="n">
        <f>807.18</f>
        <v>807.18</v>
      </c>
      <c r="T114" s="32" t="n">
        <f>11090</f>
        <v>11090.0</v>
      </c>
      <c r="U114" s="32" t="str">
        <f>"－"</f>
        <v>－</v>
      </c>
      <c r="V114" s="32" t="n">
        <f>8988863</f>
        <v>8988863.0</v>
      </c>
      <c r="W114" s="32" t="str">
        <f>"－"</f>
        <v>－</v>
      </c>
      <c r="X114" s="36" t="n">
        <f>18</f>
        <v>18.0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22800</f>
        <v>22800.0</v>
      </c>
      <c r="L115" s="34" t="s">
        <v>48</v>
      </c>
      <c r="M115" s="33" t="n">
        <f>24345</f>
        <v>24345.0</v>
      </c>
      <c r="N115" s="34" t="s">
        <v>90</v>
      </c>
      <c r="O115" s="33" t="n">
        <f>22800</f>
        <v>22800.0</v>
      </c>
      <c r="P115" s="34" t="s">
        <v>48</v>
      </c>
      <c r="Q115" s="33" t="n">
        <f>23405</f>
        <v>23405.0</v>
      </c>
      <c r="R115" s="34" t="s">
        <v>51</v>
      </c>
      <c r="S115" s="35" t="n">
        <f>23625.79</f>
        <v>23625.79</v>
      </c>
      <c r="T115" s="32" t="n">
        <f>103701</f>
        <v>103701.0</v>
      </c>
      <c r="U115" s="32" t="n">
        <f>23251</f>
        <v>23251.0</v>
      </c>
      <c r="V115" s="32" t="n">
        <f>2466693895</f>
        <v>2.466693895E9</v>
      </c>
      <c r="W115" s="32" t="n">
        <f>551911775</f>
        <v>5.51911775E8</v>
      </c>
      <c r="X115" s="36" t="n">
        <f>19</f>
        <v>19.0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2330</f>
        <v>2330.0</v>
      </c>
      <c r="L116" s="34" t="s">
        <v>48</v>
      </c>
      <c r="M116" s="33" t="n">
        <f>2355</f>
        <v>2355.0</v>
      </c>
      <c r="N116" s="34" t="s">
        <v>49</v>
      </c>
      <c r="O116" s="33" t="n">
        <f>2071</f>
        <v>2071.0</v>
      </c>
      <c r="P116" s="34" t="s">
        <v>50</v>
      </c>
      <c r="Q116" s="33" t="n">
        <f>2150</f>
        <v>2150.0</v>
      </c>
      <c r="R116" s="34" t="s">
        <v>51</v>
      </c>
      <c r="S116" s="35" t="n">
        <f>2222.05</f>
        <v>2222.05</v>
      </c>
      <c r="T116" s="32" t="n">
        <f>695018</f>
        <v>695018.0</v>
      </c>
      <c r="U116" s="32" t="n">
        <f>651500</f>
        <v>651500.0</v>
      </c>
      <c r="V116" s="32" t="n">
        <f>1534053792</f>
        <v>1.534053792E9</v>
      </c>
      <c r="W116" s="32" t="n">
        <f>1438830150</f>
        <v>1.43883015E9</v>
      </c>
      <c r="X116" s="36" t="n">
        <f>19</f>
        <v>19.0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17050</f>
        <v>17050.0</v>
      </c>
      <c r="L117" s="34" t="s">
        <v>48</v>
      </c>
      <c r="M117" s="33" t="n">
        <f>17435</f>
        <v>17435.0</v>
      </c>
      <c r="N117" s="34" t="s">
        <v>49</v>
      </c>
      <c r="O117" s="33" t="n">
        <f>13620</f>
        <v>13620.0</v>
      </c>
      <c r="P117" s="34" t="s">
        <v>50</v>
      </c>
      <c r="Q117" s="33" t="n">
        <f>14670</f>
        <v>14670.0</v>
      </c>
      <c r="R117" s="34" t="s">
        <v>51</v>
      </c>
      <c r="S117" s="35" t="n">
        <f>15687.37</f>
        <v>15687.37</v>
      </c>
      <c r="T117" s="32" t="n">
        <f>15493880</f>
        <v>1.549388E7</v>
      </c>
      <c r="U117" s="32" t="n">
        <f>20330</f>
        <v>20330.0</v>
      </c>
      <c r="V117" s="32" t="n">
        <f>240409366900</f>
        <v>2.404093669E11</v>
      </c>
      <c r="W117" s="32" t="n">
        <f>312582750</f>
        <v>3.1258275E8</v>
      </c>
      <c r="X117" s="36" t="n">
        <f>19</f>
        <v>19.0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2590.5</f>
        <v>2590.5</v>
      </c>
      <c r="L118" s="34" t="s">
        <v>48</v>
      </c>
      <c r="M118" s="33" t="n">
        <f>2876.5</f>
        <v>2876.5</v>
      </c>
      <c r="N118" s="34" t="s">
        <v>50</v>
      </c>
      <c r="O118" s="33" t="n">
        <f>2561</f>
        <v>2561.0</v>
      </c>
      <c r="P118" s="34" t="s">
        <v>49</v>
      </c>
      <c r="Q118" s="33" t="n">
        <f>2773</f>
        <v>2773.0</v>
      </c>
      <c r="R118" s="34" t="s">
        <v>51</v>
      </c>
      <c r="S118" s="35" t="n">
        <f>2693.68</f>
        <v>2693.68</v>
      </c>
      <c r="T118" s="32" t="n">
        <f>1882200</f>
        <v>1882200.0</v>
      </c>
      <c r="U118" s="32" t="n">
        <f>90</f>
        <v>90.0</v>
      </c>
      <c r="V118" s="32" t="n">
        <f>5137857120</f>
        <v>5.13785712E9</v>
      </c>
      <c r="W118" s="32" t="n">
        <f>238770</f>
        <v>238770.0</v>
      </c>
      <c r="X118" s="36" t="n">
        <f>19</f>
        <v>19.0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948.4</f>
        <v>948.4</v>
      </c>
      <c r="L119" s="34" t="s">
        <v>48</v>
      </c>
      <c r="M119" s="33" t="n">
        <f>988.8</f>
        <v>988.8</v>
      </c>
      <c r="N119" s="34" t="s">
        <v>402</v>
      </c>
      <c r="O119" s="33" t="n">
        <f>831.1</f>
        <v>831.1</v>
      </c>
      <c r="P119" s="34" t="s">
        <v>69</v>
      </c>
      <c r="Q119" s="33" t="n">
        <f>832.1</f>
        <v>832.1</v>
      </c>
      <c r="R119" s="34" t="s">
        <v>51</v>
      </c>
      <c r="S119" s="35" t="n">
        <f>926.54</f>
        <v>926.54</v>
      </c>
      <c r="T119" s="32" t="n">
        <f>1570</f>
        <v>1570.0</v>
      </c>
      <c r="U119" s="32" t="str">
        <f>"－"</f>
        <v>－</v>
      </c>
      <c r="V119" s="32" t="n">
        <f>1443198</f>
        <v>1443198.0</v>
      </c>
      <c r="W119" s="32" t="str">
        <f>"－"</f>
        <v>－</v>
      </c>
      <c r="X119" s="36" t="n">
        <f>13</f>
        <v>13.0</v>
      </c>
    </row>
    <row r="120">
      <c r="A120" s="27" t="s">
        <v>42</v>
      </c>
      <c r="B120" s="27" t="s">
        <v>403</v>
      </c>
      <c r="C120" s="27" t="s">
        <v>404</v>
      </c>
      <c r="D120" s="27" t="s">
        <v>405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1595</f>
        <v>1595.0</v>
      </c>
      <c r="L120" s="34" t="s">
        <v>48</v>
      </c>
      <c r="M120" s="33" t="n">
        <f>1619</f>
        <v>1619.0</v>
      </c>
      <c r="N120" s="34" t="s">
        <v>49</v>
      </c>
      <c r="O120" s="33" t="n">
        <f>1443</f>
        <v>1443.0</v>
      </c>
      <c r="P120" s="34" t="s">
        <v>50</v>
      </c>
      <c r="Q120" s="33" t="n">
        <f>1475</f>
        <v>1475.0</v>
      </c>
      <c r="R120" s="34" t="s">
        <v>51</v>
      </c>
      <c r="S120" s="35" t="n">
        <f>1539.89</f>
        <v>1539.89</v>
      </c>
      <c r="T120" s="32" t="n">
        <f>1970</f>
        <v>1970.0</v>
      </c>
      <c r="U120" s="32" t="n">
        <f>10</f>
        <v>10.0</v>
      </c>
      <c r="V120" s="32" t="n">
        <f>3155770</f>
        <v>3155770.0</v>
      </c>
      <c r="W120" s="32" t="n">
        <f>15870</f>
        <v>15870.0</v>
      </c>
      <c r="X120" s="36" t="n">
        <f>9</f>
        <v>9.0</v>
      </c>
    </row>
    <row r="121">
      <c r="A121" s="27" t="s">
        <v>42</v>
      </c>
      <c r="B121" s="27" t="s">
        <v>406</v>
      </c>
      <c r="C121" s="27" t="s">
        <v>407</v>
      </c>
      <c r="D121" s="27" t="s">
        <v>408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1838</f>
        <v>1838.0</v>
      </c>
      <c r="L121" s="34" t="s">
        <v>48</v>
      </c>
      <c r="M121" s="33" t="n">
        <f>1984</f>
        <v>1984.0</v>
      </c>
      <c r="N121" s="34" t="s">
        <v>49</v>
      </c>
      <c r="O121" s="33" t="n">
        <f>1578</f>
        <v>1578.0</v>
      </c>
      <c r="P121" s="34" t="s">
        <v>50</v>
      </c>
      <c r="Q121" s="33" t="n">
        <f>1628</f>
        <v>1628.0</v>
      </c>
      <c r="R121" s="34" t="s">
        <v>51</v>
      </c>
      <c r="S121" s="35" t="n">
        <f>1704.05</f>
        <v>1704.05</v>
      </c>
      <c r="T121" s="32" t="n">
        <f>5788</f>
        <v>5788.0</v>
      </c>
      <c r="U121" s="32" t="str">
        <f>"－"</f>
        <v>－</v>
      </c>
      <c r="V121" s="32" t="n">
        <f>9934495</f>
        <v>9934495.0</v>
      </c>
      <c r="W121" s="32" t="str">
        <f>"－"</f>
        <v>－</v>
      </c>
      <c r="X121" s="36" t="n">
        <f>19</f>
        <v>19.0</v>
      </c>
    </row>
    <row r="122">
      <c r="A122" s="27" t="s">
        <v>42</v>
      </c>
      <c r="B122" s="27" t="s">
        <v>409</v>
      </c>
      <c r="C122" s="27" t="s">
        <v>410</v>
      </c>
      <c r="D122" s="27" t="s">
        <v>411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18210</f>
        <v>18210.0</v>
      </c>
      <c r="L122" s="34" t="s">
        <v>48</v>
      </c>
      <c r="M122" s="33" t="n">
        <f>18490</f>
        <v>18490.0</v>
      </c>
      <c r="N122" s="34" t="s">
        <v>49</v>
      </c>
      <c r="O122" s="33" t="n">
        <f>16640</f>
        <v>16640.0</v>
      </c>
      <c r="P122" s="34" t="s">
        <v>50</v>
      </c>
      <c r="Q122" s="33" t="n">
        <f>17180</f>
        <v>17180.0</v>
      </c>
      <c r="R122" s="34" t="s">
        <v>51</v>
      </c>
      <c r="S122" s="35" t="n">
        <f>17708.16</f>
        <v>17708.16</v>
      </c>
      <c r="T122" s="32" t="n">
        <f>44688</f>
        <v>44688.0</v>
      </c>
      <c r="U122" s="32" t="n">
        <f>5811</f>
        <v>5811.0</v>
      </c>
      <c r="V122" s="32" t="n">
        <f>776244074</f>
        <v>7.76244074E8</v>
      </c>
      <c r="W122" s="32" t="n">
        <f>97695359</f>
        <v>9.7695359E7</v>
      </c>
      <c r="X122" s="36" t="n">
        <f>19</f>
        <v>19.0</v>
      </c>
    </row>
    <row r="123">
      <c r="A123" s="27" t="s">
        <v>42</v>
      </c>
      <c r="B123" s="27" t="s">
        <v>412</v>
      </c>
      <c r="C123" s="27" t="s">
        <v>413</v>
      </c>
      <c r="D123" s="27" t="s">
        <v>414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1679</f>
        <v>1679.0</v>
      </c>
      <c r="L123" s="34" t="s">
        <v>48</v>
      </c>
      <c r="M123" s="33" t="n">
        <f>1716</f>
        <v>1716.0</v>
      </c>
      <c r="N123" s="34" t="s">
        <v>61</v>
      </c>
      <c r="O123" s="33" t="n">
        <f>1534</f>
        <v>1534.0</v>
      </c>
      <c r="P123" s="34" t="s">
        <v>50</v>
      </c>
      <c r="Q123" s="33" t="n">
        <f>1567</f>
        <v>1567.0</v>
      </c>
      <c r="R123" s="34" t="s">
        <v>51</v>
      </c>
      <c r="S123" s="35" t="n">
        <f>1627.16</f>
        <v>1627.16</v>
      </c>
      <c r="T123" s="32" t="n">
        <f>2568944</f>
        <v>2568944.0</v>
      </c>
      <c r="U123" s="32" t="n">
        <f>2474001</f>
        <v>2474001.0</v>
      </c>
      <c r="V123" s="32" t="n">
        <f>4123378629</f>
        <v>4.123378629E9</v>
      </c>
      <c r="W123" s="32" t="n">
        <f>3971356916</f>
        <v>3.971356916E9</v>
      </c>
      <c r="X123" s="36" t="n">
        <f>19</f>
        <v>19.0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18770</f>
        <v>18770.0</v>
      </c>
      <c r="L124" s="34" t="s">
        <v>48</v>
      </c>
      <c r="M124" s="33" t="n">
        <f>19050</f>
        <v>19050.0</v>
      </c>
      <c r="N124" s="34" t="s">
        <v>61</v>
      </c>
      <c r="O124" s="33" t="n">
        <f>17020</f>
        <v>17020.0</v>
      </c>
      <c r="P124" s="34" t="s">
        <v>50</v>
      </c>
      <c r="Q124" s="33" t="n">
        <f>17530</f>
        <v>17530.0</v>
      </c>
      <c r="R124" s="34" t="s">
        <v>51</v>
      </c>
      <c r="S124" s="35" t="n">
        <f>18175.53</f>
        <v>18175.53</v>
      </c>
      <c r="T124" s="32" t="n">
        <f>35620</f>
        <v>35620.0</v>
      </c>
      <c r="U124" s="32" t="str">
        <f>"－"</f>
        <v>－</v>
      </c>
      <c r="V124" s="32" t="n">
        <f>653880790</f>
        <v>6.5388079E8</v>
      </c>
      <c r="W124" s="32" t="str">
        <f>"－"</f>
        <v>－</v>
      </c>
      <c r="X124" s="36" t="n">
        <f>19</f>
        <v>19.0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2133.5</f>
        <v>2133.5</v>
      </c>
      <c r="L125" s="34" t="s">
        <v>48</v>
      </c>
      <c r="M125" s="33" t="n">
        <f>2133.5</f>
        <v>2133.5</v>
      </c>
      <c r="N125" s="34" t="s">
        <v>48</v>
      </c>
      <c r="O125" s="33" t="n">
        <f>1820</f>
        <v>1820.0</v>
      </c>
      <c r="P125" s="34" t="s">
        <v>86</v>
      </c>
      <c r="Q125" s="33" t="n">
        <f>1988</f>
        <v>1988.0</v>
      </c>
      <c r="R125" s="34" t="s">
        <v>51</v>
      </c>
      <c r="S125" s="35" t="n">
        <f>1998.42</f>
        <v>1998.42</v>
      </c>
      <c r="T125" s="32" t="n">
        <f>2979890</f>
        <v>2979890.0</v>
      </c>
      <c r="U125" s="32" t="n">
        <f>920540</f>
        <v>920540.0</v>
      </c>
      <c r="V125" s="32" t="n">
        <f>5783997879</f>
        <v>5.783997879E9</v>
      </c>
      <c r="W125" s="32" t="n">
        <f>1788472714</f>
        <v>1.788472714E9</v>
      </c>
      <c r="X125" s="36" t="n">
        <f>19</f>
        <v>19.0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1771</f>
        <v>1771.0</v>
      </c>
      <c r="L126" s="34" t="s">
        <v>48</v>
      </c>
      <c r="M126" s="33" t="n">
        <f>1777</f>
        <v>1777.0</v>
      </c>
      <c r="N126" s="34" t="s">
        <v>48</v>
      </c>
      <c r="O126" s="33" t="n">
        <f>1649</f>
        <v>1649.0</v>
      </c>
      <c r="P126" s="34" t="s">
        <v>76</v>
      </c>
      <c r="Q126" s="33" t="n">
        <f>1649</f>
        <v>1649.0</v>
      </c>
      <c r="R126" s="34" t="s">
        <v>76</v>
      </c>
      <c r="S126" s="35" t="n">
        <f>1708.8</f>
        <v>1708.8</v>
      </c>
      <c r="T126" s="32" t="n">
        <f>160</f>
        <v>160.0</v>
      </c>
      <c r="U126" s="32" t="str">
        <f>"－"</f>
        <v>－</v>
      </c>
      <c r="V126" s="32" t="n">
        <f>275870</f>
        <v>275870.0</v>
      </c>
      <c r="W126" s="32" t="str">
        <f>"－"</f>
        <v>－</v>
      </c>
      <c r="X126" s="36" t="n">
        <f>5</f>
        <v>5.0</v>
      </c>
    </row>
    <row r="127">
      <c r="A127" s="27" t="s">
        <v>42</v>
      </c>
      <c r="B127" s="27" t="s">
        <v>424</v>
      </c>
      <c r="C127" s="27" t="s">
        <v>425</v>
      </c>
      <c r="D127" s="27" t="s">
        <v>426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2132</f>
        <v>2132.0</v>
      </c>
      <c r="L127" s="34" t="s">
        <v>48</v>
      </c>
      <c r="M127" s="33" t="n">
        <f>2133.5</f>
        <v>2133.5</v>
      </c>
      <c r="N127" s="34" t="s">
        <v>49</v>
      </c>
      <c r="O127" s="33" t="n">
        <f>1836.5</f>
        <v>1836.5</v>
      </c>
      <c r="P127" s="34" t="s">
        <v>86</v>
      </c>
      <c r="Q127" s="33" t="n">
        <f>2005</f>
        <v>2005.0</v>
      </c>
      <c r="R127" s="34" t="s">
        <v>51</v>
      </c>
      <c r="S127" s="35" t="n">
        <f>2014.53</f>
        <v>2014.53</v>
      </c>
      <c r="T127" s="32" t="n">
        <f>1128760</f>
        <v>1128760.0</v>
      </c>
      <c r="U127" s="32" t="n">
        <f>64670</f>
        <v>64670.0</v>
      </c>
      <c r="V127" s="32" t="n">
        <f>2258288206</f>
        <v>2.258288206E9</v>
      </c>
      <c r="W127" s="32" t="n">
        <f>120659921</f>
        <v>1.20659921E8</v>
      </c>
      <c r="X127" s="36" t="n">
        <f>19</f>
        <v>19.0</v>
      </c>
    </row>
    <row r="128">
      <c r="A128" s="27" t="s">
        <v>42</v>
      </c>
      <c r="B128" s="27" t="s">
        <v>427</v>
      </c>
      <c r="C128" s="27" t="s">
        <v>428</v>
      </c>
      <c r="D128" s="27" t="s">
        <v>429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18650</f>
        <v>18650.0</v>
      </c>
      <c r="L128" s="34" t="s">
        <v>48</v>
      </c>
      <c r="M128" s="33" t="n">
        <f>18845</f>
        <v>18845.0</v>
      </c>
      <c r="N128" s="34" t="s">
        <v>49</v>
      </c>
      <c r="O128" s="33" t="n">
        <f>16850</f>
        <v>16850.0</v>
      </c>
      <c r="P128" s="34" t="s">
        <v>50</v>
      </c>
      <c r="Q128" s="33" t="n">
        <f>17320</f>
        <v>17320.0</v>
      </c>
      <c r="R128" s="34" t="s">
        <v>51</v>
      </c>
      <c r="S128" s="35" t="n">
        <f>17936.94</f>
        <v>17936.94</v>
      </c>
      <c r="T128" s="32" t="n">
        <f>4181</f>
        <v>4181.0</v>
      </c>
      <c r="U128" s="32" t="n">
        <f>1</f>
        <v>1.0</v>
      </c>
      <c r="V128" s="32" t="n">
        <f>75254540</f>
        <v>7.525454E7</v>
      </c>
      <c r="W128" s="32" t="n">
        <f>18830</f>
        <v>18830.0</v>
      </c>
      <c r="X128" s="36" t="n">
        <f>18</f>
        <v>18.0</v>
      </c>
    </row>
    <row r="129">
      <c r="A129" s="27" t="s">
        <v>42</v>
      </c>
      <c r="B129" s="27" t="s">
        <v>430</v>
      </c>
      <c r="C129" s="27" t="s">
        <v>431</v>
      </c>
      <c r="D129" s="27" t="s">
        <v>432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100.0</v>
      </c>
      <c r="K129" s="33" t="n">
        <f>153.2</f>
        <v>153.2</v>
      </c>
      <c r="L129" s="34" t="s">
        <v>48</v>
      </c>
      <c r="M129" s="33" t="n">
        <f>170.7</f>
        <v>170.7</v>
      </c>
      <c r="N129" s="34" t="s">
        <v>90</v>
      </c>
      <c r="O129" s="33" t="n">
        <f>153.2</f>
        <v>153.2</v>
      </c>
      <c r="P129" s="34" t="s">
        <v>48</v>
      </c>
      <c r="Q129" s="33" t="n">
        <f>162.7</f>
        <v>162.7</v>
      </c>
      <c r="R129" s="34" t="s">
        <v>51</v>
      </c>
      <c r="S129" s="35" t="n">
        <f>162.99</f>
        <v>162.99</v>
      </c>
      <c r="T129" s="32" t="n">
        <f>83806300</f>
        <v>8.38063E7</v>
      </c>
      <c r="U129" s="32" t="n">
        <f>182200</f>
        <v>182200.0</v>
      </c>
      <c r="V129" s="32" t="n">
        <f>13718775705</f>
        <v>1.3718775705E10</v>
      </c>
      <c r="W129" s="32" t="n">
        <f>29256285</f>
        <v>2.9256285E7</v>
      </c>
      <c r="X129" s="36" t="n">
        <f>19</f>
        <v>19.0</v>
      </c>
    </row>
    <row r="130">
      <c r="A130" s="27" t="s">
        <v>42</v>
      </c>
      <c r="B130" s="27" t="s">
        <v>433</v>
      </c>
      <c r="C130" s="27" t="s">
        <v>434</v>
      </c>
      <c r="D130" s="27" t="s">
        <v>435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27825</f>
        <v>27825.0</v>
      </c>
      <c r="L130" s="34" t="s">
        <v>48</v>
      </c>
      <c r="M130" s="33" t="n">
        <f>28475</f>
        <v>28475.0</v>
      </c>
      <c r="N130" s="34" t="s">
        <v>68</v>
      </c>
      <c r="O130" s="33" t="n">
        <f>26900</f>
        <v>26900.0</v>
      </c>
      <c r="P130" s="34" t="s">
        <v>263</v>
      </c>
      <c r="Q130" s="33" t="n">
        <f>27615</f>
        <v>27615.0</v>
      </c>
      <c r="R130" s="34" t="s">
        <v>51</v>
      </c>
      <c r="S130" s="35" t="n">
        <f>27866.05</f>
        <v>27866.05</v>
      </c>
      <c r="T130" s="32" t="n">
        <f>858</f>
        <v>858.0</v>
      </c>
      <c r="U130" s="32" t="str">
        <f>"－"</f>
        <v>－</v>
      </c>
      <c r="V130" s="32" t="n">
        <f>23794695</f>
        <v>2.3794695E7</v>
      </c>
      <c r="W130" s="32" t="str">
        <f>"－"</f>
        <v>－</v>
      </c>
      <c r="X130" s="36" t="n">
        <f>19</f>
        <v>19.0</v>
      </c>
    </row>
    <row r="131">
      <c r="A131" s="27" t="s">
        <v>42</v>
      </c>
      <c r="B131" s="27" t="s">
        <v>436</v>
      </c>
      <c r="C131" s="27" t="s">
        <v>437</v>
      </c>
      <c r="D131" s="27" t="s">
        <v>438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10875</f>
        <v>10875.0</v>
      </c>
      <c r="L131" s="34" t="s">
        <v>48</v>
      </c>
      <c r="M131" s="33" t="n">
        <f>11965</f>
        <v>11965.0</v>
      </c>
      <c r="N131" s="34" t="s">
        <v>263</v>
      </c>
      <c r="O131" s="33" t="n">
        <f>10805</f>
        <v>10805.0</v>
      </c>
      <c r="P131" s="34" t="s">
        <v>48</v>
      </c>
      <c r="Q131" s="33" t="n">
        <f>11520</f>
        <v>11520.0</v>
      </c>
      <c r="R131" s="34" t="s">
        <v>51</v>
      </c>
      <c r="S131" s="35" t="n">
        <f>11376.32</f>
        <v>11376.32</v>
      </c>
      <c r="T131" s="32" t="n">
        <f>12414</f>
        <v>12414.0</v>
      </c>
      <c r="U131" s="32" t="str">
        <f>"－"</f>
        <v>－</v>
      </c>
      <c r="V131" s="32" t="n">
        <f>142598325</f>
        <v>1.42598325E8</v>
      </c>
      <c r="W131" s="32" t="str">
        <f>"－"</f>
        <v>－</v>
      </c>
      <c r="X131" s="36" t="n">
        <f>19</f>
        <v>19.0</v>
      </c>
    </row>
    <row r="132">
      <c r="A132" s="27" t="s">
        <v>42</v>
      </c>
      <c r="B132" s="27" t="s">
        <v>439</v>
      </c>
      <c r="C132" s="27" t="s">
        <v>440</v>
      </c>
      <c r="D132" s="27" t="s">
        <v>441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22540</f>
        <v>22540.0</v>
      </c>
      <c r="L132" s="34" t="s">
        <v>48</v>
      </c>
      <c r="M132" s="33" t="n">
        <f>23060</f>
        <v>23060.0</v>
      </c>
      <c r="N132" s="34" t="s">
        <v>48</v>
      </c>
      <c r="O132" s="33" t="n">
        <f>20825</f>
        <v>20825.0</v>
      </c>
      <c r="P132" s="34" t="s">
        <v>50</v>
      </c>
      <c r="Q132" s="33" t="n">
        <f>21320</f>
        <v>21320.0</v>
      </c>
      <c r="R132" s="34" t="s">
        <v>51</v>
      </c>
      <c r="S132" s="35" t="n">
        <f>21721.84</f>
        <v>21721.84</v>
      </c>
      <c r="T132" s="32" t="n">
        <f>577</f>
        <v>577.0</v>
      </c>
      <c r="U132" s="32" t="str">
        <f>"－"</f>
        <v>－</v>
      </c>
      <c r="V132" s="32" t="n">
        <f>12654230</f>
        <v>1.265423E7</v>
      </c>
      <c r="W132" s="32" t="str">
        <f>"－"</f>
        <v>－</v>
      </c>
      <c r="X132" s="36" t="n">
        <f>19</f>
        <v>19.0</v>
      </c>
    </row>
    <row r="133">
      <c r="A133" s="27" t="s">
        <v>42</v>
      </c>
      <c r="B133" s="27" t="s">
        <v>442</v>
      </c>
      <c r="C133" s="27" t="s">
        <v>443</v>
      </c>
      <c r="D133" s="27" t="s">
        <v>444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26960</f>
        <v>26960.0</v>
      </c>
      <c r="L133" s="34" t="s">
        <v>48</v>
      </c>
      <c r="M133" s="33" t="n">
        <f>27550</f>
        <v>27550.0</v>
      </c>
      <c r="N133" s="34" t="s">
        <v>68</v>
      </c>
      <c r="O133" s="33" t="n">
        <f>24495</f>
        <v>24495.0</v>
      </c>
      <c r="P133" s="34" t="s">
        <v>69</v>
      </c>
      <c r="Q133" s="33" t="n">
        <f>25735</f>
        <v>25735.0</v>
      </c>
      <c r="R133" s="34" t="s">
        <v>51</v>
      </c>
      <c r="S133" s="35" t="n">
        <f>26181.84</f>
        <v>26181.84</v>
      </c>
      <c r="T133" s="32" t="n">
        <f>1259</f>
        <v>1259.0</v>
      </c>
      <c r="U133" s="32" t="str">
        <f>"－"</f>
        <v>－</v>
      </c>
      <c r="V133" s="32" t="n">
        <f>33647995</f>
        <v>3.3647995E7</v>
      </c>
      <c r="W133" s="32" t="str">
        <f>"－"</f>
        <v>－</v>
      </c>
      <c r="X133" s="36" t="n">
        <f>19</f>
        <v>19.0</v>
      </c>
    </row>
    <row r="134">
      <c r="A134" s="27" t="s">
        <v>42</v>
      </c>
      <c r="B134" s="27" t="s">
        <v>445</v>
      </c>
      <c r="C134" s="27" t="s">
        <v>446</v>
      </c>
      <c r="D134" s="27" t="s">
        <v>447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22415</f>
        <v>22415.0</v>
      </c>
      <c r="L134" s="34" t="s">
        <v>48</v>
      </c>
      <c r="M134" s="33" t="n">
        <f>22815</f>
        <v>22815.0</v>
      </c>
      <c r="N134" s="34" t="s">
        <v>49</v>
      </c>
      <c r="O134" s="33" t="n">
        <f>20800</f>
        <v>20800.0</v>
      </c>
      <c r="P134" s="34" t="s">
        <v>50</v>
      </c>
      <c r="Q134" s="33" t="n">
        <f>21275</f>
        <v>21275.0</v>
      </c>
      <c r="R134" s="34" t="s">
        <v>51</v>
      </c>
      <c r="S134" s="35" t="n">
        <f>21795</f>
        <v>21795.0</v>
      </c>
      <c r="T134" s="32" t="n">
        <f>2925</f>
        <v>2925.0</v>
      </c>
      <c r="U134" s="32" t="str">
        <f>"－"</f>
        <v>－</v>
      </c>
      <c r="V134" s="32" t="n">
        <f>63468445</f>
        <v>6.3468445E7</v>
      </c>
      <c r="W134" s="32" t="str">
        <f>"－"</f>
        <v>－</v>
      </c>
      <c r="X134" s="36" t="n">
        <f>19</f>
        <v>19.0</v>
      </c>
    </row>
    <row r="135">
      <c r="A135" s="27" t="s">
        <v>42</v>
      </c>
      <c r="B135" s="27" t="s">
        <v>448</v>
      </c>
      <c r="C135" s="27" t="s">
        <v>449</v>
      </c>
      <c r="D135" s="27" t="s">
        <v>450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24300</f>
        <v>24300.0</v>
      </c>
      <c r="L135" s="34" t="s">
        <v>48</v>
      </c>
      <c r="M135" s="33" t="n">
        <f>26965</f>
        <v>26965.0</v>
      </c>
      <c r="N135" s="34" t="s">
        <v>90</v>
      </c>
      <c r="O135" s="33" t="n">
        <f>23920</f>
        <v>23920.0</v>
      </c>
      <c r="P135" s="34" t="s">
        <v>50</v>
      </c>
      <c r="Q135" s="33" t="n">
        <f>24700</f>
        <v>24700.0</v>
      </c>
      <c r="R135" s="34" t="s">
        <v>51</v>
      </c>
      <c r="S135" s="35" t="n">
        <f>25553.16</f>
        <v>25553.16</v>
      </c>
      <c r="T135" s="32" t="n">
        <f>5055</f>
        <v>5055.0</v>
      </c>
      <c r="U135" s="32" t="str">
        <f>"－"</f>
        <v>－</v>
      </c>
      <c r="V135" s="32" t="n">
        <f>129633075</f>
        <v>1.29633075E8</v>
      </c>
      <c r="W135" s="32" t="str">
        <f>"－"</f>
        <v>－</v>
      </c>
      <c r="X135" s="36" t="n">
        <f>19</f>
        <v>19.0</v>
      </c>
    </row>
    <row r="136">
      <c r="A136" s="27" t="s">
        <v>42</v>
      </c>
      <c r="B136" s="27" t="s">
        <v>451</v>
      </c>
      <c r="C136" s="27" t="s">
        <v>452</v>
      </c>
      <c r="D136" s="27" t="s">
        <v>453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15870</f>
        <v>15870.0</v>
      </c>
      <c r="L136" s="34" t="s">
        <v>48</v>
      </c>
      <c r="M136" s="33" t="n">
        <f>17680</f>
        <v>17680.0</v>
      </c>
      <c r="N136" s="34" t="s">
        <v>194</v>
      </c>
      <c r="O136" s="33" t="n">
        <f>15690</f>
        <v>15690.0</v>
      </c>
      <c r="P136" s="34" t="s">
        <v>50</v>
      </c>
      <c r="Q136" s="33" t="n">
        <f>16130</f>
        <v>16130.0</v>
      </c>
      <c r="R136" s="34" t="s">
        <v>51</v>
      </c>
      <c r="S136" s="35" t="n">
        <f>16471.05</f>
        <v>16471.05</v>
      </c>
      <c r="T136" s="32" t="n">
        <f>5328</f>
        <v>5328.0</v>
      </c>
      <c r="U136" s="32" t="n">
        <f>1</f>
        <v>1.0</v>
      </c>
      <c r="V136" s="32" t="n">
        <f>89200385</f>
        <v>8.9200385E7</v>
      </c>
      <c r="W136" s="32" t="n">
        <f>16955</f>
        <v>16955.0</v>
      </c>
      <c r="X136" s="36" t="n">
        <f>19</f>
        <v>19.0</v>
      </c>
    </row>
    <row r="137">
      <c r="A137" s="27" t="s">
        <v>42</v>
      </c>
      <c r="B137" s="27" t="s">
        <v>454</v>
      </c>
      <c r="C137" s="27" t="s">
        <v>455</v>
      </c>
      <c r="D137" s="27" t="s">
        <v>456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41750</f>
        <v>41750.0</v>
      </c>
      <c r="L137" s="34" t="s">
        <v>48</v>
      </c>
      <c r="M137" s="33" t="n">
        <f>42790</f>
        <v>42790.0</v>
      </c>
      <c r="N137" s="34" t="s">
        <v>61</v>
      </c>
      <c r="O137" s="33" t="n">
        <f>37420</f>
        <v>37420.0</v>
      </c>
      <c r="P137" s="34" t="s">
        <v>50</v>
      </c>
      <c r="Q137" s="33" t="n">
        <f>38000</f>
        <v>38000.0</v>
      </c>
      <c r="R137" s="34" t="s">
        <v>51</v>
      </c>
      <c r="S137" s="35" t="n">
        <f>40390</f>
        <v>40390.0</v>
      </c>
      <c r="T137" s="32" t="n">
        <f>1190</f>
        <v>1190.0</v>
      </c>
      <c r="U137" s="32" t="str">
        <f>"－"</f>
        <v>－</v>
      </c>
      <c r="V137" s="32" t="n">
        <f>49173900</f>
        <v>4.91739E7</v>
      </c>
      <c r="W137" s="32" t="str">
        <f>"－"</f>
        <v>－</v>
      </c>
      <c r="X137" s="36" t="n">
        <f>19</f>
        <v>19.0</v>
      </c>
    </row>
    <row r="138">
      <c r="A138" s="27" t="s">
        <v>42</v>
      </c>
      <c r="B138" s="27" t="s">
        <v>457</v>
      </c>
      <c r="C138" s="27" t="s">
        <v>458</v>
      </c>
      <c r="D138" s="27" t="s">
        <v>459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33050</f>
        <v>33050.0</v>
      </c>
      <c r="L138" s="34" t="s">
        <v>48</v>
      </c>
      <c r="M138" s="33" t="n">
        <f>33520</f>
        <v>33520.0</v>
      </c>
      <c r="N138" s="34" t="s">
        <v>49</v>
      </c>
      <c r="O138" s="33" t="n">
        <f>27185</f>
        <v>27185.0</v>
      </c>
      <c r="P138" s="34" t="s">
        <v>50</v>
      </c>
      <c r="Q138" s="33" t="n">
        <f>28000</f>
        <v>28000.0</v>
      </c>
      <c r="R138" s="34" t="s">
        <v>51</v>
      </c>
      <c r="S138" s="35" t="n">
        <f>30376.05</f>
        <v>30376.05</v>
      </c>
      <c r="T138" s="32" t="n">
        <f>4001</f>
        <v>4001.0</v>
      </c>
      <c r="U138" s="32" t="str">
        <f>"－"</f>
        <v>－</v>
      </c>
      <c r="V138" s="32" t="n">
        <f>123384560</f>
        <v>1.2338456E8</v>
      </c>
      <c r="W138" s="32" t="str">
        <f>"－"</f>
        <v>－</v>
      </c>
      <c r="X138" s="36" t="n">
        <f>19</f>
        <v>19.0</v>
      </c>
    </row>
    <row r="139">
      <c r="A139" s="27" t="s">
        <v>42</v>
      </c>
      <c r="B139" s="27" t="s">
        <v>460</v>
      </c>
      <c r="C139" s="27" t="s">
        <v>461</v>
      </c>
      <c r="D139" s="27" t="s">
        <v>462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29490</f>
        <v>29490.0</v>
      </c>
      <c r="L139" s="34" t="s">
        <v>48</v>
      </c>
      <c r="M139" s="33" t="n">
        <f>29720</f>
        <v>29720.0</v>
      </c>
      <c r="N139" s="34" t="s">
        <v>49</v>
      </c>
      <c r="O139" s="33" t="n">
        <f>26100</f>
        <v>26100.0</v>
      </c>
      <c r="P139" s="34" t="s">
        <v>50</v>
      </c>
      <c r="Q139" s="33" t="n">
        <f>27225</f>
        <v>27225.0</v>
      </c>
      <c r="R139" s="34" t="s">
        <v>51</v>
      </c>
      <c r="S139" s="35" t="n">
        <f>27946.32</f>
        <v>27946.32</v>
      </c>
      <c r="T139" s="32" t="n">
        <f>2456</f>
        <v>2456.0</v>
      </c>
      <c r="U139" s="32" t="str">
        <f>"－"</f>
        <v>－</v>
      </c>
      <c r="V139" s="32" t="n">
        <f>68741520</f>
        <v>6.874152E7</v>
      </c>
      <c r="W139" s="32" t="str">
        <f>"－"</f>
        <v>－</v>
      </c>
      <c r="X139" s="36" t="n">
        <f>19</f>
        <v>19.0</v>
      </c>
    </row>
    <row r="140">
      <c r="A140" s="27" t="s">
        <v>42</v>
      </c>
      <c r="B140" s="27" t="s">
        <v>463</v>
      </c>
      <c r="C140" s="27" t="s">
        <v>464</v>
      </c>
      <c r="D140" s="27" t="s">
        <v>465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5490</f>
        <v>5490.0</v>
      </c>
      <c r="L140" s="34" t="s">
        <v>48</v>
      </c>
      <c r="M140" s="33" t="n">
        <f>5573</f>
        <v>5573.0</v>
      </c>
      <c r="N140" s="34" t="s">
        <v>466</v>
      </c>
      <c r="O140" s="33" t="n">
        <f>5410</f>
        <v>5410.0</v>
      </c>
      <c r="P140" s="34" t="s">
        <v>51</v>
      </c>
      <c r="Q140" s="33" t="n">
        <f>5521</f>
        <v>5521.0</v>
      </c>
      <c r="R140" s="34" t="s">
        <v>51</v>
      </c>
      <c r="S140" s="35" t="n">
        <f>5510.79</f>
        <v>5510.79</v>
      </c>
      <c r="T140" s="32" t="n">
        <f>6310</f>
        <v>6310.0</v>
      </c>
      <c r="U140" s="32" t="n">
        <f>1</f>
        <v>1.0</v>
      </c>
      <c r="V140" s="32" t="n">
        <f>34698376</f>
        <v>3.4698376E7</v>
      </c>
      <c r="W140" s="32" t="n">
        <f>5922</f>
        <v>5922.0</v>
      </c>
      <c r="X140" s="36" t="n">
        <f>19</f>
        <v>19.0</v>
      </c>
    </row>
    <row r="141">
      <c r="A141" s="27" t="s">
        <v>42</v>
      </c>
      <c r="B141" s="27" t="s">
        <v>467</v>
      </c>
      <c r="C141" s="27" t="s">
        <v>468</v>
      </c>
      <c r="D141" s="27" t="s">
        <v>469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14500</f>
        <v>14500.0</v>
      </c>
      <c r="L141" s="34" t="s">
        <v>48</v>
      </c>
      <c r="M141" s="33" t="n">
        <f>14780</f>
        <v>14780.0</v>
      </c>
      <c r="N141" s="34" t="s">
        <v>49</v>
      </c>
      <c r="O141" s="33" t="n">
        <f>13645</f>
        <v>13645.0</v>
      </c>
      <c r="P141" s="34" t="s">
        <v>50</v>
      </c>
      <c r="Q141" s="33" t="n">
        <f>14145</f>
        <v>14145.0</v>
      </c>
      <c r="R141" s="34" t="s">
        <v>51</v>
      </c>
      <c r="S141" s="35" t="n">
        <f>14262.37</f>
        <v>14262.37</v>
      </c>
      <c r="T141" s="32" t="n">
        <f>13391</f>
        <v>13391.0</v>
      </c>
      <c r="U141" s="32" t="str">
        <f>"－"</f>
        <v>－</v>
      </c>
      <c r="V141" s="32" t="n">
        <f>190136705</f>
        <v>1.90136705E8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470</v>
      </c>
      <c r="C142" s="27" t="s">
        <v>471</v>
      </c>
      <c r="D142" s="27" t="s">
        <v>472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42460</f>
        <v>42460.0</v>
      </c>
      <c r="L142" s="34" t="s">
        <v>48</v>
      </c>
      <c r="M142" s="33" t="n">
        <f>43250</f>
        <v>43250.0</v>
      </c>
      <c r="N142" s="34" t="s">
        <v>219</v>
      </c>
      <c r="O142" s="33" t="n">
        <f>40870</f>
        <v>40870.0</v>
      </c>
      <c r="P142" s="34" t="s">
        <v>50</v>
      </c>
      <c r="Q142" s="33" t="n">
        <f>42110</f>
        <v>42110.0</v>
      </c>
      <c r="R142" s="34" t="s">
        <v>51</v>
      </c>
      <c r="S142" s="35" t="n">
        <f>42166.84</f>
        <v>42166.84</v>
      </c>
      <c r="T142" s="32" t="n">
        <f>4334</f>
        <v>4334.0</v>
      </c>
      <c r="U142" s="32" t="str">
        <f>"－"</f>
        <v>－</v>
      </c>
      <c r="V142" s="32" t="n">
        <f>182823860</f>
        <v>1.8282386E8</v>
      </c>
      <c r="W142" s="32" t="str">
        <f>"－"</f>
        <v>－</v>
      </c>
      <c r="X142" s="36" t="n">
        <f>19</f>
        <v>19.0</v>
      </c>
    </row>
    <row r="143">
      <c r="A143" s="27" t="s">
        <v>42</v>
      </c>
      <c r="B143" s="27" t="s">
        <v>473</v>
      </c>
      <c r="C143" s="27" t="s">
        <v>474</v>
      </c>
      <c r="D143" s="27" t="s">
        <v>475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21430</f>
        <v>21430.0</v>
      </c>
      <c r="L143" s="34" t="s">
        <v>48</v>
      </c>
      <c r="M143" s="33" t="n">
        <f>21480</f>
        <v>21480.0</v>
      </c>
      <c r="N143" s="34" t="s">
        <v>48</v>
      </c>
      <c r="O143" s="33" t="n">
        <f>20170</f>
        <v>20170.0</v>
      </c>
      <c r="P143" s="34" t="s">
        <v>313</v>
      </c>
      <c r="Q143" s="33" t="n">
        <f>21015</f>
        <v>21015.0</v>
      </c>
      <c r="R143" s="34" t="s">
        <v>51</v>
      </c>
      <c r="S143" s="35" t="n">
        <f>20717.78</f>
        <v>20717.78</v>
      </c>
      <c r="T143" s="32" t="n">
        <f>1009</f>
        <v>1009.0</v>
      </c>
      <c r="U143" s="32" t="str">
        <f>"－"</f>
        <v>－</v>
      </c>
      <c r="V143" s="32" t="n">
        <f>20865885</f>
        <v>2.0865885E7</v>
      </c>
      <c r="W143" s="32" t="str">
        <f>"－"</f>
        <v>－</v>
      </c>
      <c r="X143" s="36" t="n">
        <f>18</f>
        <v>18.0</v>
      </c>
    </row>
    <row r="144">
      <c r="A144" s="27" t="s">
        <v>42</v>
      </c>
      <c r="B144" s="27" t="s">
        <v>476</v>
      </c>
      <c r="C144" s="27" t="s">
        <v>477</v>
      </c>
      <c r="D144" s="27" t="s">
        <v>478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8029</f>
        <v>8029.0</v>
      </c>
      <c r="L144" s="34" t="s">
        <v>48</v>
      </c>
      <c r="M144" s="33" t="n">
        <f>8954</f>
        <v>8954.0</v>
      </c>
      <c r="N144" s="34" t="s">
        <v>90</v>
      </c>
      <c r="O144" s="33" t="n">
        <f>8023</f>
        <v>8023.0</v>
      </c>
      <c r="P144" s="34" t="s">
        <v>48</v>
      </c>
      <c r="Q144" s="33" t="n">
        <f>8497</f>
        <v>8497.0</v>
      </c>
      <c r="R144" s="34" t="s">
        <v>51</v>
      </c>
      <c r="S144" s="35" t="n">
        <f>8532.42</f>
        <v>8532.42</v>
      </c>
      <c r="T144" s="32" t="n">
        <f>29451</f>
        <v>29451.0</v>
      </c>
      <c r="U144" s="32" t="str">
        <f>"－"</f>
        <v>－</v>
      </c>
      <c r="V144" s="32" t="n">
        <f>251147437</f>
        <v>2.51147437E8</v>
      </c>
      <c r="W144" s="32" t="str">
        <f>"－"</f>
        <v>－</v>
      </c>
      <c r="X144" s="36" t="n">
        <f>19</f>
        <v>19.0</v>
      </c>
    </row>
    <row r="145">
      <c r="A145" s="27" t="s">
        <v>42</v>
      </c>
      <c r="B145" s="27" t="s">
        <v>479</v>
      </c>
      <c r="C145" s="27" t="s">
        <v>480</v>
      </c>
      <c r="D145" s="27" t="s">
        <v>481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14080</f>
        <v>14080.0</v>
      </c>
      <c r="L145" s="34" t="s">
        <v>48</v>
      </c>
      <c r="M145" s="33" t="n">
        <f>15600</f>
        <v>15600.0</v>
      </c>
      <c r="N145" s="34" t="s">
        <v>402</v>
      </c>
      <c r="O145" s="33" t="n">
        <f>14080</f>
        <v>14080.0</v>
      </c>
      <c r="P145" s="34" t="s">
        <v>48</v>
      </c>
      <c r="Q145" s="33" t="n">
        <f>14555</f>
        <v>14555.0</v>
      </c>
      <c r="R145" s="34" t="s">
        <v>51</v>
      </c>
      <c r="S145" s="35" t="n">
        <f>14779.74</f>
        <v>14779.74</v>
      </c>
      <c r="T145" s="32" t="n">
        <f>3443</f>
        <v>3443.0</v>
      </c>
      <c r="U145" s="32" t="str">
        <f>"－"</f>
        <v>－</v>
      </c>
      <c r="V145" s="32" t="n">
        <f>51395890</f>
        <v>5.139589E7</v>
      </c>
      <c r="W145" s="32" t="str">
        <f>"－"</f>
        <v>－</v>
      </c>
      <c r="X145" s="36" t="n">
        <f>19</f>
        <v>19.0</v>
      </c>
    </row>
    <row r="146">
      <c r="A146" s="27" t="s">
        <v>42</v>
      </c>
      <c r="B146" s="27" t="s">
        <v>482</v>
      </c>
      <c r="C146" s="27" t="s">
        <v>483</v>
      </c>
      <c r="D146" s="27" t="s">
        <v>484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27945</f>
        <v>27945.0</v>
      </c>
      <c r="L146" s="34" t="s">
        <v>48</v>
      </c>
      <c r="M146" s="33" t="n">
        <f>28500</f>
        <v>28500.0</v>
      </c>
      <c r="N146" s="34" t="s">
        <v>49</v>
      </c>
      <c r="O146" s="33" t="n">
        <f>27150</f>
        <v>27150.0</v>
      </c>
      <c r="P146" s="34" t="s">
        <v>313</v>
      </c>
      <c r="Q146" s="33" t="n">
        <f>28075</f>
        <v>28075.0</v>
      </c>
      <c r="R146" s="34" t="s">
        <v>51</v>
      </c>
      <c r="S146" s="35" t="n">
        <f>27750</f>
        <v>27750.0</v>
      </c>
      <c r="T146" s="32" t="n">
        <f>1270</f>
        <v>1270.0</v>
      </c>
      <c r="U146" s="32" t="str">
        <f>"－"</f>
        <v>－</v>
      </c>
      <c r="V146" s="32" t="n">
        <f>35274150</f>
        <v>3.527415E7</v>
      </c>
      <c r="W146" s="32" t="str">
        <f>"－"</f>
        <v>－</v>
      </c>
      <c r="X146" s="36" t="n">
        <f>19</f>
        <v>19.0</v>
      </c>
    </row>
    <row r="147">
      <c r="A147" s="27" t="s">
        <v>42</v>
      </c>
      <c r="B147" s="27" t="s">
        <v>485</v>
      </c>
      <c r="C147" s="27" t="s">
        <v>486</v>
      </c>
      <c r="D147" s="27" t="s">
        <v>487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1116</f>
        <v>1116.0</v>
      </c>
      <c r="L147" s="34" t="s">
        <v>48</v>
      </c>
      <c r="M147" s="33" t="n">
        <f>1184.5</f>
        <v>1184.5</v>
      </c>
      <c r="N147" s="34" t="s">
        <v>90</v>
      </c>
      <c r="O147" s="33" t="n">
        <f>1109</f>
        <v>1109.0</v>
      </c>
      <c r="P147" s="34" t="s">
        <v>48</v>
      </c>
      <c r="Q147" s="33" t="n">
        <f>1151</f>
        <v>1151.0</v>
      </c>
      <c r="R147" s="34" t="s">
        <v>51</v>
      </c>
      <c r="S147" s="35" t="n">
        <f>1155.92</f>
        <v>1155.92</v>
      </c>
      <c r="T147" s="32" t="n">
        <f>509480</f>
        <v>509480.0</v>
      </c>
      <c r="U147" s="32" t="n">
        <f>37230</f>
        <v>37230.0</v>
      </c>
      <c r="V147" s="32" t="n">
        <f>587621552</f>
        <v>5.87621552E8</v>
      </c>
      <c r="W147" s="32" t="n">
        <f>42725152</f>
        <v>4.2725152E7</v>
      </c>
      <c r="X147" s="36" t="n">
        <f>19</f>
        <v>19.0</v>
      </c>
    </row>
    <row r="148">
      <c r="A148" s="27" t="s">
        <v>42</v>
      </c>
      <c r="B148" s="27" t="s">
        <v>488</v>
      </c>
      <c r="C148" s="27" t="s">
        <v>489</v>
      </c>
      <c r="D148" s="27" t="s">
        <v>490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2500</f>
        <v>2500.0</v>
      </c>
      <c r="L148" s="34" t="s">
        <v>48</v>
      </c>
      <c r="M148" s="33" t="n">
        <f>2510.5</f>
        <v>2510.5</v>
      </c>
      <c r="N148" s="34" t="s">
        <v>49</v>
      </c>
      <c r="O148" s="33" t="n">
        <f>2231</f>
        <v>2231.0</v>
      </c>
      <c r="P148" s="34" t="s">
        <v>50</v>
      </c>
      <c r="Q148" s="33" t="n">
        <f>2244.5</f>
        <v>2244.5</v>
      </c>
      <c r="R148" s="34" t="s">
        <v>69</v>
      </c>
      <c r="S148" s="35" t="n">
        <f>2377.11</f>
        <v>2377.11</v>
      </c>
      <c r="T148" s="32" t="n">
        <f>7290</f>
        <v>7290.0</v>
      </c>
      <c r="U148" s="32" t="str">
        <f>"－"</f>
        <v>－</v>
      </c>
      <c r="V148" s="32" t="n">
        <f>17759340</f>
        <v>1.775934E7</v>
      </c>
      <c r="W148" s="32" t="str">
        <f>"－"</f>
        <v>－</v>
      </c>
      <c r="X148" s="36" t="n">
        <f>14</f>
        <v>14.0</v>
      </c>
    </row>
    <row r="149">
      <c r="A149" s="27" t="s">
        <v>42</v>
      </c>
      <c r="B149" s="27" t="s">
        <v>491</v>
      </c>
      <c r="C149" s="27" t="s">
        <v>492</v>
      </c>
      <c r="D149" s="27" t="s">
        <v>493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2640</f>
        <v>2640.0</v>
      </c>
      <c r="L149" s="34" t="s">
        <v>48</v>
      </c>
      <c r="M149" s="33" t="n">
        <f>2681</f>
        <v>2681.0</v>
      </c>
      <c r="N149" s="34" t="s">
        <v>49</v>
      </c>
      <c r="O149" s="33" t="n">
        <f>2388</f>
        <v>2388.0</v>
      </c>
      <c r="P149" s="34" t="s">
        <v>50</v>
      </c>
      <c r="Q149" s="33" t="n">
        <f>2443.5</f>
        <v>2443.5</v>
      </c>
      <c r="R149" s="34" t="s">
        <v>69</v>
      </c>
      <c r="S149" s="35" t="n">
        <f>2542.34</f>
        <v>2542.34</v>
      </c>
      <c r="T149" s="32" t="n">
        <f>56880</f>
        <v>56880.0</v>
      </c>
      <c r="U149" s="32" t="n">
        <f>40</f>
        <v>40.0</v>
      </c>
      <c r="V149" s="32" t="n">
        <f>145932410</f>
        <v>1.4593241E8</v>
      </c>
      <c r="W149" s="32" t="n">
        <f>98400</f>
        <v>98400.0</v>
      </c>
      <c r="X149" s="36" t="n">
        <f>16</f>
        <v>16.0</v>
      </c>
    </row>
    <row r="150">
      <c r="A150" s="27" t="s">
        <v>42</v>
      </c>
      <c r="B150" s="27" t="s">
        <v>494</v>
      </c>
      <c r="C150" s="27" t="s">
        <v>495</v>
      </c>
      <c r="D150" s="27" t="s">
        <v>496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1600</f>
        <v>1600.0</v>
      </c>
      <c r="L150" s="34" t="s">
        <v>48</v>
      </c>
      <c r="M150" s="33" t="n">
        <f>1612</f>
        <v>1612.0</v>
      </c>
      <c r="N150" s="34" t="s">
        <v>49</v>
      </c>
      <c r="O150" s="33" t="n">
        <f>1464</f>
        <v>1464.0</v>
      </c>
      <c r="P150" s="34" t="s">
        <v>50</v>
      </c>
      <c r="Q150" s="33" t="n">
        <f>1504</f>
        <v>1504.0</v>
      </c>
      <c r="R150" s="34" t="s">
        <v>51</v>
      </c>
      <c r="S150" s="35" t="n">
        <f>1546.35</f>
        <v>1546.35</v>
      </c>
      <c r="T150" s="32" t="n">
        <f>2220</f>
        <v>2220.0</v>
      </c>
      <c r="U150" s="32" t="str">
        <f>"－"</f>
        <v>－</v>
      </c>
      <c r="V150" s="32" t="n">
        <f>3422055</f>
        <v>3422055.0</v>
      </c>
      <c r="W150" s="32" t="str">
        <f>"－"</f>
        <v>－</v>
      </c>
      <c r="X150" s="36" t="n">
        <f>17</f>
        <v>17.0</v>
      </c>
    </row>
    <row r="151">
      <c r="A151" s="27" t="s">
        <v>42</v>
      </c>
      <c r="B151" s="27" t="s">
        <v>497</v>
      </c>
      <c r="C151" s="27" t="s">
        <v>498</v>
      </c>
      <c r="D151" s="27" t="s">
        <v>499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3975</f>
        <v>3975.0</v>
      </c>
      <c r="L151" s="34" t="s">
        <v>48</v>
      </c>
      <c r="M151" s="33" t="n">
        <f>4000</f>
        <v>4000.0</v>
      </c>
      <c r="N151" s="34" t="s">
        <v>48</v>
      </c>
      <c r="O151" s="33" t="n">
        <f>3525</f>
        <v>3525.0</v>
      </c>
      <c r="P151" s="34" t="s">
        <v>50</v>
      </c>
      <c r="Q151" s="33" t="n">
        <f>3690</f>
        <v>3690.0</v>
      </c>
      <c r="R151" s="34" t="s">
        <v>51</v>
      </c>
      <c r="S151" s="35" t="n">
        <f>3775.53</f>
        <v>3775.53</v>
      </c>
      <c r="T151" s="32" t="n">
        <f>12687252</f>
        <v>1.2687252E7</v>
      </c>
      <c r="U151" s="32" t="n">
        <f>5639300</f>
        <v>5639300.0</v>
      </c>
      <c r="V151" s="32" t="n">
        <f>48352190182</f>
        <v>4.8352190182E10</v>
      </c>
      <c r="W151" s="32" t="n">
        <f>21813572132</f>
        <v>2.1813572132E10</v>
      </c>
      <c r="X151" s="36" t="n">
        <f>19</f>
        <v>19.0</v>
      </c>
    </row>
    <row r="152">
      <c r="A152" s="27" t="s">
        <v>42</v>
      </c>
      <c r="B152" s="27" t="s">
        <v>500</v>
      </c>
      <c r="C152" s="27" t="s">
        <v>501</v>
      </c>
      <c r="D152" s="27" t="s">
        <v>502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2715</f>
        <v>2715.0</v>
      </c>
      <c r="L152" s="34" t="s">
        <v>48</v>
      </c>
      <c r="M152" s="33" t="n">
        <f>2733</f>
        <v>2733.0</v>
      </c>
      <c r="N152" s="34" t="s">
        <v>49</v>
      </c>
      <c r="O152" s="33" t="n">
        <f>2623</f>
        <v>2623.0</v>
      </c>
      <c r="P152" s="34" t="s">
        <v>263</v>
      </c>
      <c r="Q152" s="33" t="n">
        <f>2670</f>
        <v>2670.0</v>
      </c>
      <c r="R152" s="34" t="s">
        <v>51</v>
      </c>
      <c r="S152" s="35" t="n">
        <f>2662.26</f>
        <v>2662.26</v>
      </c>
      <c r="T152" s="32" t="n">
        <f>1693496</f>
        <v>1693496.0</v>
      </c>
      <c r="U152" s="32" t="n">
        <f>825800</f>
        <v>825800.0</v>
      </c>
      <c r="V152" s="32" t="n">
        <f>4491836549</f>
        <v>4.491836549E9</v>
      </c>
      <c r="W152" s="32" t="n">
        <f>2184164121</f>
        <v>2.184164121E9</v>
      </c>
      <c r="X152" s="36" t="n">
        <f>19</f>
        <v>19.0</v>
      </c>
    </row>
    <row r="153">
      <c r="A153" s="27" t="s">
        <v>42</v>
      </c>
      <c r="B153" s="27" t="s">
        <v>503</v>
      </c>
      <c r="C153" s="27" t="s">
        <v>504</v>
      </c>
      <c r="D153" s="27" t="s">
        <v>505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3455</f>
        <v>3455.0</v>
      </c>
      <c r="L153" s="34" t="s">
        <v>48</v>
      </c>
      <c r="M153" s="33" t="n">
        <f>3490</f>
        <v>3490.0</v>
      </c>
      <c r="N153" s="34" t="s">
        <v>48</v>
      </c>
      <c r="O153" s="33" t="n">
        <f>3105</f>
        <v>3105.0</v>
      </c>
      <c r="P153" s="34" t="s">
        <v>50</v>
      </c>
      <c r="Q153" s="33" t="n">
        <f>3235</f>
        <v>3235.0</v>
      </c>
      <c r="R153" s="34" t="s">
        <v>51</v>
      </c>
      <c r="S153" s="35" t="n">
        <f>3316.58</f>
        <v>3316.58</v>
      </c>
      <c r="T153" s="32" t="n">
        <f>115616</f>
        <v>115616.0</v>
      </c>
      <c r="U153" s="32" t="n">
        <f>1470</f>
        <v>1470.0</v>
      </c>
      <c r="V153" s="32" t="n">
        <f>378341520</f>
        <v>3.7834152E8</v>
      </c>
      <c r="W153" s="32" t="n">
        <f>5047245</f>
        <v>5047245.0</v>
      </c>
      <c r="X153" s="36" t="n">
        <f>19</f>
        <v>19.0</v>
      </c>
    </row>
    <row r="154">
      <c r="A154" s="27" t="s">
        <v>42</v>
      </c>
      <c r="B154" s="27" t="s">
        <v>506</v>
      </c>
      <c r="C154" s="27" t="s">
        <v>507</v>
      </c>
      <c r="D154" s="27" t="s">
        <v>508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2357</f>
        <v>2357.0</v>
      </c>
      <c r="L154" s="34" t="s">
        <v>48</v>
      </c>
      <c r="M154" s="33" t="n">
        <f>2426</f>
        <v>2426.0</v>
      </c>
      <c r="N154" s="34" t="s">
        <v>219</v>
      </c>
      <c r="O154" s="33" t="n">
        <f>2231</f>
        <v>2231.0</v>
      </c>
      <c r="P154" s="34" t="s">
        <v>50</v>
      </c>
      <c r="Q154" s="33" t="n">
        <f>2303</f>
        <v>2303.0</v>
      </c>
      <c r="R154" s="34" t="s">
        <v>51</v>
      </c>
      <c r="S154" s="35" t="n">
        <f>2343.26</f>
        <v>2343.26</v>
      </c>
      <c r="T154" s="32" t="n">
        <f>59156</f>
        <v>59156.0</v>
      </c>
      <c r="U154" s="32" t="str">
        <f>"－"</f>
        <v>－</v>
      </c>
      <c r="V154" s="32" t="n">
        <f>138587381</f>
        <v>1.38587381E8</v>
      </c>
      <c r="W154" s="32" t="str">
        <f>"－"</f>
        <v>－</v>
      </c>
      <c r="X154" s="36" t="n">
        <f>19</f>
        <v>19.0</v>
      </c>
    </row>
    <row r="155">
      <c r="A155" s="27" t="s">
        <v>42</v>
      </c>
      <c r="B155" s="27" t="s">
        <v>509</v>
      </c>
      <c r="C155" s="27" t="s">
        <v>510</v>
      </c>
      <c r="D155" s="27" t="s">
        <v>511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2915</f>
        <v>2915.0</v>
      </c>
      <c r="L155" s="34" t="s">
        <v>48</v>
      </c>
      <c r="M155" s="33" t="n">
        <f>2940</f>
        <v>2940.0</v>
      </c>
      <c r="N155" s="34" t="s">
        <v>49</v>
      </c>
      <c r="O155" s="33" t="n">
        <f>2605</f>
        <v>2605.0</v>
      </c>
      <c r="P155" s="34" t="s">
        <v>50</v>
      </c>
      <c r="Q155" s="33" t="n">
        <f>2703</f>
        <v>2703.0</v>
      </c>
      <c r="R155" s="34" t="s">
        <v>51</v>
      </c>
      <c r="S155" s="35" t="n">
        <f>2765.21</f>
        <v>2765.21</v>
      </c>
      <c r="T155" s="32" t="n">
        <f>705510</f>
        <v>705510.0</v>
      </c>
      <c r="U155" s="32" t="n">
        <f>230982</f>
        <v>230982.0</v>
      </c>
      <c r="V155" s="32" t="n">
        <f>1951640134</f>
        <v>1.951640134E9</v>
      </c>
      <c r="W155" s="32" t="n">
        <f>627816813</f>
        <v>6.27816813E8</v>
      </c>
      <c r="X155" s="36" t="n">
        <f>19</f>
        <v>19.0</v>
      </c>
    </row>
    <row r="156">
      <c r="A156" s="27" t="s">
        <v>42</v>
      </c>
      <c r="B156" s="27" t="s">
        <v>512</v>
      </c>
      <c r="C156" s="27" t="s">
        <v>513</v>
      </c>
      <c r="D156" s="27" t="s">
        <v>514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11480</f>
        <v>11480.0</v>
      </c>
      <c r="L156" s="34" t="s">
        <v>48</v>
      </c>
      <c r="M156" s="33" t="n">
        <f>11640</f>
        <v>11640.0</v>
      </c>
      <c r="N156" s="34" t="s">
        <v>48</v>
      </c>
      <c r="O156" s="33" t="n">
        <f>10015</f>
        <v>10015.0</v>
      </c>
      <c r="P156" s="34" t="s">
        <v>86</v>
      </c>
      <c r="Q156" s="33" t="n">
        <f>10960</f>
        <v>10960.0</v>
      </c>
      <c r="R156" s="34" t="s">
        <v>51</v>
      </c>
      <c r="S156" s="35" t="n">
        <f>10987.11</f>
        <v>10987.11</v>
      </c>
      <c r="T156" s="32" t="n">
        <f>31064</f>
        <v>31064.0</v>
      </c>
      <c r="U156" s="32" t="str">
        <f>"－"</f>
        <v>－</v>
      </c>
      <c r="V156" s="32" t="n">
        <f>341595165</f>
        <v>3.41595165E8</v>
      </c>
      <c r="W156" s="32" t="str">
        <f>"－"</f>
        <v>－</v>
      </c>
      <c r="X156" s="36" t="n">
        <f>19</f>
        <v>19.0</v>
      </c>
    </row>
    <row r="157">
      <c r="A157" s="27" t="s">
        <v>42</v>
      </c>
      <c r="B157" s="27" t="s">
        <v>515</v>
      </c>
      <c r="C157" s="27" t="s">
        <v>516</v>
      </c>
      <c r="D157" s="27" t="s">
        <v>517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1770</f>
        <v>1770.0</v>
      </c>
      <c r="L157" s="34" t="s">
        <v>48</v>
      </c>
      <c r="M157" s="33" t="n">
        <f>2045</f>
        <v>2045.0</v>
      </c>
      <c r="N157" s="34" t="s">
        <v>51</v>
      </c>
      <c r="O157" s="33" t="n">
        <f>1766</f>
        <v>1766.0</v>
      </c>
      <c r="P157" s="34" t="s">
        <v>48</v>
      </c>
      <c r="Q157" s="33" t="n">
        <f>2034</f>
        <v>2034.0</v>
      </c>
      <c r="R157" s="34" t="s">
        <v>51</v>
      </c>
      <c r="S157" s="35" t="n">
        <f>1917.68</f>
        <v>1917.68</v>
      </c>
      <c r="T157" s="32" t="n">
        <f>18859385</f>
        <v>1.8859385E7</v>
      </c>
      <c r="U157" s="32" t="n">
        <f>7071</f>
        <v>7071.0</v>
      </c>
      <c r="V157" s="32" t="n">
        <f>36343332964</f>
        <v>3.6343332964E10</v>
      </c>
      <c r="W157" s="32" t="n">
        <f>13385736</f>
        <v>1.3385736E7</v>
      </c>
      <c r="X157" s="36" t="n">
        <f>19</f>
        <v>19.0</v>
      </c>
    </row>
    <row r="158">
      <c r="A158" s="27" t="s">
        <v>42</v>
      </c>
      <c r="B158" s="27" t="s">
        <v>518</v>
      </c>
      <c r="C158" s="27" t="s">
        <v>519</v>
      </c>
      <c r="D158" s="27" t="s">
        <v>520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19500</f>
        <v>19500.0</v>
      </c>
      <c r="L158" s="34" t="s">
        <v>48</v>
      </c>
      <c r="M158" s="33" t="n">
        <f>19910</f>
        <v>19910.0</v>
      </c>
      <c r="N158" s="34" t="s">
        <v>466</v>
      </c>
      <c r="O158" s="33" t="n">
        <f>19265</f>
        <v>19265.0</v>
      </c>
      <c r="P158" s="34" t="s">
        <v>68</v>
      </c>
      <c r="Q158" s="33" t="n">
        <f>19475</f>
        <v>19475.0</v>
      </c>
      <c r="R158" s="34" t="s">
        <v>51</v>
      </c>
      <c r="S158" s="35" t="n">
        <f>19670</f>
        <v>19670.0</v>
      </c>
      <c r="T158" s="32" t="n">
        <f>1898</f>
        <v>1898.0</v>
      </c>
      <c r="U158" s="32" t="str">
        <f>"－"</f>
        <v>－</v>
      </c>
      <c r="V158" s="32" t="n">
        <f>37291335</f>
        <v>3.7291335E7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521</v>
      </c>
      <c r="C159" s="27" t="s">
        <v>522</v>
      </c>
      <c r="D159" s="27" t="s">
        <v>523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2435.5</f>
        <v>2435.5</v>
      </c>
      <c r="L159" s="34" t="s">
        <v>48</v>
      </c>
      <c r="M159" s="33" t="n">
        <f>2580</f>
        <v>2580.0</v>
      </c>
      <c r="N159" s="34" t="s">
        <v>86</v>
      </c>
      <c r="O159" s="33" t="n">
        <f>2384.5</f>
        <v>2384.5</v>
      </c>
      <c r="P159" s="34" t="s">
        <v>68</v>
      </c>
      <c r="Q159" s="33" t="n">
        <f>2393.5</f>
        <v>2393.5</v>
      </c>
      <c r="R159" s="34" t="s">
        <v>51</v>
      </c>
      <c r="S159" s="35" t="n">
        <f>2475.45</f>
        <v>2475.45</v>
      </c>
      <c r="T159" s="32" t="n">
        <f>25820</f>
        <v>25820.0</v>
      </c>
      <c r="U159" s="32" t="str">
        <f>"－"</f>
        <v>－</v>
      </c>
      <c r="V159" s="32" t="n">
        <f>64588965</f>
        <v>6.4588965E7</v>
      </c>
      <c r="W159" s="32" t="str">
        <f>"－"</f>
        <v>－</v>
      </c>
      <c r="X159" s="36" t="n">
        <f>19</f>
        <v>19.0</v>
      </c>
    </row>
    <row r="160">
      <c r="A160" s="27" t="s">
        <v>42</v>
      </c>
      <c r="B160" s="27" t="s">
        <v>524</v>
      </c>
      <c r="C160" s="27" t="s">
        <v>525</v>
      </c>
      <c r="D160" s="27" t="s">
        <v>526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10290</f>
        <v>10290.0</v>
      </c>
      <c r="L160" s="34" t="s">
        <v>48</v>
      </c>
      <c r="M160" s="33" t="n">
        <f>11095</f>
        <v>11095.0</v>
      </c>
      <c r="N160" s="34" t="s">
        <v>69</v>
      </c>
      <c r="O160" s="33" t="n">
        <f>10050</f>
        <v>10050.0</v>
      </c>
      <c r="P160" s="34" t="s">
        <v>320</v>
      </c>
      <c r="Q160" s="33" t="n">
        <f>10805</f>
        <v>10805.0</v>
      </c>
      <c r="R160" s="34" t="s">
        <v>51</v>
      </c>
      <c r="S160" s="35" t="n">
        <f>10618.16</f>
        <v>10618.16</v>
      </c>
      <c r="T160" s="32" t="n">
        <f>2909</f>
        <v>2909.0</v>
      </c>
      <c r="U160" s="32" t="str">
        <f>"－"</f>
        <v>－</v>
      </c>
      <c r="V160" s="32" t="n">
        <f>31163785</f>
        <v>3.1163785E7</v>
      </c>
      <c r="W160" s="32" t="str">
        <f>"－"</f>
        <v>－</v>
      </c>
      <c r="X160" s="36" t="n">
        <f>19</f>
        <v>19.0</v>
      </c>
    </row>
    <row r="161">
      <c r="A161" s="27" t="s">
        <v>42</v>
      </c>
      <c r="B161" s="27" t="s">
        <v>527</v>
      </c>
      <c r="C161" s="27" t="s">
        <v>528</v>
      </c>
      <c r="D161" s="27" t="s">
        <v>529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19955</f>
        <v>19955.0</v>
      </c>
      <c r="L161" s="34" t="s">
        <v>48</v>
      </c>
      <c r="M161" s="33" t="n">
        <f>25770</f>
        <v>25770.0</v>
      </c>
      <c r="N161" s="34" t="s">
        <v>69</v>
      </c>
      <c r="O161" s="33" t="n">
        <f>19605</f>
        <v>19605.0</v>
      </c>
      <c r="P161" s="34" t="s">
        <v>48</v>
      </c>
      <c r="Q161" s="33" t="n">
        <f>25210</f>
        <v>25210.0</v>
      </c>
      <c r="R161" s="34" t="s">
        <v>51</v>
      </c>
      <c r="S161" s="35" t="n">
        <f>21425.53</f>
        <v>21425.53</v>
      </c>
      <c r="T161" s="32" t="n">
        <f>7485</f>
        <v>7485.0</v>
      </c>
      <c r="U161" s="32" t="str">
        <f>"－"</f>
        <v>－</v>
      </c>
      <c r="V161" s="32" t="n">
        <f>169357270</f>
        <v>1.6935727E8</v>
      </c>
      <c r="W161" s="32" t="str">
        <f>"－"</f>
        <v>－</v>
      </c>
      <c r="X161" s="36" t="n">
        <f>19</f>
        <v>19.0</v>
      </c>
    </row>
    <row r="162">
      <c r="A162" s="27" t="s">
        <v>42</v>
      </c>
      <c r="B162" s="27" t="s">
        <v>530</v>
      </c>
      <c r="C162" s="27" t="s">
        <v>531</v>
      </c>
      <c r="D162" s="27" t="s">
        <v>532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16175</f>
        <v>16175.0</v>
      </c>
      <c r="L162" s="34" t="s">
        <v>48</v>
      </c>
      <c r="M162" s="33" t="n">
        <f>17000</f>
        <v>17000.0</v>
      </c>
      <c r="N162" s="34" t="s">
        <v>50</v>
      </c>
      <c r="O162" s="33" t="n">
        <f>15800</f>
        <v>15800.0</v>
      </c>
      <c r="P162" s="34" t="s">
        <v>90</v>
      </c>
      <c r="Q162" s="33" t="n">
        <f>17000</f>
        <v>17000.0</v>
      </c>
      <c r="R162" s="34" t="s">
        <v>50</v>
      </c>
      <c r="S162" s="35" t="n">
        <f>16265</f>
        <v>16265.0</v>
      </c>
      <c r="T162" s="32" t="n">
        <f>132</f>
        <v>132.0</v>
      </c>
      <c r="U162" s="32" t="str">
        <f>"－"</f>
        <v>－</v>
      </c>
      <c r="V162" s="32" t="n">
        <f>2175890</f>
        <v>2175890.0</v>
      </c>
      <c r="W162" s="32" t="str">
        <f>"－"</f>
        <v>－</v>
      </c>
      <c r="X162" s="36" t="n">
        <f>8</f>
        <v>8.0</v>
      </c>
    </row>
    <row r="163">
      <c r="A163" s="27" t="s">
        <v>42</v>
      </c>
      <c r="B163" s="27" t="s">
        <v>533</v>
      </c>
      <c r="C163" s="27" t="s">
        <v>534</v>
      </c>
      <c r="D163" s="27" t="s">
        <v>535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52080</f>
        <v>52080.0</v>
      </c>
      <c r="L163" s="34" t="s">
        <v>48</v>
      </c>
      <c r="M163" s="33" t="n">
        <f>52300</f>
        <v>52300.0</v>
      </c>
      <c r="N163" s="34" t="s">
        <v>49</v>
      </c>
      <c r="O163" s="33" t="n">
        <f>50750</f>
        <v>50750.0</v>
      </c>
      <c r="P163" s="34" t="s">
        <v>50</v>
      </c>
      <c r="Q163" s="33" t="n">
        <f>51100</f>
        <v>51100.0</v>
      </c>
      <c r="R163" s="34" t="s">
        <v>51</v>
      </c>
      <c r="S163" s="35" t="n">
        <f>51352.63</f>
        <v>51352.63</v>
      </c>
      <c r="T163" s="32" t="n">
        <f>5290</f>
        <v>5290.0</v>
      </c>
      <c r="U163" s="32" t="str">
        <f>"－"</f>
        <v>－</v>
      </c>
      <c r="V163" s="32" t="n">
        <f>272122100</f>
        <v>2.721221E8</v>
      </c>
      <c r="W163" s="32" t="str">
        <f>"－"</f>
        <v>－</v>
      </c>
      <c r="X163" s="36" t="n">
        <f>19</f>
        <v>19.0</v>
      </c>
    </row>
    <row r="164">
      <c r="A164" s="27" t="s">
        <v>42</v>
      </c>
      <c r="B164" s="27" t="s">
        <v>536</v>
      </c>
      <c r="C164" s="27" t="s">
        <v>537</v>
      </c>
      <c r="D164" s="27" t="s">
        <v>538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100.0</v>
      </c>
      <c r="K164" s="33" t="n">
        <f>242.6</f>
        <v>242.6</v>
      </c>
      <c r="L164" s="34" t="s">
        <v>48</v>
      </c>
      <c r="M164" s="33" t="n">
        <f>252.6</f>
        <v>252.6</v>
      </c>
      <c r="N164" s="34" t="s">
        <v>219</v>
      </c>
      <c r="O164" s="33" t="n">
        <f>226.1</f>
        <v>226.1</v>
      </c>
      <c r="P164" s="34" t="s">
        <v>50</v>
      </c>
      <c r="Q164" s="33" t="n">
        <f>235.5</f>
        <v>235.5</v>
      </c>
      <c r="R164" s="34" t="s">
        <v>51</v>
      </c>
      <c r="S164" s="35" t="n">
        <f>241.91</f>
        <v>241.91</v>
      </c>
      <c r="T164" s="32" t="n">
        <f>20740500</f>
        <v>2.07405E7</v>
      </c>
      <c r="U164" s="32" t="n">
        <f>901500</f>
        <v>901500.0</v>
      </c>
      <c r="V164" s="32" t="n">
        <f>5022505300</f>
        <v>5.0225053E9</v>
      </c>
      <c r="W164" s="32" t="n">
        <f>226158910</f>
        <v>2.2615891E8</v>
      </c>
      <c r="X164" s="36" t="n">
        <f>19</f>
        <v>19.0</v>
      </c>
    </row>
    <row r="165">
      <c r="A165" s="27" t="s">
        <v>42</v>
      </c>
      <c r="B165" s="27" t="s">
        <v>539</v>
      </c>
      <c r="C165" s="27" t="s">
        <v>540</v>
      </c>
      <c r="D165" s="27" t="s">
        <v>541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36900</f>
        <v>36900.0</v>
      </c>
      <c r="L165" s="34" t="s">
        <v>48</v>
      </c>
      <c r="M165" s="33" t="n">
        <f>36900</f>
        <v>36900.0</v>
      </c>
      <c r="N165" s="34" t="s">
        <v>48</v>
      </c>
      <c r="O165" s="33" t="n">
        <f>33320</f>
        <v>33320.0</v>
      </c>
      <c r="P165" s="34" t="s">
        <v>76</v>
      </c>
      <c r="Q165" s="33" t="n">
        <f>35020</f>
        <v>35020.0</v>
      </c>
      <c r="R165" s="34" t="s">
        <v>51</v>
      </c>
      <c r="S165" s="35" t="n">
        <f>35162.63</f>
        <v>35162.63</v>
      </c>
      <c r="T165" s="32" t="n">
        <f>78460</f>
        <v>78460.0</v>
      </c>
      <c r="U165" s="32" t="n">
        <f>61680</f>
        <v>61680.0</v>
      </c>
      <c r="V165" s="32" t="n">
        <f>2691120697</f>
        <v>2.691120697E9</v>
      </c>
      <c r="W165" s="32" t="n">
        <f>2106650397</f>
        <v>2.106650397E9</v>
      </c>
      <c r="X165" s="36" t="n">
        <f>19</f>
        <v>19.0</v>
      </c>
    </row>
    <row r="166">
      <c r="A166" s="27" t="s">
        <v>42</v>
      </c>
      <c r="B166" s="27" t="s">
        <v>542</v>
      </c>
      <c r="C166" s="27" t="s">
        <v>543</v>
      </c>
      <c r="D166" s="27" t="s">
        <v>544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3999</f>
        <v>3999.0</v>
      </c>
      <c r="L166" s="34" t="s">
        <v>48</v>
      </c>
      <c r="M166" s="33" t="n">
        <f>4034</f>
        <v>4034.0</v>
      </c>
      <c r="N166" s="34" t="s">
        <v>49</v>
      </c>
      <c r="O166" s="33" t="n">
        <f>3516</f>
        <v>3516.0</v>
      </c>
      <c r="P166" s="34" t="s">
        <v>50</v>
      </c>
      <c r="Q166" s="33" t="n">
        <f>3669</f>
        <v>3669.0</v>
      </c>
      <c r="R166" s="34" t="s">
        <v>51</v>
      </c>
      <c r="S166" s="35" t="n">
        <f>3785.11</f>
        <v>3785.11</v>
      </c>
      <c r="T166" s="32" t="n">
        <f>219340</f>
        <v>219340.0</v>
      </c>
      <c r="U166" s="32" t="n">
        <f>10</f>
        <v>10.0</v>
      </c>
      <c r="V166" s="32" t="n">
        <f>825530570</f>
        <v>8.2553057E8</v>
      </c>
      <c r="W166" s="32" t="n">
        <f>37490</f>
        <v>37490.0</v>
      </c>
      <c r="X166" s="36" t="n">
        <f>19</f>
        <v>19.0</v>
      </c>
    </row>
    <row r="167">
      <c r="A167" s="27" t="s">
        <v>42</v>
      </c>
      <c r="B167" s="27" t="s">
        <v>545</v>
      </c>
      <c r="C167" s="27" t="s">
        <v>546</v>
      </c>
      <c r="D167" s="27" t="s">
        <v>547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1800</f>
        <v>1800.0</v>
      </c>
      <c r="L167" s="34" t="s">
        <v>48</v>
      </c>
      <c r="M167" s="33" t="n">
        <f>1853</f>
        <v>1853.0</v>
      </c>
      <c r="N167" s="34" t="s">
        <v>219</v>
      </c>
      <c r="O167" s="33" t="n">
        <f>1680</f>
        <v>1680.0</v>
      </c>
      <c r="P167" s="34" t="s">
        <v>50</v>
      </c>
      <c r="Q167" s="33" t="n">
        <f>1727</f>
        <v>1727.0</v>
      </c>
      <c r="R167" s="34" t="s">
        <v>51</v>
      </c>
      <c r="S167" s="35" t="n">
        <f>1774.74</f>
        <v>1774.74</v>
      </c>
      <c r="T167" s="32" t="n">
        <f>160700</f>
        <v>160700.0</v>
      </c>
      <c r="U167" s="32" t="str">
        <f>"－"</f>
        <v>－</v>
      </c>
      <c r="V167" s="32" t="n">
        <f>279862005</f>
        <v>2.79862005E8</v>
      </c>
      <c r="W167" s="32" t="str">
        <f>"－"</f>
        <v>－</v>
      </c>
      <c r="X167" s="36" t="n">
        <f>19</f>
        <v>19.0</v>
      </c>
    </row>
    <row r="168">
      <c r="A168" s="27" t="s">
        <v>42</v>
      </c>
      <c r="B168" s="27" t="s">
        <v>548</v>
      </c>
      <c r="C168" s="27" t="s">
        <v>549</v>
      </c>
      <c r="D168" s="27" t="s">
        <v>550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100.0</v>
      </c>
      <c r="K168" s="33" t="n">
        <f>188.8</f>
        <v>188.8</v>
      </c>
      <c r="L168" s="34" t="s">
        <v>48</v>
      </c>
      <c r="M168" s="33" t="n">
        <f>201</f>
        <v>201.0</v>
      </c>
      <c r="N168" s="34" t="s">
        <v>86</v>
      </c>
      <c r="O168" s="33" t="n">
        <f>184.9</f>
        <v>184.9</v>
      </c>
      <c r="P168" s="34" t="s">
        <v>48</v>
      </c>
      <c r="Q168" s="33" t="n">
        <f>194.7</f>
        <v>194.7</v>
      </c>
      <c r="R168" s="34" t="s">
        <v>51</v>
      </c>
      <c r="S168" s="35" t="n">
        <f>193.01</f>
        <v>193.01</v>
      </c>
      <c r="T168" s="32" t="n">
        <f>376500</f>
        <v>376500.0</v>
      </c>
      <c r="U168" s="32" t="str">
        <f>"－"</f>
        <v>－</v>
      </c>
      <c r="V168" s="32" t="n">
        <f>72949750</f>
        <v>7.294975E7</v>
      </c>
      <c r="W168" s="32" t="str">
        <f>"－"</f>
        <v>－</v>
      </c>
      <c r="X168" s="36" t="n">
        <f>19</f>
        <v>19.0</v>
      </c>
    </row>
    <row r="169">
      <c r="A169" s="27" t="s">
        <v>42</v>
      </c>
      <c r="B169" s="27" t="s">
        <v>551</v>
      </c>
      <c r="C169" s="27" t="s">
        <v>552</v>
      </c>
      <c r="D169" s="27" t="s">
        <v>553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1158.5</f>
        <v>1158.5</v>
      </c>
      <c r="L169" s="34" t="s">
        <v>48</v>
      </c>
      <c r="M169" s="33" t="n">
        <f>1305</f>
        <v>1305.0</v>
      </c>
      <c r="N169" s="34" t="s">
        <v>51</v>
      </c>
      <c r="O169" s="33" t="n">
        <f>1158.5</f>
        <v>1158.5</v>
      </c>
      <c r="P169" s="34" t="s">
        <v>48</v>
      </c>
      <c r="Q169" s="33" t="n">
        <f>1305</f>
        <v>1305.0</v>
      </c>
      <c r="R169" s="34" t="s">
        <v>51</v>
      </c>
      <c r="S169" s="35" t="n">
        <f>1222.91</f>
        <v>1222.91</v>
      </c>
      <c r="T169" s="32" t="n">
        <f>1450</f>
        <v>1450.0</v>
      </c>
      <c r="U169" s="32" t="str">
        <f>"－"</f>
        <v>－</v>
      </c>
      <c r="V169" s="32" t="n">
        <f>1763465</f>
        <v>1763465.0</v>
      </c>
      <c r="W169" s="32" t="str">
        <f>"－"</f>
        <v>－</v>
      </c>
      <c r="X169" s="36" t="n">
        <f>11</f>
        <v>11.0</v>
      </c>
    </row>
    <row r="170">
      <c r="A170" s="27" t="s">
        <v>42</v>
      </c>
      <c r="B170" s="27" t="s">
        <v>554</v>
      </c>
      <c r="C170" s="27" t="s">
        <v>555</v>
      </c>
      <c r="D170" s="27" t="s">
        <v>556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386.2</f>
        <v>386.2</v>
      </c>
      <c r="L170" s="34" t="s">
        <v>48</v>
      </c>
      <c r="M170" s="33" t="n">
        <f>516.2</f>
        <v>516.2</v>
      </c>
      <c r="N170" s="34" t="s">
        <v>69</v>
      </c>
      <c r="O170" s="33" t="n">
        <f>386.2</f>
        <v>386.2</v>
      </c>
      <c r="P170" s="34" t="s">
        <v>48</v>
      </c>
      <c r="Q170" s="33" t="n">
        <f>485</f>
        <v>485.0</v>
      </c>
      <c r="R170" s="34" t="s">
        <v>51</v>
      </c>
      <c r="S170" s="35" t="n">
        <f>420.25</f>
        <v>420.25</v>
      </c>
      <c r="T170" s="32" t="n">
        <f>98370</f>
        <v>98370.0</v>
      </c>
      <c r="U170" s="32" t="str">
        <f>"－"</f>
        <v>－</v>
      </c>
      <c r="V170" s="32" t="n">
        <f>43613955</f>
        <v>4.3613955E7</v>
      </c>
      <c r="W170" s="32" t="str">
        <f>"－"</f>
        <v>－</v>
      </c>
      <c r="X170" s="36" t="n">
        <f>19</f>
        <v>19.0</v>
      </c>
    </row>
    <row r="171">
      <c r="A171" s="27" t="s">
        <v>42</v>
      </c>
      <c r="B171" s="27" t="s">
        <v>557</v>
      </c>
      <c r="C171" s="27" t="s">
        <v>558</v>
      </c>
      <c r="D171" s="27" t="s">
        <v>559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1949.5</f>
        <v>1949.5</v>
      </c>
      <c r="L171" s="34" t="s">
        <v>48</v>
      </c>
      <c r="M171" s="33" t="n">
        <f>2084</f>
        <v>2084.0</v>
      </c>
      <c r="N171" s="34" t="s">
        <v>86</v>
      </c>
      <c r="O171" s="33" t="n">
        <f>1905.5</f>
        <v>1905.5</v>
      </c>
      <c r="P171" s="34" t="s">
        <v>48</v>
      </c>
      <c r="Q171" s="33" t="n">
        <f>2020</f>
        <v>2020.0</v>
      </c>
      <c r="R171" s="34" t="s">
        <v>51</v>
      </c>
      <c r="S171" s="35" t="n">
        <f>1999.29</f>
        <v>1999.29</v>
      </c>
      <c r="T171" s="32" t="n">
        <f>10320</f>
        <v>10320.0</v>
      </c>
      <c r="U171" s="32" t="str">
        <f>"－"</f>
        <v>－</v>
      </c>
      <c r="V171" s="32" t="n">
        <f>20637645</f>
        <v>2.0637645E7</v>
      </c>
      <c r="W171" s="32" t="str">
        <f>"－"</f>
        <v>－</v>
      </c>
      <c r="X171" s="36" t="n">
        <f>19</f>
        <v>19.0</v>
      </c>
    </row>
    <row r="172">
      <c r="A172" s="27" t="s">
        <v>42</v>
      </c>
      <c r="B172" s="27" t="s">
        <v>560</v>
      </c>
      <c r="C172" s="27" t="s">
        <v>561</v>
      </c>
      <c r="D172" s="27" t="s">
        <v>562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684.3</f>
        <v>684.3</v>
      </c>
      <c r="L172" s="34" t="s">
        <v>48</v>
      </c>
      <c r="M172" s="33" t="n">
        <f>828</f>
        <v>828.0</v>
      </c>
      <c r="N172" s="34" t="s">
        <v>50</v>
      </c>
      <c r="O172" s="33" t="n">
        <f>668.5</f>
        <v>668.5</v>
      </c>
      <c r="P172" s="34" t="s">
        <v>402</v>
      </c>
      <c r="Q172" s="33" t="n">
        <f>769.6</f>
        <v>769.6</v>
      </c>
      <c r="R172" s="34" t="s">
        <v>51</v>
      </c>
      <c r="S172" s="35" t="n">
        <f>708.06</f>
        <v>708.06</v>
      </c>
      <c r="T172" s="32" t="n">
        <f>238210</f>
        <v>238210.0</v>
      </c>
      <c r="U172" s="32" t="str">
        <f>"－"</f>
        <v>－</v>
      </c>
      <c r="V172" s="32" t="n">
        <f>172530091</f>
        <v>1.72530091E8</v>
      </c>
      <c r="W172" s="32" t="str">
        <f>"－"</f>
        <v>－</v>
      </c>
      <c r="X172" s="36" t="n">
        <f>19</f>
        <v>19.0</v>
      </c>
    </row>
    <row r="173">
      <c r="A173" s="27" t="s">
        <v>42</v>
      </c>
      <c r="B173" s="27" t="s">
        <v>563</v>
      </c>
      <c r="C173" s="27" t="s">
        <v>564</v>
      </c>
      <c r="D173" s="27" t="s">
        <v>565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487</f>
        <v>487.0</v>
      </c>
      <c r="L173" s="34" t="s">
        <v>48</v>
      </c>
      <c r="M173" s="33" t="n">
        <f>551.2</f>
        <v>551.2</v>
      </c>
      <c r="N173" s="34" t="s">
        <v>51</v>
      </c>
      <c r="O173" s="33" t="n">
        <f>472.1</f>
        <v>472.1</v>
      </c>
      <c r="P173" s="34" t="s">
        <v>402</v>
      </c>
      <c r="Q173" s="33" t="n">
        <f>551.1</f>
        <v>551.1</v>
      </c>
      <c r="R173" s="34" t="s">
        <v>51</v>
      </c>
      <c r="S173" s="35" t="n">
        <f>498.68</f>
        <v>498.68</v>
      </c>
      <c r="T173" s="32" t="n">
        <f>760480</f>
        <v>760480.0</v>
      </c>
      <c r="U173" s="32" t="str">
        <f>"－"</f>
        <v>－</v>
      </c>
      <c r="V173" s="32" t="n">
        <f>385157584</f>
        <v>3.85157584E8</v>
      </c>
      <c r="W173" s="32" t="str">
        <f>"－"</f>
        <v>－</v>
      </c>
      <c r="X173" s="36" t="n">
        <f>19</f>
        <v>19.0</v>
      </c>
    </row>
    <row r="174">
      <c r="A174" s="27" t="s">
        <v>42</v>
      </c>
      <c r="B174" s="27" t="s">
        <v>566</v>
      </c>
      <c r="C174" s="27" t="s">
        <v>567</v>
      </c>
      <c r="D174" s="27" t="s">
        <v>568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1.8</f>
        <v>1.8</v>
      </c>
      <c r="L174" s="34" t="s">
        <v>48</v>
      </c>
      <c r="M174" s="33" t="n">
        <f>2.5</f>
        <v>2.5</v>
      </c>
      <c r="N174" s="34" t="s">
        <v>51</v>
      </c>
      <c r="O174" s="33" t="n">
        <f>1.7</f>
        <v>1.7</v>
      </c>
      <c r="P174" s="34" t="s">
        <v>49</v>
      </c>
      <c r="Q174" s="33" t="n">
        <f>2.5</f>
        <v>2.5</v>
      </c>
      <c r="R174" s="34" t="s">
        <v>51</v>
      </c>
      <c r="S174" s="35" t="n">
        <f>1.94</f>
        <v>1.94</v>
      </c>
      <c r="T174" s="32" t="n">
        <f>361737100</f>
        <v>3.617371E8</v>
      </c>
      <c r="U174" s="32" t="n">
        <f>500500</f>
        <v>500500.0</v>
      </c>
      <c r="V174" s="32" t="n">
        <f>725592220</f>
        <v>7.2559222E8</v>
      </c>
      <c r="W174" s="32" t="n">
        <f>980360</f>
        <v>980360.0</v>
      </c>
      <c r="X174" s="36" t="n">
        <f>19</f>
        <v>19.0</v>
      </c>
    </row>
    <row r="175">
      <c r="A175" s="27" t="s">
        <v>42</v>
      </c>
      <c r="B175" s="27" t="s">
        <v>569</v>
      </c>
      <c r="C175" s="27" t="s">
        <v>570</v>
      </c>
      <c r="D175" s="27" t="s">
        <v>571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836.3</f>
        <v>836.3</v>
      </c>
      <c r="L175" s="34" t="s">
        <v>48</v>
      </c>
      <c r="M175" s="33" t="n">
        <f>956.2</f>
        <v>956.2</v>
      </c>
      <c r="N175" s="34" t="s">
        <v>51</v>
      </c>
      <c r="O175" s="33" t="n">
        <f>833</f>
        <v>833.0</v>
      </c>
      <c r="P175" s="34" t="s">
        <v>48</v>
      </c>
      <c r="Q175" s="33" t="n">
        <f>950.9</f>
        <v>950.9</v>
      </c>
      <c r="R175" s="34" t="s">
        <v>51</v>
      </c>
      <c r="S175" s="35" t="n">
        <f>900.93</f>
        <v>900.93</v>
      </c>
      <c r="T175" s="32" t="n">
        <f>416170</f>
        <v>416170.0</v>
      </c>
      <c r="U175" s="32" t="str">
        <f>"－"</f>
        <v>－</v>
      </c>
      <c r="V175" s="32" t="n">
        <f>375117804</f>
        <v>3.75117804E8</v>
      </c>
      <c r="W175" s="32" t="str">
        <f>"－"</f>
        <v>－</v>
      </c>
      <c r="X175" s="36" t="n">
        <f>19</f>
        <v>19.0</v>
      </c>
    </row>
    <row r="176">
      <c r="A176" s="27" t="s">
        <v>42</v>
      </c>
      <c r="B176" s="27" t="s">
        <v>572</v>
      </c>
      <c r="C176" s="27" t="s">
        <v>573</v>
      </c>
      <c r="D176" s="27" t="s">
        <v>574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1.0</v>
      </c>
      <c r="K176" s="33" t="n">
        <f>3690</f>
        <v>3690.0</v>
      </c>
      <c r="L176" s="34" t="s">
        <v>48</v>
      </c>
      <c r="M176" s="33" t="n">
        <f>4300</f>
        <v>4300.0</v>
      </c>
      <c r="N176" s="34" t="s">
        <v>69</v>
      </c>
      <c r="O176" s="33" t="n">
        <f>3690</f>
        <v>3690.0</v>
      </c>
      <c r="P176" s="34" t="s">
        <v>48</v>
      </c>
      <c r="Q176" s="33" t="n">
        <f>4195</f>
        <v>4195.0</v>
      </c>
      <c r="R176" s="34" t="s">
        <v>51</v>
      </c>
      <c r="S176" s="35" t="n">
        <f>3954.67</f>
        <v>3954.67</v>
      </c>
      <c r="T176" s="32" t="n">
        <f>1792</f>
        <v>1792.0</v>
      </c>
      <c r="U176" s="32" t="str">
        <f>"－"</f>
        <v>－</v>
      </c>
      <c r="V176" s="32" t="n">
        <f>7319000</f>
        <v>7319000.0</v>
      </c>
      <c r="W176" s="32" t="str">
        <f>"－"</f>
        <v>－</v>
      </c>
      <c r="X176" s="36" t="n">
        <f>15</f>
        <v>15.0</v>
      </c>
    </row>
    <row r="177">
      <c r="A177" s="27" t="s">
        <v>42</v>
      </c>
      <c r="B177" s="27" t="s">
        <v>575</v>
      </c>
      <c r="C177" s="27" t="s">
        <v>576</v>
      </c>
      <c r="D177" s="27" t="s">
        <v>577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449.6</f>
        <v>449.6</v>
      </c>
      <c r="L177" s="34" t="s">
        <v>48</v>
      </c>
      <c r="M177" s="33" t="n">
        <f>498.5</f>
        <v>498.5</v>
      </c>
      <c r="N177" s="34" t="s">
        <v>69</v>
      </c>
      <c r="O177" s="33" t="n">
        <f>448.7</f>
        <v>448.7</v>
      </c>
      <c r="P177" s="34" t="s">
        <v>48</v>
      </c>
      <c r="Q177" s="33" t="n">
        <f>493</f>
        <v>493.0</v>
      </c>
      <c r="R177" s="34" t="s">
        <v>51</v>
      </c>
      <c r="S177" s="35" t="n">
        <f>478.31</f>
        <v>478.31</v>
      </c>
      <c r="T177" s="32" t="n">
        <f>219000</f>
        <v>219000.0</v>
      </c>
      <c r="U177" s="32" t="str">
        <f>"－"</f>
        <v>－</v>
      </c>
      <c r="V177" s="32" t="n">
        <f>105178780</f>
        <v>1.0517878E8</v>
      </c>
      <c r="W177" s="32" t="str">
        <f>"－"</f>
        <v>－</v>
      </c>
      <c r="X177" s="36" t="n">
        <f>19</f>
        <v>19.0</v>
      </c>
    </row>
    <row r="178">
      <c r="A178" s="27" t="s">
        <v>42</v>
      </c>
      <c r="B178" s="27" t="s">
        <v>578</v>
      </c>
      <c r="C178" s="27" t="s">
        <v>579</v>
      </c>
      <c r="D178" s="27" t="s">
        <v>580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4519</f>
        <v>4519.0</v>
      </c>
      <c r="L178" s="34" t="s">
        <v>48</v>
      </c>
      <c r="M178" s="33" t="n">
        <f>4671</f>
        <v>4671.0</v>
      </c>
      <c r="N178" s="34" t="s">
        <v>219</v>
      </c>
      <c r="O178" s="33" t="n">
        <f>4394</f>
        <v>4394.0</v>
      </c>
      <c r="P178" s="34" t="s">
        <v>51</v>
      </c>
      <c r="Q178" s="33" t="n">
        <f>4418</f>
        <v>4418.0</v>
      </c>
      <c r="R178" s="34" t="s">
        <v>51</v>
      </c>
      <c r="S178" s="35" t="n">
        <f>4516.11</f>
        <v>4516.11</v>
      </c>
      <c r="T178" s="32" t="n">
        <f>29660</f>
        <v>29660.0</v>
      </c>
      <c r="U178" s="32" t="str">
        <f>"－"</f>
        <v>－</v>
      </c>
      <c r="V178" s="32" t="n">
        <f>134621390</f>
        <v>1.3462139E8</v>
      </c>
      <c r="W178" s="32" t="str">
        <f>"－"</f>
        <v>－</v>
      </c>
      <c r="X178" s="36" t="n">
        <f>19</f>
        <v>19.0</v>
      </c>
    </row>
    <row r="179">
      <c r="A179" s="27" t="s">
        <v>42</v>
      </c>
      <c r="B179" s="27" t="s">
        <v>581</v>
      </c>
      <c r="C179" s="27" t="s">
        <v>582</v>
      </c>
      <c r="D179" s="27" t="s">
        <v>583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2230</f>
        <v>2230.0</v>
      </c>
      <c r="L179" s="34" t="s">
        <v>48</v>
      </c>
      <c r="M179" s="33" t="n">
        <f>2621.5</f>
        <v>2621.5</v>
      </c>
      <c r="N179" s="34" t="s">
        <v>313</v>
      </c>
      <c r="O179" s="33" t="n">
        <f>2185</f>
        <v>2185.0</v>
      </c>
      <c r="P179" s="34" t="s">
        <v>48</v>
      </c>
      <c r="Q179" s="33" t="n">
        <f>2389.5</f>
        <v>2389.5</v>
      </c>
      <c r="R179" s="34" t="s">
        <v>51</v>
      </c>
      <c r="S179" s="35" t="n">
        <f>2367.58</f>
        <v>2367.58</v>
      </c>
      <c r="T179" s="32" t="n">
        <f>58290</f>
        <v>58290.0</v>
      </c>
      <c r="U179" s="32" t="str">
        <f>"－"</f>
        <v>－</v>
      </c>
      <c r="V179" s="32" t="n">
        <f>139384205</f>
        <v>1.39384205E8</v>
      </c>
      <c r="W179" s="32" t="str">
        <f>"－"</f>
        <v>－</v>
      </c>
      <c r="X179" s="36" t="n">
        <f>19</f>
        <v>19.0</v>
      </c>
    </row>
    <row r="180">
      <c r="A180" s="27" t="s">
        <v>42</v>
      </c>
      <c r="B180" s="27" t="s">
        <v>584</v>
      </c>
      <c r="C180" s="27" t="s">
        <v>585</v>
      </c>
      <c r="D180" s="27" t="s">
        <v>586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94.2</f>
        <v>94.2</v>
      </c>
      <c r="L180" s="34" t="s">
        <v>48</v>
      </c>
      <c r="M180" s="33" t="n">
        <f>105</f>
        <v>105.0</v>
      </c>
      <c r="N180" s="34" t="s">
        <v>51</v>
      </c>
      <c r="O180" s="33" t="n">
        <f>89.1</f>
        <v>89.1</v>
      </c>
      <c r="P180" s="34" t="s">
        <v>402</v>
      </c>
      <c r="Q180" s="33" t="n">
        <f>102.1</f>
        <v>102.1</v>
      </c>
      <c r="R180" s="34" t="s">
        <v>51</v>
      </c>
      <c r="S180" s="35" t="n">
        <f>94.69</f>
        <v>94.69</v>
      </c>
      <c r="T180" s="32" t="n">
        <f>6691700</f>
        <v>6691700.0</v>
      </c>
      <c r="U180" s="32" t="str">
        <f>"－"</f>
        <v>－</v>
      </c>
      <c r="V180" s="32" t="n">
        <f>645854890</f>
        <v>6.4585489E8</v>
      </c>
      <c r="W180" s="32" t="str">
        <f>"－"</f>
        <v>－</v>
      </c>
      <c r="X180" s="36" t="n">
        <f>19</f>
        <v>19.0</v>
      </c>
    </row>
    <row r="181">
      <c r="A181" s="27" t="s">
        <v>42</v>
      </c>
      <c r="B181" s="27" t="s">
        <v>587</v>
      </c>
      <c r="C181" s="27" t="s">
        <v>588</v>
      </c>
      <c r="D181" s="27" t="s">
        <v>589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100.0</v>
      </c>
      <c r="K181" s="33" t="n">
        <f>126.6</f>
        <v>126.6</v>
      </c>
      <c r="L181" s="34" t="s">
        <v>48</v>
      </c>
      <c r="M181" s="33" t="n">
        <f>140</f>
        <v>140.0</v>
      </c>
      <c r="N181" s="34" t="s">
        <v>51</v>
      </c>
      <c r="O181" s="33" t="n">
        <f>124.8</f>
        <v>124.8</v>
      </c>
      <c r="P181" s="34" t="s">
        <v>402</v>
      </c>
      <c r="Q181" s="33" t="n">
        <f>139.3</f>
        <v>139.3</v>
      </c>
      <c r="R181" s="34" t="s">
        <v>51</v>
      </c>
      <c r="S181" s="35" t="n">
        <f>131.14</f>
        <v>131.14</v>
      </c>
      <c r="T181" s="32" t="n">
        <f>1612800</f>
        <v>1612800.0</v>
      </c>
      <c r="U181" s="32" t="str">
        <f>"－"</f>
        <v>－</v>
      </c>
      <c r="V181" s="32" t="n">
        <f>211940840</f>
        <v>2.1194084E8</v>
      </c>
      <c r="W181" s="32" t="str">
        <f>"－"</f>
        <v>－</v>
      </c>
      <c r="X181" s="36" t="n">
        <f>19</f>
        <v>19.0</v>
      </c>
    </row>
    <row r="182">
      <c r="A182" s="27" t="s">
        <v>42</v>
      </c>
      <c r="B182" s="27" t="s">
        <v>590</v>
      </c>
      <c r="C182" s="27" t="s">
        <v>591</v>
      </c>
      <c r="D182" s="27" t="s">
        <v>592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2838</f>
        <v>2838.0</v>
      </c>
      <c r="L182" s="34" t="s">
        <v>48</v>
      </c>
      <c r="M182" s="33" t="n">
        <f>3196</f>
        <v>3196.0</v>
      </c>
      <c r="N182" s="34" t="s">
        <v>51</v>
      </c>
      <c r="O182" s="33" t="n">
        <f>2810</f>
        <v>2810.0</v>
      </c>
      <c r="P182" s="34" t="s">
        <v>402</v>
      </c>
      <c r="Q182" s="33" t="n">
        <f>3160</f>
        <v>3160.0</v>
      </c>
      <c r="R182" s="34" t="s">
        <v>51</v>
      </c>
      <c r="S182" s="35" t="n">
        <f>2918.39</f>
        <v>2918.39</v>
      </c>
      <c r="T182" s="32" t="n">
        <f>51280</f>
        <v>51280.0</v>
      </c>
      <c r="U182" s="32" t="str">
        <f>"－"</f>
        <v>－</v>
      </c>
      <c r="V182" s="32" t="n">
        <f>151461200</f>
        <v>1.514612E8</v>
      </c>
      <c r="W182" s="32" t="str">
        <f>"－"</f>
        <v>－</v>
      </c>
      <c r="X182" s="36" t="n">
        <f>19</f>
        <v>19.0</v>
      </c>
    </row>
    <row r="183">
      <c r="A183" s="27" t="s">
        <v>42</v>
      </c>
      <c r="B183" s="27" t="s">
        <v>593</v>
      </c>
      <c r="C183" s="27" t="s">
        <v>594</v>
      </c>
      <c r="D183" s="27" t="s">
        <v>595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1890</f>
        <v>1890.0</v>
      </c>
      <c r="L183" s="34" t="s">
        <v>48</v>
      </c>
      <c r="M183" s="33" t="n">
        <f>1950</f>
        <v>1950.0</v>
      </c>
      <c r="N183" s="34" t="s">
        <v>194</v>
      </c>
      <c r="O183" s="33" t="n">
        <f>1841</f>
        <v>1841.0</v>
      </c>
      <c r="P183" s="34" t="s">
        <v>50</v>
      </c>
      <c r="Q183" s="33" t="n">
        <f>1889.5</f>
        <v>1889.5</v>
      </c>
      <c r="R183" s="34" t="s">
        <v>51</v>
      </c>
      <c r="S183" s="35" t="n">
        <f>1898.74</f>
        <v>1898.74</v>
      </c>
      <c r="T183" s="32" t="n">
        <f>24710</f>
        <v>24710.0</v>
      </c>
      <c r="U183" s="32" t="str">
        <f>"－"</f>
        <v>－</v>
      </c>
      <c r="V183" s="32" t="n">
        <f>47122475</f>
        <v>4.7122475E7</v>
      </c>
      <c r="W183" s="32" t="str">
        <f>"－"</f>
        <v>－</v>
      </c>
      <c r="X183" s="36" t="n">
        <f>19</f>
        <v>19.0</v>
      </c>
    </row>
    <row r="184">
      <c r="A184" s="27" t="s">
        <v>42</v>
      </c>
      <c r="B184" s="27" t="s">
        <v>596</v>
      </c>
      <c r="C184" s="27" t="s">
        <v>597</v>
      </c>
      <c r="D184" s="27" t="s">
        <v>598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222.9</f>
        <v>222.9</v>
      </c>
      <c r="L184" s="34" t="s">
        <v>48</v>
      </c>
      <c r="M184" s="33" t="n">
        <f>254.2</f>
        <v>254.2</v>
      </c>
      <c r="N184" s="34" t="s">
        <v>51</v>
      </c>
      <c r="O184" s="33" t="n">
        <f>222.6</f>
        <v>222.6</v>
      </c>
      <c r="P184" s="34" t="s">
        <v>48</v>
      </c>
      <c r="Q184" s="33" t="n">
        <f>253</f>
        <v>253.0</v>
      </c>
      <c r="R184" s="34" t="s">
        <v>51</v>
      </c>
      <c r="S184" s="35" t="n">
        <f>239.78</f>
        <v>239.78</v>
      </c>
      <c r="T184" s="32" t="n">
        <f>57661640</f>
        <v>5.766164E7</v>
      </c>
      <c r="U184" s="32" t="n">
        <f>124220</f>
        <v>124220.0</v>
      </c>
      <c r="V184" s="32" t="n">
        <f>13821282530</f>
        <v>1.382128253E10</v>
      </c>
      <c r="W184" s="32" t="n">
        <f>29708820</f>
        <v>2.970882E7</v>
      </c>
      <c r="X184" s="36" t="n">
        <f>19</f>
        <v>19.0</v>
      </c>
    </row>
    <row r="185">
      <c r="A185" s="27" t="s">
        <v>42</v>
      </c>
      <c r="B185" s="27" t="s">
        <v>599</v>
      </c>
      <c r="C185" s="27" t="s">
        <v>600</v>
      </c>
      <c r="D185" s="27" t="s">
        <v>601</v>
      </c>
      <c r="E185" s="28" t="s">
        <v>46</v>
      </c>
      <c r="F185" s="29" t="s">
        <v>46</v>
      </c>
      <c r="G185" s="30" t="s">
        <v>46</v>
      </c>
      <c r="H185" s="31"/>
      <c r="I185" s="31" t="s">
        <v>602</v>
      </c>
      <c r="J185" s="32" t="n">
        <v>1.0</v>
      </c>
      <c r="K185" s="33" t="n">
        <f>7845</f>
        <v>7845.0</v>
      </c>
      <c r="L185" s="34" t="s">
        <v>48</v>
      </c>
      <c r="M185" s="33" t="n">
        <f>8949</f>
        <v>8949.0</v>
      </c>
      <c r="N185" s="34" t="s">
        <v>86</v>
      </c>
      <c r="O185" s="33" t="n">
        <f>7600</f>
        <v>7600.0</v>
      </c>
      <c r="P185" s="34" t="s">
        <v>61</v>
      </c>
      <c r="Q185" s="33" t="n">
        <f>8362</f>
        <v>8362.0</v>
      </c>
      <c r="R185" s="34" t="s">
        <v>51</v>
      </c>
      <c r="S185" s="35" t="n">
        <f>8337.11</f>
        <v>8337.11</v>
      </c>
      <c r="T185" s="32" t="n">
        <f>9727</f>
        <v>9727.0</v>
      </c>
      <c r="U185" s="32" t="str">
        <f>"－"</f>
        <v>－</v>
      </c>
      <c r="V185" s="32" t="n">
        <f>81129548</f>
        <v>8.1129548E7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602</v>
      </c>
      <c r="J186" s="32" t="n">
        <v>1.0</v>
      </c>
      <c r="K186" s="33" t="n">
        <f>6488</f>
        <v>6488.0</v>
      </c>
      <c r="L186" s="34" t="s">
        <v>48</v>
      </c>
      <c r="M186" s="33" t="n">
        <f>6605</f>
        <v>6605.0</v>
      </c>
      <c r="N186" s="34" t="s">
        <v>61</v>
      </c>
      <c r="O186" s="33" t="n">
        <f>5901</f>
        <v>5901.0</v>
      </c>
      <c r="P186" s="34" t="s">
        <v>86</v>
      </c>
      <c r="Q186" s="33" t="n">
        <f>6344</f>
        <v>6344.0</v>
      </c>
      <c r="R186" s="34" t="s">
        <v>51</v>
      </c>
      <c r="S186" s="35" t="n">
        <f>6272.89</f>
        <v>6272.89</v>
      </c>
      <c r="T186" s="32" t="n">
        <f>6916</f>
        <v>6916.0</v>
      </c>
      <c r="U186" s="32" t="str">
        <f>"－"</f>
        <v>－</v>
      </c>
      <c r="V186" s="32" t="n">
        <f>43078475</f>
        <v>4.3078475E7</v>
      </c>
      <c r="W186" s="32" t="str">
        <f>"－"</f>
        <v>－</v>
      </c>
      <c r="X186" s="36" t="n">
        <f>19</f>
        <v>19.0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602</v>
      </c>
      <c r="J187" s="32" t="n">
        <v>1.0</v>
      </c>
      <c r="K187" s="33" t="n">
        <f>16200</f>
        <v>16200.0</v>
      </c>
      <c r="L187" s="34" t="s">
        <v>48</v>
      </c>
      <c r="M187" s="33" t="n">
        <f>16515</f>
        <v>16515.0</v>
      </c>
      <c r="N187" s="34" t="s">
        <v>49</v>
      </c>
      <c r="O187" s="33" t="n">
        <f>12480</f>
        <v>12480.0</v>
      </c>
      <c r="P187" s="34" t="s">
        <v>50</v>
      </c>
      <c r="Q187" s="33" t="n">
        <f>13705</f>
        <v>13705.0</v>
      </c>
      <c r="R187" s="34" t="s">
        <v>51</v>
      </c>
      <c r="S187" s="35" t="n">
        <f>14944.71</f>
        <v>14944.71</v>
      </c>
      <c r="T187" s="32" t="n">
        <f>511</f>
        <v>511.0</v>
      </c>
      <c r="U187" s="32" t="str">
        <f>"－"</f>
        <v>－</v>
      </c>
      <c r="V187" s="32" t="n">
        <f>7189645</f>
        <v>7189645.0</v>
      </c>
      <c r="W187" s="32" t="str">
        <f>"－"</f>
        <v>－</v>
      </c>
      <c r="X187" s="36" t="n">
        <f>17</f>
        <v>17.0</v>
      </c>
    </row>
    <row r="188">
      <c r="A188" s="27" t="s">
        <v>42</v>
      </c>
      <c r="B188" s="27" t="s">
        <v>609</v>
      </c>
      <c r="C188" s="27" t="s">
        <v>610</v>
      </c>
      <c r="D188" s="27" t="s">
        <v>611</v>
      </c>
      <c r="E188" s="28" t="s">
        <v>46</v>
      </c>
      <c r="F188" s="29" t="s">
        <v>46</v>
      </c>
      <c r="G188" s="30" t="s">
        <v>46</v>
      </c>
      <c r="H188" s="31"/>
      <c r="I188" s="31" t="s">
        <v>602</v>
      </c>
      <c r="J188" s="32" t="n">
        <v>1.0</v>
      </c>
      <c r="K188" s="33" t="n">
        <f>6220</f>
        <v>6220.0</v>
      </c>
      <c r="L188" s="34" t="s">
        <v>48</v>
      </c>
      <c r="M188" s="33" t="n">
        <f>6920</f>
        <v>6920.0</v>
      </c>
      <c r="N188" s="34" t="s">
        <v>50</v>
      </c>
      <c r="O188" s="33" t="n">
        <f>6155</f>
        <v>6155.0</v>
      </c>
      <c r="P188" s="34" t="s">
        <v>219</v>
      </c>
      <c r="Q188" s="33" t="n">
        <f>6591</f>
        <v>6591.0</v>
      </c>
      <c r="R188" s="34" t="s">
        <v>51</v>
      </c>
      <c r="S188" s="35" t="n">
        <f>6399.95</f>
        <v>6399.95</v>
      </c>
      <c r="T188" s="32" t="n">
        <f>19451</f>
        <v>19451.0</v>
      </c>
      <c r="U188" s="32" t="str">
        <f>"－"</f>
        <v>－</v>
      </c>
      <c r="V188" s="32" t="n">
        <f>125464391</f>
        <v>1.25464391E8</v>
      </c>
      <c r="W188" s="32" t="str">
        <f>"－"</f>
        <v>－</v>
      </c>
      <c r="X188" s="36" t="n">
        <f>19</f>
        <v>19.0</v>
      </c>
    </row>
    <row r="189">
      <c r="A189" s="27" t="s">
        <v>42</v>
      </c>
      <c r="B189" s="27" t="s">
        <v>612</v>
      </c>
      <c r="C189" s="27" t="s">
        <v>613</v>
      </c>
      <c r="D189" s="27" t="s">
        <v>614</v>
      </c>
      <c r="E189" s="28" t="s">
        <v>46</v>
      </c>
      <c r="F189" s="29" t="s">
        <v>46</v>
      </c>
      <c r="G189" s="30" t="s">
        <v>46</v>
      </c>
      <c r="H189" s="31" t="s">
        <v>229</v>
      </c>
      <c r="I189" s="31" t="s">
        <v>602</v>
      </c>
      <c r="J189" s="32" t="n">
        <v>1.0</v>
      </c>
      <c r="K189" s="33" t="n">
        <f>100</f>
        <v>100.0</v>
      </c>
      <c r="L189" s="34" t="s">
        <v>48</v>
      </c>
      <c r="M189" s="33" t="n">
        <f>124</f>
        <v>124.0</v>
      </c>
      <c r="N189" s="34" t="s">
        <v>50</v>
      </c>
      <c r="O189" s="33" t="n">
        <f>95</f>
        <v>95.0</v>
      </c>
      <c r="P189" s="34" t="s">
        <v>219</v>
      </c>
      <c r="Q189" s="33" t="n">
        <f>107</f>
        <v>107.0</v>
      </c>
      <c r="R189" s="34" t="s">
        <v>51</v>
      </c>
      <c r="S189" s="35" t="n">
        <f>103.26</f>
        <v>103.26</v>
      </c>
      <c r="T189" s="32" t="n">
        <f>21269943</f>
        <v>2.1269943E7</v>
      </c>
      <c r="U189" s="32" t="str">
        <f>"－"</f>
        <v>－</v>
      </c>
      <c r="V189" s="32" t="n">
        <f>2249413341</f>
        <v>2.249413341E9</v>
      </c>
      <c r="W189" s="32" t="str">
        <f>"－"</f>
        <v>－</v>
      </c>
      <c r="X189" s="36" t="n">
        <f>19</f>
        <v>19.0</v>
      </c>
    </row>
    <row r="190">
      <c r="A190" s="27" t="s">
        <v>42</v>
      </c>
      <c r="B190" s="27" t="s">
        <v>615</v>
      </c>
      <c r="C190" s="27" t="s">
        <v>616</v>
      </c>
      <c r="D190" s="27" t="s">
        <v>617</v>
      </c>
      <c r="E190" s="28" t="s">
        <v>46</v>
      </c>
      <c r="F190" s="29" t="s">
        <v>46</v>
      </c>
      <c r="G190" s="30" t="s">
        <v>46</v>
      </c>
      <c r="H190" s="31"/>
      <c r="I190" s="31" t="s">
        <v>602</v>
      </c>
      <c r="J190" s="32" t="n">
        <v>1.0</v>
      </c>
      <c r="K190" s="33" t="n">
        <f>19180</f>
        <v>19180.0</v>
      </c>
      <c r="L190" s="34" t="s">
        <v>48</v>
      </c>
      <c r="M190" s="33" t="n">
        <f>20000</f>
        <v>20000.0</v>
      </c>
      <c r="N190" s="34" t="s">
        <v>466</v>
      </c>
      <c r="O190" s="33" t="n">
        <f>18910</f>
        <v>18910.0</v>
      </c>
      <c r="P190" s="34" t="s">
        <v>51</v>
      </c>
      <c r="Q190" s="33" t="n">
        <f>19075</f>
        <v>19075.0</v>
      </c>
      <c r="R190" s="34" t="s">
        <v>51</v>
      </c>
      <c r="S190" s="35" t="n">
        <f>19404.74</f>
        <v>19404.74</v>
      </c>
      <c r="T190" s="32" t="n">
        <f>36317</f>
        <v>36317.0</v>
      </c>
      <c r="U190" s="32" t="n">
        <f>1</f>
        <v>1.0</v>
      </c>
      <c r="V190" s="32" t="n">
        <f>705866515</f>
        <v>7.05866515E8</v>
      </c>
      <c r="W190" s="32" t="n">
        <f>20000</f>
        <v>20000.0</v>
      </c>
      <c r="X190" s="36" t="n">
        <f>19</f>
        <v>19.0</v>
      </c>
    </row>
    <row r="191">
      <c r="A191" s="27" t="s">
        <v>42</v>
      </c>
      <c r="B191" s="27" t="s">
        <v>618</v>
      </c>
      <c r="C191" s="27" t="s">
        <v>619</v>
      </c>
      <c r="D191" s="27" t="s">
        <v>620</v>
      </c>
      <c r="E191" s="28" t="s">
        <v>46</v>
      </c>
      <c r="F191" s="29" t="s">
        <v>46</v>
      </c>
      <c r="G191" s="30" t="s">
        <v>46</v>
      </c>
      <c r="H191" s="31"/>
      <c r="I191" s="31" t="s">
        <v>602</v>
      </c>
      <c r="J191" s="32" t="n">
        <v>1.0</v>
      </c>
      <c r="K191" s="33" t="n">
        <f>5236</f>
        <v>5236.0</v>
      </c>
      <c r="L191" s="34" t="s">
        <v>48</v>
      </c>
      <c r="M191" s="33" t="n">
        <f>5250</f>
        <v>5250.0</v>
      </c>
      <c r="N191" s="34" t="s">
        <v>320</v>
      </c>
      <c r="O191" s="33" t="n">
        <f>5138</f>
        <v>5138.0</v>
      </c>
      <c r="P191" s="34" t="s">
        <v>313</v>
      </c>
      <c r="Q191" s="33" t="n">
        <f>5249</f>
        <v>5249.0</v>
      </c>
      <c r="R191" s="34" t="s">
        <v>51</v>
      </c>
      <c r="S191" s="35" t="n">
        <f>5193.26</f>
        <v>5193.26</v>
      </c>
      <c r="T191" s="32" t="n">
        <f>4345</f>
        <v>4345.0</v>
      </c>
      <c r="U191" s="32" t="str">
        <f>"－"</f>
        <v>－</v>
      </c>
      <c r="V191" s="32" t="n">
        <f>22594350</f>
        <v>2.259435E7</v>
      </c>
      <c r="W191" s="32" t="str">
        <f>"－"</f>
        <v>－</v>
      </c>
      <c r="X191" s="36" t="n">
        <f>19</f>
        <v>19.0</v>
      </c>
    </row>
    <row r="192">
      <c r="A192" s="27" t="s">
        <v>42</v>
      </c>
      <c r="B192" s="27" t="s">
        <v>621</v>
      </c>
      <c r="C192" s="27" t="s">
        <v>622</v>
      </c>
      <c r="D192" s="27" t="s">
        <v>623</v>
      </c>
      <c r="E192" s="28" t="s">
        <v>46</v>
      </c>
      <c r="F192" s="29" t="s">
        <v>46</v>
      </c>
      <c r="G192" s="30" t="s">
        <v>46</v>
      </c>
      <c r="H192" s="31"/>
      <c r="I192" s="31" t="s">
        <v>602</v>
      </c>
      <c r="J192" s="32" t="n">
        <v>1.0</v>
      </c>
      <c r="K192" s="33" t="n">
        <f>799</f>
        <v>799.0</v>
      </c>
      <c r="L192" s="34" t="s">
        <v>48</v>
      </c>
      <c r="M192" s="33" t="n">
        <f>986</f>
        <v>986.0</v>
      </c>
      <c r="N192" s="34" t="s">
        <v>51</v>
      </c>
      <c r="O192" s="33" t="n">
        <f>794</f>
        <v>794.0</v>
      </c>
      <c r="P192" s="34" t="s">
        <v>48</v>
      </c>
      <c r="Q192" s="33" t="n">
        <f>980</f>
        <v>980.0</v>
      </c>
      <c r="R192" s="34" t="s">
        <v>51</v>
      </c>
      <c r="S192" s="35" t="n">
        <f>898.89</f>
        <v>898.89</v>
      </c>
      <c r="T192" s="32" t="n">
        <f>106737016</f>
        <v>1.06737016E8</v>
      </c>
      <c r="U192" s="32" t="n">
        <f>300736</f>
        <v>300736.0</v>
      </c>
      <c r="V192" s="32" t="n">
        <f>95939381492</f>
        <v>9.5939381492E10</v>
      </c>
      <c r="W192" s="32" t="n">
        <f>300351198</f>
        <v>3.00351198E8</v>
      </c>
      <c r="X192" s="36" t="n">
        <f>19</f>
        <v>19.0</v>
      </c>
    </row>
    <row r="193">
      <c r="A193" s="27" t="s">
        <v>42</v>
      </c>
      <c r="B193" s="27" t="s">
        <v>624</v>
      </c>
      <c r="C193" s="27" t="s">
        <v>625</v>
      </c>
      <c r="D193" s="27" t="s">
        <v>626</v>
      </c>
      <c r="E193" s="28" t="s">
        <v>46</v>
      </c>
      <c r="F193" s="29" t="s">
        <v>46</v>
      </c>
      <c r="G193" s="30" t="s">
        <v>46</v>
      </c>
      <c r="H193" s="31"/>
      <c r="I193" s="31" t="s">
        <v>602</v>
      </c>
      <c r="J193" s="32" t="n">
        <v>1.0</v>
      </c>
      <c r="K193" s="33" t="n">
        <f>2617</f>
        <v>2617.0</v>
      </c>
      <c r="L193" s="34" t="s">
        <v>48</v>
      </c>
      <c r="M193" s="33" t="n">
        <f>2623</f>
        <v>2623.0</v>
      </c>
      <c r="N193" s="34" t="s">
        <v>48</v>
      </c>
      <c r="O193" s="33" t="n">
        <f>2321</f>
        <v>2321.0</v>
      </c>
      <c r="P193" s="34" t="s">
        <v>51</v>
      </c>
      <c r="Q193" s="33" t="n">
        <f>2323</f>
        <v>2323.0</v>
      </c>
      <c r="R193" s="34" t="s">
        <v>51</v>
      </c>
      <c r="S193" s="35" t="n">
        <f>2448.74</f>
        <v>2448.74</v>
      </c>
      <c r="T193" s="32" t="n">
        <f>1162859</f>
        <v>1162859.0</v>
      </c>
      <c r="U193" s="32" t="str">
        <f>"－"</f>
        <v>－</v>
      </c>
      <c r="V193" s="32" t="n">
        <f>2854447459</f>
        <v>2.854447459E9</v>
      </c>
      <c r="W193" s="32" t="str">
        <f>"－"</f>
        <v>－</v>
      </c>
      <c r="X193" s="36" t="n">
        <f>19</f>
        <v>19.0</v>
      </c>
    </row>
    <row r="194">
      <c r="A194" s="27" t="s">
        <v>42</v>
      </c>
      <c r="B194" s="27" t="s">
        <v>627</v>
      </c>
      <c r="C194" s="27" t="s">
        <v>628</v>
      </c>
      <c r="D194" s="27" t="s">
        <v>629</v>
      </c>
      <c r="E194" s="28" t="s">
        <v>46</v>
      </c>
      <c r="F194" s="29" t="s">
        <v>46</v>
      </c>
      <c r="G194" s="30" t="s">
        <v>46</v>
      </c>
      <c r="H194" s="31"/>
      <c r="I194" s="31" t="s">
        <v>602</v>
      </c>
      <c r="J194" s="32" t="n">
        <v>1.0</v>
      </c>
      <c r="K194" s="33" t="n">
        <f>33900</f>
        <v>33900.0</v>
      </c>
      <c r="L194" s="34" t="s">
        <v>48</v>
      </c>
      <c r="M194" s="33" t="n">
        <f>34340</f>
        <v>34340.0</v>
      </c>
      <c r="N194" s="34" t="s">
        <v>49</v>
      </c>
      <c r="O194" s="33" t="n">
        <f>29180</f>
        <v>29180.0</v>
      </c>
      <c r="P194" s="34" t="s">
        <v>50</v>
      </c>
      <c r="Q194" s="33" t="n">
        <f>31120</f>
        <v>31120.0</v>
      </c>
      <c r="R194" s="34" t="s">
        <v>51</v>
      </c>
      <c r="S194" s="35" t="n">
        <f>32220</f>
        <v>32220.0</v>
      </c>
      <c r="T194" s="32" t="n">
        <f>130217</f>
        <v>130217.0</v>
      </c>
      <c r="U194" s="32" t="n">
        <f>16</f>
        <v>16.0</v>
      </c>
      <c r="V194" s="32" t="n">
        <f>4167966500</f>
        <v>4.1679665E9</v>
      </c>
      <c r="W194" s="32" t="n">
        <f>519330</f>
        <v>519330.0</v>
      </c>
      <c r="X194" s="36" t="n">
        <f>19</f>
        <v>19.0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602</v>
      </c>
      <c r="J195" s="32" t="n">
        <v>1.0</v>
      </c>
      <c r="K195" s="33" t="n">
        <f>2760</f>
        <v>2760.0</v>
      </c>
      <c r="L195" s="34" t="s">
        <v>48</v>
      </c>
      <c r="M195" s="33" t="n">
        <f>2974</f>
        <v>2974.0</v>
      </c>
      <c r="N195" s="34" t="s">
        <v>50</v>
      </c>
      <c r="O195" s="33" t="n">
        <f>2738</f>
        <v>2738.0</v>
      </c>
      <c r="P195" s="34" t="s">
        <v>49</v>
      </c>
      <c r="Q195" s="33" t="n">
        <f>2868</f>
        <v>2868.0</v>
      </c>
      <c r="R195" s="34" t="s">
        <v>51</v>
      </c>
      <c r="S195" s="35" t="n">
        <f>2835.84</f>
        <v>2835.84</v>
      </c>
      <c r="T195" s="32" t="n">
        <f>759582</f>
        <v>759582.0</v>
      </c>
      <c r="U195" s="32" t="str">
        <f>"－"</f>
        <v>－</v>
      </c>
      <c r="V195" s="32" t="n">
        <f>2177594865</f>
        <v>2.177594865E9</v>
      </c>
      <c r="W195" s="32" t="str">
        <f>"－"</f>
        <v>－</v>
      </c>
      <c r="X195" s="36" t="n">
        <f>19</f>
        <v>19.0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602</v>
      </c>
      <c r="J196" s="32" t="n">
        <v>1.0</v>
      </c>
      <c r="K196" s="33" t="n">
        <f>10820</f>
        <v>10820.0</v>
      </c>
      <c r="L196" s="34" t="s">
        <v>48</v>
      </c>
      <c r="M196" s="33" t="n">
        <f>10820</f>
        <v>10820.0</v>
      </c>
      <c r="N196" s="34" t="s">
        <v>48</v>
      </c>
      <c r="O196" s="33" t="n">
        <f>7740</f>
        <v>7740.0</v>
      </c>
      <c r="P196" s="34" t="s">
        <v>69</v>
      </c>
      <c r="Q196" s="33" t="n">
        <f>8204</f>
        <v>8204.0</v>
      </c>
      <c r="R196" s="34" t="s">
        <v>51</v>
      </c>
      <c r="S196" s="35" t="n">
        <f>9024.74</f>
        <v>9024.74</v>
      </c>
      <c r="T196" s="32" t="n">
        <f>140916</f>
        <v>140916.0</v>
      </c>
      <c r="U196" s="32" t="str">
        <f>"－"</f>
        <v>－</v>
      </c>
      <c r="V196" s="32" t="n">
        <f>1270655983</f>
        <v>1.270655983E9</v>
      </c>
      <c r="W196" s="32" t="str">
        <f>"－"</f>
        <v>－</v>
      </c>
      <c r="X196" s="36" t="n">
        <f>19</f>
        <v>19.0</v>
      </c>
    </row>
    <row r="197">
      <c r="A197" s="27" t="s">
        <v>42</v>
      </c>
      <c r="B197" s="27" t="s">
        <v>636</v>
      </c>
      <c r="C197" s="27" t="s">
        <v>637</v>
      </c>
      <c r="D197" s="27" t="s">
        <v>638</v>
      </c>
      <c r="E197" s="28" t="s">
        <v>46</v>
      </c>
      <c r="F197" s="29" t="s">
        <v>46</v>
      </c>
      <c r="G197" s="30" t="s">
        <v>46</v>
      </c>
      <c r="H197" s="31"/>
      <c r="I197" s="31" t="s">
        <v>602</v>
      </c>
      <c r="J197" s="32" t="n">
        <v>1.0</v>
      </c>
      <c r="K197" s="33" t="n">
        <f>13970</f>
        <v>13970.0</v>
      </c>
      <c r="L197" s="34" t="s">
        <v>49</v>
      </c>
      <c r="M197" s="33" t="n">
        <f>14300</f>
        <v>14300.0</v>
      </c>
      <c r="N197" s="34" t="s">
        <v>50</v>
      </c>
      <c r="O197" s="33" t="n">
        <f>13840</f>
        <v>13840.0</v>
      </c>
      <c r="P197" s="34" t="s">
        <v>466</v>
      </c>
      <c r="Q197" s="33" t="n">
        <f>14040</f>
        <v>14040.0</v>
      </c>
      <c r="R197" s="34" t="s">
        <v>51</v>
      </c>
      <c r="S197" s="35" t="n">
        <f>14055</f>
        <v>14055.0</v>
      </c>
      <c r="T197" s="32" t="n">
        <f>727</f>
        <v>727.0</v>
      </c>
      <c r="U197" s="32" t="n">
        <f>1</f>
        <v>1.0</v>
      </c>
      <c r="V197" s="32" t="n">
        <f>10190860</f>
        <v>1.019086E7</v>
      </c>
      <c r="W197" s="32" t="n">
        <f>14200</f>
        <v>14200.0</v>
      </c>
      <c r="X197" s="36" t="n">
        <f>15</f>
        <v>15.0</v>
      </c>
    </row>
    <row r="198">
      <c r="A198" s="27" t="s">
        <v>42</v>
      </c>
      <c r="B198" s="27" t="s">
        <v>639</v>
      </c>
      <c r="C198" s="27" t="s">
        <v>640</v>
      </c>
      <c r="D198" s="27" t="s">
        <v>641</v>
      </c>
      <c r="E198" s="28" t="s">
        <v>46</v>
      </c>
      <c r="F198" s="29" t="s">
        <v>46</v>
      </c>
      <c r="G198" s="30" t="s">
        <v>46</v>
      </c>
      <c r="H198" s="31"/>
      <c r="I198" s="31" t="s">
        <v>602</v>
      </c>
      <c r="J198" s="32" t="n">
        <v>1.0</v>
      </c>
      <c r="K198" s="33" t="n">
        <f>21185</f>
        <v>21185.0</v>
      </c>
      <c r="L198" s="34" t="s">
        <v>48</v>
      </c>
      <c r="M198" s="33" t="n">
        <f>21670</f>
        <v>21670.0</v>
      </c>
      <c r="N198" s="34" t="s">
        <v>49</v>
      </c>
      <c r="O198" s="33" t="n">
        <f>19415</f>
        <v>19415.0</v>
      </c>
      <c r="P198" s="34" t="s">
        <v>50</v>
      </c>
      <c r="Q198" s="33" t="n">
        <f>20315</f>
        <v>20315.0</v>
      </c>
      <c r="R198" s="34" t="s">
        <v>51</v>
      </c>
      <c r="S198" s="35" t="n">
        <f>20611.05</f>
        <v>20611.05</v>
      </c>
      <c r="T198" s="32" t="n">
        <f>43606</f>
        <v>43606.0</v>
      </c>
      <c r="U198" s="32" t="str">
        <f>"－"</f>
        <v>－</v>
      </c>
      <c r="V198" s="32" t="n">
        <f>898388765</f>
        <v>8.98388765E8</v>
      </c>
      <c r="W198" s="32" t="str">
        <f>"－"</f>
        <v>－</v>
      </c>
      <c r="X198" s="36" t="n">
        <f>19</f>
        <v>19.0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602</v>
      </c>
      <c r="J199" s="32" t="n">
        <v>1.0</v>
      </c>
      <c r="K199" s="33" t="n">
        <f>14125</f>
        <v>14125.0</v>
      </c>
      <c r="L199" s="34" t="s">
        <v>48</v>
      </c>
      <c r="M199" s="33" t="n">
        <f>14430</f>
        <v>14430.0</v>
      </c>
      <c r="N199" s="34" t="s">
        <v>48</v>
      </c>
      <c r="O199" s="33" t="n">
        <f>13500</f>
        <v>13500.0</v>
      </c>
      <c r="P199" s="34" t="s">
        <v>51</v>
      </c>
      <c r="Q199" s="33" t="n">
        <f>13500</f>
        <v>13500.0</v>
      </c>
      <c r="R199" s="34" t="s">
        <v>51</v>
      </c>
      <c r="S199" s="35" t="n">
        <f>13920</f>
        <v>13920.0</v>
      </c>
      <c r="T199" s="32" t="n">
        <f>360</f>
        <v>360.0</v>
      </c>
      <c r="U199" s="32" t="str">
        <f>"－"</f>
        <v>－</v>
      </c>
      <c r="V199" s="32" t="n">
        <f>5012340</f>
        <v>5012340.0</v>
      </c>
      <c r="W199" s="32" t="str">
        <f>"－"</f>
        <v>－</v>
      </c>
      <c r="X199" s="36" t="n">
        <f>13</f>
        <v>13.0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602</v>
      </c>
      <c r="J200" s="32" t="n">
        <v>1.0</v>
      </c>
      <c r="K200" s="33" t="n">
        <f>18360</f>
        <v>18360.0</v>
      </c>
      <c r="L200" s="34" t="s">
        <v>48</v>
      </c>
      <c r="M200" s="33" t="n">
        <f>19925</f>
        <v>19925.0</v>
      </c>
      <c r="N200" s="34" t="s">
        <v>219</v>
      </c>
      <c r="O200" s="33" t="n">
        <f>16480</f>
        <v>16480.0</v>
      </c>
      <c r="P200" s="34" t="s">
        <v>50</v>
      </c>
      <c r="Q200" s="33" t="n">
        <f>17865</f>
        <v>17865.0</v>
      </c>
      <c r="R200" s="34" t="s">
        <v>51</v>
      </c>
      <c r="S200" s="35" t="n">
        <f>18521.84</f>
        <v>18521.84</v>
      </c>
      <c r="T200" s="32" t="n">
        <f>78674</f>
        <v>78674.0</v>
      </c>
      <c r="U200" s="32" t="str">
        <f>"－"</f>
        <v>－</v>
      </c>
      <c r="V200" s="32" t="n">
        <f>1459242335</f>
        <v>1.459242335E9</v>
      </c>
      <c r="W200" s="32" t="str">
        <f>"－"</f>
        <v>－</v>
      </c>
      <c r="X200" s="36" t="n">
        <f>19</f>
        <v>19.0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602</v>
      </c>
      <c r="J201" s="32" t="n">
        <v>1.0</v>
      </c>
      <c r="K201" s="33" t="n">
        <f>4045</f>
        <v>4045.0</v>
      </c>
      <c r="L201" s="34" t="s">
        <v>48</v>
      </c>
      <c r="M201" s="33" t="n">
        <f>4150</f>
        <v>4150.0</v>
      </c>
      <c r="N201" s="34" t="s">
        <v>76</v>
      </c>
      <c r="O201" s="33" t="n">
        <f>3850</f>
        <v>3850.0</v>
      </c>
      <c r="P201" s="34" t="s">
        <v>90</v>
      </c>
      <c r="Q201" s="33" t="n">
        <f>4070</f>
        <v>4070.0</v>
      </c>
      <c r="R201" s="34" t="s">
        <v>51</v>
      </c>
      <c r="S201" s="35" t="n">
        <f>3993.68</f>
        <v>3993.68</v>
      </c>
      <c r="T201" s="32" t="n">
        <f>6435</f>
        <v>6435.0</v>
      </c>
      <c r="U201" s="32" t="str">
        <f>"－"</f>
        <v>－</v>
      </c>
      <c r="V201" s="32" t="n">
        <f>25869910</f>
        <v>2.586991E7</v>
      </c>
      <c r="W201" s="32" t="str">
        <f>"－"</f>
        <v>－</v>
      </c>
      <c r="X201" s="36" t="n">
        <f>19</f>
        <v>19.0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602</v>
      </c>
      <c r="J202" s="32" t="n">
        <v>1.0</v>
      </c>
      <c r="K202" s="33" t="n">
        <f>11835</f>
        <v>11835.0</v>
      </c>
      <c r="L202" s="34" t="s">
        <v>48</v>
      </c>
      <c r="M202" s="33" t="n">
        <f>12430</f>
        <v>12430.0</v>
      </c>
      <c r="N202" s="34" t="s">
        <v>219</v>
      </c>
      <c r="O202" s="33" t="n">
        <f>11695</f>
        <v>11695.0</v>
      </c>
      <c r="P202" s="34" t="s">
        <v>86</v>
      </c>
      <c r="Q202" s="33" t="n">
        <f>11885</f>
        <v>11885.0</v>
      </c>
      <c r="R202" s="34" t="s">
        <v>51</v>
      </c>
      <c r="S202" s="35" t="n">
        <f>12079.67</f>
        <v>12079.67</v>
      </c>
      <c r="T202" s="32" t="n">
        <f>4584</f>
        <v>4584.0</v>
      </c>
      <c r="U202" s="32" t="n">
        <f>1</f>
        <v>1.0</v>
      </c>
      <c r="V202" s="32" t="n">
        <f>55364000</f>
        <v>5.5364E7</v>
      </c>
      <c r="W202" s="32" t="n">
        <f>12270</f>
        <v>12270.0</v>
      </c>
      <c r="X202" s="36" t="n">
        <f>15</f>
        <v>15.0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602</v>
      </c>
      <c r="J203" s="32" t="n">
        <v>1.0</v>
      </c>
      <c r="K203" s="33" t="n">
        <f>12710</f>
        <v>12710.0</v>
      </c>
      <c r="L203" s="34" t="s">
        <v>49</v>
      </c>
      <c r="M203" s="33" t="n">
        <f>12710</f>
        <v>12710.0</v>
      </c>
      <c r="N203" s="34" t="s">
        <v>49</v>
      </c>
      <c r="O203" s="33" t="n">
        <f>11895</f>
        <v>11895.0</v>
      </c>
      <c r="P203" s="34" t="s">
        <v>76</v>
      </c>
      <c r="Q203" s="33" t="n">
        <f>11895</f>
        <v>11895.0</v>
      </c>
      <c r="R203" s="34" t="s">
        <v>76</v>
      </c>
      <c r="S203" s="35" t="n">
        <f>12160</f>
        <v>12160.0</v>
      </c>
      <c r="T203" s="32" t="n">
        <f>17</f>
        <v>17.0</v>
      </c>
      <c r="U203" s="32" t="str">
        <f>"－"</f>
        <v>－</v>
      </c>
      <c r="V203" s="32" t="n">
        <f>204710</f>
        <v>204710.0</v>
      </c>
      <c r="W203" s="32" t="str">
        <f>"－"</f>
        <v>－</v>
      </c>
      <c r="X203" s="36" t="n">
        <f>4</f>
        <v>4.0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602</v>
      </c>
      <c r="J204" s="32" t="n">
        <v>1.0</v>
      </c>
      <c r="K204" s="33" t="n">
        <f>14180</f>
        <v>14180.0</v>
      </c>
      <c r="L204" s="34" t="s">
        <v>90</v>
      </c>
      <c r="M204" s="33" t="n">
        <f>14180</f>
        <v>14180.0</v>
      </c>
      <c r="N204" s="34" t="s">
        <v>90</v>
      </c>
      <c r="O204" s="33" t="n">
        <f>13500</f>
        <v>13500.0</v>
      </c>
      <c r="P204" s="34" t="s">
        <v>466</v>
      </c>
      <c r="Q204" s="33" t="n">
        <f>13690</f>
        <v>13690.0</v>
      </c>
      <c r="R204" s="34" t="s">
        <v>50</v>
      </c>
      <c r="S204" s="35" t="n">
        <f>13710.83</f>
        <v>13710.83</v>
      </c>
      <c r="T204" s="32" t="n">
        <f>122</f>
        <v>122.0</v>
      </c>
      <c r="U204" s="32" t="n">
        <f>1</f>
        <v>1.0</v>
      </c>
      <c r="V204" s="32" t="n">
        <f>1651330</f>
        <v>1651330.0</v>
      </c>
      <c r="W204" s="32" t="n">
        <f>13820</f>
        <v>13820.0</v>
      </c>
      <c r="X204" s="36" t="n">
        <f>6</f>
        <v>6.0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602</v>
      </c>
      <c r="J205" s="32" t="n">
        <v>1.0</v>
      </c>
      <c r="K205" s="33" t="n">
        <f>14505</f>
        <v>14505.0</v>
      </c>
      <c r="L205" s="34" t="s">
        <v>48</v>
      </c>
      <c r="M205" s="33" t="n">
        <f>14700</f>
        <v>14700.0</v>
      </c>
      <c r="N205" s="34" t="s">
        <v>48</v>
      </c>
      <c r="O205" s="33" t="n">
        <f>13575</f>
        <v>13575.0</v>
      </c>
      <c r="P205" s="34" t="s">
        <v>263</v>
      </c>
      <c r="Q205" s="33" t="n">
        <f>13675</f>
        <v>13675.0</v>
      </c>
      <c r="R205" s="34" t="s">
        <v>69</v>
      </c>
      <c r="S205" s="35" t="n">
        <f>14235.83</f>
        <v>14235.83</v>
      </c>
      <c r="T205" s="32" t="n">
        <f>125</f>
        <v>125.0</v>
      </c>
      <c r="U205" s="32" t="str">
        <f>"－"</f>
        <v>－</v>
      </c>
      <c r="V205" s="32" t="n">
        <f>1817935</f>
        <v>1817935.0</v>
      </c>
      <c r="W205" s="32" t="str">
        <f>"－"</f>
        <v>－</v>
      </c>
      <c r="X205" s="36" t="n">
        <f>6</f>
        <v>6.0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602</v>
      </c>
      <c r="J206" s="32" t="n">
        <v>1.0</v>
      </c>
      <c r="K206" s="33" t="n">
        <f>12825</f>
        <v>12825.0</v>
      </c>
      <c r="L206" s="34" t="s">
        <v>48</v>
      </c>
      <c r="M206" s="33" t="n">
        <f>13040</f>
        <v>13040.0</v>
      </c>
      <c r="N206" s="34" t="s">
        <v>94</v>
      </c>
      <c r="O206" s="33" t="n">
        <f>12250</f>
        <v>12250.0</v>
      </c>
      <c r="P206" s="34" t="s">
        <v>51</v>
      </c>
      <c r="Q206" s="33" t="n">
        <f>12250</f>
        <v>12250.0</v>
      </c>
      <c r="R206" s="34" t="s">
        <v>51</v>
      </c>
      <c r="S206" s="35" t="n">
        <f>12766.36</f>
        <v>12766.36</v>
      </c>
      <c r="T206" s="32" t="n">
        <f>4798</f>
        <v>4798.0</v>
      </c>
      <c r="U206" s="32" t="str">
        <f>"－"</f>
        <v>－</v>
      </c>
      <c r="V206" s="32" t="n">
        <f>62494385</f>
        <v>6.2494385E7</v>
      </c>
      <c r="W206" s="32" t="str">
        <f>"－"</f>
        <v>－</v>
      </c>
      <c r="X206" s="36" t="n">
        <f>11</f>
        <v>11.0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602</v>
      </c>
      <c r="J207" s="32" t="n">
        <v>1.0</v>
      </c>
      <c r="K207" s="33" t="n">
        <f>13525</f>
        <v>13525.0</v>
      </c>
      <c r="L207" s="34" t="s">
        <v>51</v>
      </c>
      <c r="M207" s="33" t="n">
        <f>13525</f>
        <v>13525.0</v>
      </c>
      <c r="N207" s="34" t="s">
        <v>51</v>
      </c>
      <c r="O207" s="33" t="n">
        <f>13525</f>
        <v>13525.0</v>
      </c>
      <c r="P207" s="34" t="s">
        <v>51</v>
      </c>
      <c r="Q207" s="33" t="n">
        <f>13525</f>
        <v>13525.0</v>
      </c>
      <c r="R207" s="34" t="s">
        <v>51</v>
      </c>
      <c r="S207" s="35" t="n">
        <f>13525</f>
        <v>13525.0</v>
      </c>
      <c r="T207" s="32" t="n">
        <f>200</f>
        <v>200.0</v>
      </c>
      <c r="U207" s="32" t="str">
        <f>"－"</f>
        <v>－</v>
      </c>
      <c r="V207" s="32" t="n">
        <f>2705000</f>
        <v>2705000.0</v>
      </c>
      <c r="W207" s="32" t="str">
        <f>"－"</f>
        <v>－</v>
      </c>
      <c r="X207" s="36" t="n">
        <f>1</f>
        <v>1.0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602</v>
      </c>
      <c r="J208" s="32" t="n">
        <v>1.0</v>
      </c>
      <c r="K208" s="33" t="n">
        <f>12590</f>
        <v>12590.0</v>
      </c>
      <c r="L208" s="34" t="s">
        <v>263</v>
      </c>
      <c r="M208" s="33" t="n">
        <f>12590</f>
        <v>12590.0</v>
      </c>
      <c r="N208" s="34" t="s">
        <v>263</v>
      </c>
      <c r="O208" s="33" t="n">
        <f>12590</f>
        <v>12590.0</v>
      </c>
      <c r="P208" s="34" t="s">
        <v>263</v>
      </c>
      <c r="Q208" s="33" t="n">
        <f>12590</f>
        <v>12590.0</v>
      </c>
      <c r="R208" s="34" t="s">
        <v>263</v>
      </c>
      <c r="S208" s="35" t="n">
        <f>12590</f>
        <v>12590.0</v>
      </c>
      <c r="T208" s="32" t="n">
        <f>65</f>
        <v>65.0</v>
      </c>
      <c r="U208" s="32" t="str">
        <f>"－"</f>
        <v>－</v>
      </c>
      <c r="V208" s="32" t="n">
        <f>818350</f>
        <v>818350.0</v>
      </c>
      <c r="W208" s="32" t="str">
        <f>"－"</f>
        <v>－</v>
      </c>
      <c r="X208" s="36" t="n">
        <f>1</f>
        <v>1.0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602</v>
      </c>
      <c r="J209" s="32" t="n">
        <v>1.0</v>
      </c>
      <c r="K209" s="33" t="n">
        <f>10260</f>
        <v>10260.0</v>
      </c>
      <c r="L209" s="34" t="s">
        <v>48</v>
      </c>
      <c r="M209" s="33" t="n">
        <f>10330</f>
        <v>10330.0</v>
      </c>
      <c r="N209" s="34" t="s">
        <v>48</v>
      </c>
      <c r="O209" s="33" t="n">
        <f>9250</f>
        <v>9250.0</v>
      </c>
      <c r="P209" s="34" t="s">
        <v>50</v>
      </c>
      <c r="Q209" s="33" t="n">
        <f>9488</f>
        <v>9488.0</v>
      </c>
      <c r="R209" s="34" t="s">
        <v>51</v>
      </c>
      <c r="S209" s="35" t="n">
        <f>9716.5</f>
        <v>9716.5</v>
      </c>
      <c r="T209" s="32" t="n">
        <f>2545</f>
        <v>2545.0</v>
      </c>
      <c r="U209" s="32" t="str">
        <f>"－"</f>
        <v>－</v>
      </c>
      <c r="V209" s="32" t="n">
        <f>24586690</f>
        <v>2.458669E7</v>
      </c>
      <c r="W209" s="32" t="str">
        <f>"－"</f>
        <v>－</v>
      </c>
      <c r="X209" s="36" t="n">
        <f>12</f>
        <v>12.0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602</v>
      </c>
      <c r="J210" s="32" t="n">
        <v>1.0</v>
      </c>
      <c r="K210" s="33" t="n">
        <f>11975</f>
        <v>11975.0</v>
      </c>
      <c r="L210" s="34" t="s">
        <v>48</v>
      </c>
      <c r="M210" s="33" t="n">
        <f>12045</f>
        <v>12045.0</v>
      </c>
      <c r="N210" s="34" t="s">
        <v>48</v>
      </c>
      <c r="O210" s="33" t="n">
        <f>10040</f>
        <v>10040.0</v>
      </c>
      <c r="P210" s="34" t="s">
        <v>50</v>
      </c>
      <c r="Q210" s="33" t="n">
        <f>10415</f>
        <v>10415.0</v>
      </c>
      <c r="R210" s="34" t="s">
        <v>51</v>
      </c>
      <c r="S210" s="35" t="n">
        <f>10990.53</f>
        <v>10990.53</v>
      </c>
      <c r="T210" s="32" t="n">
        <f>23603</f>
        <v>23603.0</v>
      </c>
      <c r="U210" s="32" t="str">
        <f>"－"</f>
        <v>－</v>
      </c>
      <c r="V210" s="32" t="n">
        <f>257621025</f>
        <v>2.57621025E8</v>
      </c>
      <c r="W210" s="32" t="str">
        <f>"－"</f>
        <v>－</v>
      </c>
      <c r="X210" s="36" t="n">
        <f>19</f>
        <v>19.0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602</v>
      </c>
      <c r="J211" s="32" t="n">
        <v>1.0</v>
      </c>
      <c r="K211" s="33" t="n">
        <f>9920</f>
        <v>9920.0</v>
      </c>
      <c r="L211" s="34" t="s">
        <v>49</v>
      </c>
      <c r="M211" s="33" t="n">
        <f>9920</f>
        <v>9920.0</v>
      </c>
      <c r="N211" s="34" t="s">
        <v>49</v>
      </c>
      <c r="O211" s="33" t="n">
        <f>9193</f>
        <v>9193.0</v>
      </c>
      <c r="P211" s="34" t="s">
        <v>69</v>
      </c>
      <c r="Q211" s="33" t="n">
        <f>9193</f>
        <v>9193.0</v>
      </c>
      <c r="R211" s="34" t="s">
        <v>69</v>
      </c>
      <c r="S211" s="35" t="n">
        <f>9566.17</f>
        <v>9566.17</v>
      </c>
      <c r="T211" s="32" t="n">
        <f>5307</f>
        <v>5307.0</v>
      </c>
      <c r="U211" s="32" t="str">
        <f>"－"</f>
        <v>－</v>
      </c>
      <c r="V211" s="32" t="n">
        <f>50888772</f>
        <v>5.0888772E7</v>
      </c>
      <c r="W211" s="32" t="str">
        <f>"－"</f>
        <v>－</v>
      </c>
      <c r="X211" s="36" t="n">
        <f>12</f>
        <v>12.0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992.8</f>
        <v>992.8</v>
      </c>
      <c r="L212" s="34" t="s">
        <v>48</v>
      </c>
      <c r="M212" s="33" t="n">
        <f>992.8</f>
        <v>992.8</v>
      </c>
      <c r="N212" s="34" t="s">
        <v>48</v>
      </c>
      <c r="O212" s="33" t="n">
        <f>985</f>
        <v>985.0</v>
      </c>
      <c r="P212" s="34" t="s">
        <v>51</v>
      </c>
      <c r="Q212" s="33" t="n">
        <f>986.2</f>
        <v>986.2</v>
      </c>
      <c r="R212" s="34" t="s">
        <v>51</v>
      </c>
      <c r="S212" s="35" t="n">
        <f>989.6</f>
        <v>989.6</v>
      </c>
      <c r="T212" s="32" t="n">
        <f>7192490</f>
        <v>7192490.0</v>
      </c>
      <c r="U212" s="32" t="n">
        <f>3457120</f>
        <v>3457120.0</v>
      </c>
      <c r="V212" s="32" t="n">
        <f>7121759697</f>
        <v>7.121759697E9</v>
      </c>
      <c r="W212" s="32" t="n">
        <f>3424743056</f>
        <v>3.424743056E9</v>
      </c>
      <c r="X212" s="36" t="n">
        <f>19</f>
        <v>19.0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1024</f>
        <v>1024.0</v>
      </c>
      <c r="L213" s="34" t="s">
        <v>48</v>
      </c>
      <c r="M213" s="33" t="n">
        <f>1031</f>
        <v>1031.0</v>
      </c>
      <c r="N213" s="34" t="s">
        <v>49</v>
      </c>
      <c r="O213" s="33" t="n">
        <f>999</f>
        <v>999.0</v>
      </c>
      <c r="P213" s="34" t="s">
        <v>50</v>
      </c>
      <c r="Q213" s="33" t="n">
        <f>1007</f>
        <v>1007.0</v>
      </c>
      <c r="R213" s="34" t="s">
        <v>51</v>
      </c>
      <c r="S213" s="35" t="n">
        <f>1013.08</f>
        <v>1013.08</v>
      </c>
      <c r="T213" s="32" t="n">
        <f>2815040</f>
        <v>2815040.0</v>
      </c>
      <c r="U213" s="32" t="n">
        <f>1034160</f>
        <v>1034160.0</v>
      </c>
      <c r="V213" s="32" t="n">
        <f>2854577090</f>
        <v>2.85457709E9</v>
      </c>
      <c r="W213" s="32" t="n">
        <f>1051147500</f>
        <v>1.0511475E9</v>
      </c>
      <c r="X213" s="36" t="n">
        <f>19</f>
        <v>19.0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1009.5</f>
        <v>1009.5</v>
      </c>
      <c r="L214" s="34" t="s">
        <v>48</v>
      </c>
      <c r="M214" s="33" t="n">
        <f>1009.5</f>
        <v>1009.5</v>
      </c>
      <c r="N214" s="34" t="s">
        <v>48</v>
      </c>
      <c r="O214" s="33" t="n">
        <f>992.7</f>
        <v>992.7</v>
      </c>
      <c r="P214" s="34" t="s">
        <v>263</v>
      </c>
      <c r="Q214" s="33" t="n">
        <f>997.3</f>
        <v>997.3</v>
      </c>
      <c r="R214" s="34" t="s">
        <v>51</v>
      </c>
      <c r="S214" s="35" t="n">
        <f>999.75</f>
        <v>999.75</v>
      </c>
      <c r="T214" s="32" t="n">
        <f>13888040</f>
        <v>1.388804E7</v>
      </c>
      <c r="U214" s="32" t="n">
        <f>7228690</f>
        <v>7228690.0</v>
      </c>
      <c r="V214" s="32" t="n">
        <f>13887543475</f>
        <v>1.3887543475E10</v>
      </c>
      <c r="W214" s="32" t="n">
        <f>7232115831</f>
        <v>7.232115831E9</v>
      </c>
      <c r="X214" s="36" t="n">
        <f>19</f>
        <v>19.0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1696</f>
        <v>1696.0</v>
      </c>
      <c r="L215" s="34" t="s">
        <v>48</v>
      </c>
      <c r="M215" s="33" t="n">
        <f>1716</f>
        <v>1716.0</v>
      </c>
      <c r="N215" s="34" t="s">
        <v>49</v>
      </c>
      <c r="O215" s="33" t="n">
        <f>1520.5</f>
        <v>1520.5</v>
      </c>
      <c r="P215" s="34" t="s">
        <v>50</v>
      </c>
      <c r="Q215" s="33" t="n">
        <f>1584</f>
        <v>1584.0</v>
      </c>
      <c r="R215" s="34" t="s">
        <v>51</v>
      </c>
      <c r="S215" s="35" t="n">
        <f>1623.89</f>
        <v>1623.89</v>
      </c>
      <c r="T215" s="32" t="n">
        <f>4017150</f>
        <v>4017150.0</v>
      </c>
      <c r="U215" s="32" t="n">
        <f>2221780</f>
        <v>2221780.0</v>
      </c>
      <c r="V215" s="32" t="n">
        <f>6559630922</f>
        <v>6.559630922E9</v>
      </c>
      <c r="W215" s="32" t="n">
        <f>3623936287</f>
        <v>3.623936287E9</v>
      </c>
      <c r="X215" s="36" t="n">
        <f>19</f>
        <v>19.0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1600</f>
        <v>1600.0</v>
      </c>
      <c r="L216" s="34" t="s">
        <v>48</v>
      </c>
      <c r="M216" s="33" t="n">
        <f>1606</f>
        <v>1606.0</v>
      </c>
      <c r="N216" s="34" t="s">
        <v>48</v>
      </c>
      <c r="O216" s="33" t="n">
        <f>1448</f>
        <v>1448.0</v>
      </c>
      <c r="P216" s="34" t="s">
        <v>50</v>
      </c>
      <c r="Q216" s="33" t="n">
        <f>1498.5</f>
        <v>1498.5</v>
      </c>
      <c r="R216" s="34" t="s">
        <v>51</v>
      </c>
      <c r="S216" s="35" t="n">
        <f>1535.55</f>
        <v>1535.55</v>
      </c>
      <c r="T216" s="32" t="n">
        <f>1200760</f>
        <v>1200760.0</v>
      </c>
      <c r="U216" s="32" t="n">
        <f>1025000</f>
        <v>1025000.0</v>
      </c>
      <c r="V216" s="32" t="n">
        <f>1837422930</f>
        <v>1.83742293E9</v>
      </c>
      <c r="W216" s="32" t="n">
        <f>1561928000</f>
        <v>1.561928E9</v>
      </c>
      <c r="X216" s="36" t="n">
        <f>19</f>
        <v>19.0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1326</f>
        <v>1326.0</v>
      </c>
      <c r="L217" s="34" t="s">
        <v>48</v>
      </c>
      <c r="M217" s="33" t="n">
        <f>1336</f>
        <v>1336.0</v>
      </c>
      <c r="N217" s="34" t="s">
        <v>49</v>
      </c>
      <c r="O217" s="33" t="n">
        <f>1190</f>
        <v>1190.0</v>
      </c>
      <c r="P217" s="34" t="s">
        <v>69</v>
      </c>
      <c r="Q217" s="33" t="n">
        <f>1241.5</f>
        <v>1241.5</v>
      </c>
      <c r="R217" s="34" t="s">
        <v>51</v>
      </c>
      <c r="S217" s="35" t="n">
        <f>1265.61</f>
        <v>1265.61</v>
      </c>
      <c r="T217" s="32" t="n">
        <f>859220</f>
        <v>859220.0</v>
      </c>
      <c r="U217" s="32" t="n">
        <f>479530</f>
        <v>479530.0</v>
      </c>
      <c r="V217" s="32" t="n">
        <f>1086710994</f>
        <v>1.086710994E9</v>
      </c>
      <c r="W217" s="32" t="n">
        <f>607258484</f>
        <v>6.07258484E8</v>
      </c>
      <c r="X217" s="36" t="n">
        <f>19</f>
        <v>19.0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764.5</f>
        <v>764.5</v>
      </c>
      <c r="L218" s="34" t="s">
        <v>48</v>
      </c>
      <c r="M218" s="33" t="n">
        <f>764.5</f>
        <v>764.5</v>
      </c>
      <c r="N218" s="34" t="s">
        <v>48</v>
      </c>
      <c r="O218" s="33" t="n">
        <f>553.7</f>
        <v>553.7</v>
      </c>
      <c r="P218" s="34" t="s">
        <v>69</v>
      </c>
      <c r="Q218" s="33" t="n">
        <f>587.6</f>
        <v>587.6</v>
      </c>
      <c r="R218" s="34" t="s">
        <v>51</v>
      </c>
      <c r="S218" s="35" t="n">
        <f>647.26</f>
        <v>647.26</v>
      </c>
      <c r="T218" s="32" t="n">
        <f>52397090</f>
        <v>5.239709E7</v>
      </c>
      <c r="U218" s="32" t="n">
        <f>294280</f>
        <v>294280.0</v>
      </c>
      <c r="V218" s="32" t="n">
        <f>33270138575</f>
        <v>3.3270138575E10</v>
      </c>
      <c r="W218" s="32" t="n">
        <f>206819823</f>
        <v>2.06819823E8</v>
      </c>
      <c r="X218" s="36" t="n">
        <f>19</f>
        <v>19.0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1219</f>
        <v>1219.0</v>
      </c>
      <c r="L219" s="34" t="s">
        <v>48</v>
      </c>
      <c r="M219" s="33" t="n">
        <f>1219</f>
        <v>1219.0</v>
      </c>
      <c r="N219" s="34" t="s">
        <v>48</v>
      </c>
      <c r="O219" s="33" t="n">
        <f>1050</f>
        <v>1050.0</v>
      </c>
      <c r="P219" s="34" t="s">
        <v>86</v>
      </c>
      <c r="Q219" s="33" t="n">
        <f>1147</f>
        <v>1147.0</v>
      </c>
      <c r="R219" s="34" t="s">
        <v>51</v>
      </c>
      <c r="S219" s="35" t="n">
        <f>1147.58</f>
        <v>1147.58</v>
      </c>
      <c r="T219" s="32" t="n">
        <f>1088500</f>
        <v>1088500.0</v>
      </c>
      <c r="U219" s="32" t="n">
        <f>563970</f>
        <v>563970.0</v>
      </c>
      <c r="V219" s="32" t="n">
        <f>1261244374</f>
        <v>1.261244374E9</v>
      </c>
      <c r="W219" s="32" t="n">
        <f>654726519</f>
        <v>6.54726519E8</v>
      </c>
      <c r="X219" s="36" t="n">
        <f>19</f>
        <v>19.0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1167</f>
        <v>1167.0</v>
      </c>
      <c r="L220" s="34" t="s">
        <v>48</v>
      </c>
      <c r="M220" s="33" t="n">
        <f>1200</f>
        <v>1200.0</v>
      </c>
      <c r="N220" s="34" t="s">
        <v>49</v>
      </c>
      <c r="O220" s="33" t="n">
        <f>1045</f>
        <v>1045.0</v>
      </c>
      <c r="P220" s="34" t="s">
        <v>50</v>
      </c>
      <c r="Q220" s="33" t="n">
        <f>1079</f>
        <v>1079.0</v>
      </c>
      <c r="R220" s="34" t="s">
        <v>51</v>
      </c>
      <c r="S220" s="35" t="n">
        <f>1118.63</f>
        <v>1118.63</v>
      </c>
      <c r="T220" s="32" t="n">
        <f>58226</f>
        <v>58226.0</v>
      </c>
      <c r="U220" s="32" t="n">
        <f>22000</f>
        <v>22000.0</v>
      </c>
      <c r="V220" s="32" t="n">
        <f>66761731</f>
        <v>6.6761731E7</v>
      </c>
      <c r="W220" s="32" t="n">
        <f>24930180</f>
        <v>2.493018E7</v>
      </c>
      <c r="X220" s="36" t="n">
        <f>19</f>
        <v>19.0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1059.5</f>
        <v>1059.5</v>
      </c>
      <c r="L221" s="34" t="s">
        <v>48</v>
      </c>
      <c r="M221" s="33" t="n">
        <f>1060</f>
        <v>1060.0</v>
      </c>
      <c r="N221" s="34" t="s">
        <v>48</v>
      </c>
      <c r="O221" s="33" t="n">
        <f>999</f>
        <v>999.0</v>
      </c>
      <c r="P221" s="34" t="s">
        <v>76</v>
      </c>
      <c r="Q221" s="33" t="n">
        <f>1022</f>
        <v>1022.0</v>
      </c>
      <c r="R221" s="34" t="s">
        <v>51</v>
      </c>
      <c r="S221" s="35" t="n">
        <f>1025.68</f>
        <v>1025.68</v>
      </c>
      <c r="T221" s="32" t="n">
        <f>189790</f>
        <v>189790.0</v>
      </c>
      <c r="U221" s="32" t="n">
        <f>117520</f>
        <v>117520.0</v>
      </c>
      <c r="V221" s="32" t="n">
        <f>194651576</f>
        <v>1.94651576E8</v>
      </c>
      <c r="W221" s="32" t="n">
        <f>120789387</f>
        <v>1.20789387E8</v>
      </c>
      <c r="X221" s="36" t="n">
        <f>19</f>
        <v>19.0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1223</f>
        <v>1223.0</v>
      </c>
      <c r="L222" s="34" t="s">
        <v>48</v>
      </c>
      <c r="M222" s="33" t="n">
        <f>1265</f>
        <v>1265.0</v>
      </c>
      <c r="N222" s="34" t="s">
        <v>219</v>
      </c>
      <c r="O222" s="33" t="n">
        <f>1168</f>
        <v>1168.0</v>
      </c>
      <c r="P222" s="34" t="s">
        <v>50</v>
      </c>
      <c r="Q222" s="33" t="n">
        <f>1198</f>
        <v>1198.0</v>
      </c>
      <c r="R222" s="34" t="s">
        <v>51</v>
      </c>
      <c r="S222" s="35" t="n">
        <f>1222.95</f>
        <v>1222.95</v>
      </c>
      <c r="T222" s="32" t="n">
        <f>107130</f>
        <v>107130.0</v>
      </c>
      <c r="U222" s="32" t="n">
        <f>35340</f>
        <v>35340.0</v>
      </c>
      <c r="V222" s="32" t="n">
        <f>131839249</f>
        <v>1.31839249E8</v>
      </c>
      <c r="W222" s="32" t="n">
        <f>43586334</f>
        <v>4.3586334E7</v>
      </c>
      <c r="X222" s="36" t="n">
        <f>19</f>
        <v>19.0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1679.5</f>
        <v>1679.5</v>
      </c>
      <c r="L223" s="34" t="s">
        <v>48</v>
      </c>
      <c r="M223" s="33" t="n">
        <f>1686</f>
        <v>1686.0</v>
      </c>
      <c r="N223" s="34" t="s">
        <v>48</v>
      </c>
      <c r="O223" s="33" t="n">
        <f>1487.5</f>
        <v>1487.5</v>
      </c>
      <c r="P223" s="34" t="s">
        <v>50</v>
      </c>
      <c r="Q223" s="33" t="n">
        <f>1546.5</f>
        <v>1546.5</v>
      </c>
      <c r="R223" s="34" t="s">
        <v>51</v>
      </c>
      <c r="S223" s="35" t="n">
        <f>1597.71</f>
        <v>1597.71</v>
      </c>
      <c r="T223" s="32" t="n">
        <f>14944520</f>
        <v>1.494452E7</v>
      </c>
      <c r="U223" s="32" t="n">
        <f>7292200</f>
        <v>7292200.0</v>
      </c>
      <c r="V223" s="32" t="n">
        <f>23847242270</f>
        <v>2.384724227E10</v>
      </c>
      <c r="W223" s="32" t="n">
        <f>11643996600</f>
        <v>1.16439966E10</v>
      </c>
      <c r="X223" s="36" t="n">
        <f>19</f>
        <v>19.0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4435</f>
        <v>4435.0</v>
      </c>
      <c r="L224" s="34" t="s">
        <v>48</v>
      </c>
      <c r="M224" s="33" t="n">
        <f>4470</f>
        <v>4470.0</v>
      </c>
      <c r="N224" s="34" t="s">
        <v>48</v>
      </c>
      <c r="O224" s="33" t="n">
        <f>3550</f>
        <v>3550.0</v>
      </c>
      <c r="P224" s="34" t="s">
        <v>50</v>
      </c>
      <c r="Q224" s="33" t="n">
        <f>3680</f>
        <v>3680.0</v>
      </c>
      <c r="R224" s="34" t="s">
        <v>51</v>
      </c>
      <c r="S224" s="35" t="n">
        <f>4000.79</f>
        <v>4000.79</v>
      </c>
      <c r="T224" s="32" t="n">
        <f>275197</f>
        <v>275197.0</v>
      </c>
      <c r="U224" s="32" t="n">
        <f>80205</f>
        <v>80205.0</v>
      </c>
      <c r="V224" s="32" t="n">
        <f>1053537619</f>
        <v>1.053537619E9</v>
      </c>
      <c r="W224" s="32" t="n">
        <f>289747969</f>
        <v>2.89747969E8</v>
      </c>
      <c r="X224" s="36" t="n">
        <f>19</f>
        <v>19.0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1720</f>
        <v>1720.0</v>
      </c>
      <c r="L225" s="34" t="s">
        <v>48</v>
      </c>
      <c r="M225" s="33" t="n">
        <f>1733</f>
        <v>1733.0</v>
      </c>
      <c r="N225" s="34" t="s">
        <v>49</v>
      </c>
      <c r="O225" s="33" t="n">
        <f>1542</f>
        <v>1542.0</v>
      </c>
      <c r="P225" s="34" t="s">
        <v>69</v>
      </c>
      <c r="Q225" s="33" t="n">
        <f>1559.5</f>
        <v>1559.5</v>
      </c>
      <c r="R225" s="34" t="s">
        <v>51</v>
      </c>
      <c r="S225" s="35" t="n">
        <f>1667.06</f>
        <v>1667.06</v>
      </c>
      <c r="T225" s="32" t="n">
        <f>8440</f>
        <v>8440.0</v>
      </c>
      <c r="U225" s="32" t="str">
        <f>"－"</f>
        <v>－</v>
      </c>
      <c r="V225" s="32" t="n">
        <f>13649005</f>
        <v>1.3649005E7</v>
      </c>
      <c r="W225" s="32" t="str">
        <f>"－"</f>
        <v>－</v>
      </c>
      <c r="X225" s="36" t="n">
        <f>18</f>
        <v>18.0</v>
      </c>
    </row>
    <row r="226">
      <c r="A226" s="27" t="s">
        <v>42</v>
      </c>
      <c r="B226" s="27" t="s">
        <v>723</v>
      </c>
      <c r="C226" s="27" t="s">
        <v>724</v>
      </c>
      <c r="D226" s="27" t="s">
        <v>725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2051</f>
        <v>2051.0</v>
      </c>
      <c r="L226" s="34" t="s">
        <v>48</v>
      </c>
      <c r="M226" s="33" t="n">
        <f>2084.5</f>
        <v>2084.5</v>
      </c>
      <c r="N226" s="34" t="s">
        <v>49</v>
      </c>
      <c r="O226" s="33" t="n">
        <f>1881.5</f>
        <v>1881.5</v>
      </c>
      <c r="P226" s="34" t="s">
        <v>50</v>
      </c>
      <c r="Q226" s="33" t="n">
        <f>1928.5</f>
        <v>1928.5</v>
      </c>
      <c r="R226" s="34" t="s">
        <v>51</v>
      </c>
      <c r="S226" s="35" t="n">
        <f>1993.61</f>
        <v>1993.61</v>
      </c>
      <c r="T226" s="32" t="n">
        <f>488350</f>
        <v>488350.0</v>
      </c>
      <c r="U226" s="32" t="str">
        <f>"－"</f>
        <v>－</v>
      </c>
      <c r="V226" s="32" t="n">
        <f>990408270</f>
        <v>9.9040827E8</v>
      </c>
      <c r="W226" s="32" t="str">
        <f>"－"</f>
        <v>－</v>
      </c>
      <c r="X226" s="36" t="n">
        <f>19</f>
        <v>19.0</v>
      </c>
    </row>
    <row r="227">
      <c r="A227" s="27" t="s">
        <v>42</v>
      </c>
      <c r="B227" s="27" t="s">
        <v>726</v>
      </c>
      <c r="C227" s="27" t="s">
        <v>727</v>
      </c>
      <c r="D227" s="27" t="s">
        <v>728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29525</f>
        <v>29525.0</v>
      </c>
      <c r="L227" s="34" t="s">
        <v>48</v>
      </c>
      <c r="M227" s="33" t="n">
        <f>29730</f>
        <v>29730.0</v>
      </c>
      <c r="N227" s="34" t="s">
        <v>48</v>
      </c>
      <c r="O227" s="33" t="n">
        <f>26450</f>
        <v>26450.0</v>
      </c>
      <c r="P227" s="34" t="s">
        <v>50</v>
      </c>
      <c r="Q227" s="33" t="n">
        <f>27505</f>
        <v>27505.0</v>
      </c>
      <c r="R227" s="34" t="s">
        <v>51</v>
      </c>
      <c r="S227" s="35" t="n">
        <f>28195</f>
        <v>28195.0</v>
      </c>
      <c r="T227" s="32" t="n">
        <f>14384</f>
        <v>14384.0</v>
      </c>
      <c r="U227" s="32" t="str">
        <f>"－"</f>
        <v>－</v>
      </c>
      <c r="V227" s="32" t="n">
        <f>401589000</f>
        <v>4.01589E8</v>
      </c>
      <c r="W227" s="32" t="str">
        <f>"－"</f>
        <v>－</v>
      </c>
      <c r="X227" s="36" t="n">
        <f>17</f>
        <v>17.0</v>
      </c>
    </row>
    <row r="228">
      <c r="A228" s="27" t="s">
        <v>42</v>
      </c>
      <c r="B228" s="27" t="s">
        <v>729</v>
      </c>
      <c r="C228" s="27" t="s">
        <v>730</v>
      </c>
      <c r="D228" s="27" t="s">
        <v>731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18580</f>
        <v>18580.0</v>
      </c>
      <c r="L228" s="34" t="s">
        <v>48</v>
      </c>
      <c r="M228" s="33" t="n">
        <f>19120</f>
        <v>19120.0</v>
      </c>
      <c r="N228" s="34" t="s">
        <v>61</v>
      </c>
      <c r="O228" s="33" t="n">
        <f>17010</f>
        <v>17010.0</v>
      </c>
      <c r="P228" s="34" t="s">
        <v>50</v>
      </c>
      <c r="Q228" s="33" t="n">
        <f>17350</f>
        <v>17350.0</v>
      </c>
      <c r="R228" s="34" t="s">
        <v>51</v>
      </c>
      <c r="S228" s="35" t="n">
        <f>17877.67</f>
        <v>17877.67</v>
      </c>
      <c r="T228" s="32" t="n">
        <f>7752</f>
        <v>7752.0</v>
      </c>
      <c r="U228" s="32" t="str">
        <f>"－"</f>
        <v>－</v>
      </c>
      <c r="V228" s="32" t="n">
        <f>137497190</f>
        <v>1.3749719E8</v>
      </c>
      <c r="W228" s="32" t="str">
        <f>"－"</f>
        <v>－</v>
      </c>
      <c r="X228" s="36" t="n">
        <f>15</f>
        <v>15.0</v>
      </c>
    </row>
    <row r="229">
      <c r="A229" s="27" t="s">
        <v>42</v>
      </c>
      <c r="B229" s="27" t="s">
        <v>732</v>
      </c>
      <c r="C229" s="27" t="s">
        <v>733</v>
      </c>
      <c r="D229" s="27" t="s">
        <v>734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1344.5</f>
        <v>1344.5</v>
      </c>
      <c r="L229" s="34" t="s">
        <v>49</v>
      </c>
      <c r="M229" s="33" t="n">
        <f>1344.5</f>
        <v>1344.5</v>
      </c>
      <c r="N229" s="34" t="s">
        <v>49</v>
      </c>
      <c r="O229" s="33" t="n">
        <f>1051</f>
        <v>1051.0</v>
      </c>
      <c r="P229" s="34" t="s">
        <v>86</v>
      </c>
      <c r="Q229" s="33" t="n">
        <f>1143.5</f>
        <v>1143.5</v>
      </c>
      <c r="R229" s="34" t="s">
        <v>51</v>
      </c>
      <c r="S229" s="35" t="n">
        <f>1151.41</f>
        <v>1151.41</v>
      </c>
      <c r="T229" s="32" t="n">
        <f>767960</f>
        <v>767960.0</v>
      </c>
      <c r="U229" s="32" t="n">
        <f>316000</f>
        <v>316000.0</v>
      </c>
      <c r="V229" s="32" t="n">
        <f>884645346</f>
        <v>8.84645346E8</v>
      </c>
      <c r="W229" s="32" t="n">
        <f>367281666</f>
        <v>3.67281666E8</v>
      </c>
      <c r="X229" s="36" t="n">
        <f>17</f>
        <v>17.0</v>
      </c>
    </row>
    <row r="230">
      <c r="A230" s="27" t="s">
        <v>42</v>
      </c>
      <c r="B230" s="27" t="s">
        <v>735</v>
      </c>
      <c r="C230" s="27" t="s">
        <v>736</v>
      </c>
      <c r="D230" s="27" t="s">
        <v>737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1212</f>
        <v>1212.0</v>
      </c>
      <c r="L230" s="34" t="s">
        <v>48</v>
      </c>
      <c r="M230" s="33" t="n">
        <f>1217</f>
        <v>1217.0</v>
      </c>
      <c r="N230" s="34" t="s">
        <v>49</v>
      </c>
      <c r="O230" s="33" t="n">
        <f>1048.5</f>
        <v>1048.5</v>
      </c>
      <c r="P230" s="34" t="s">
        <v>86</v>
      </c>
      <c r="Q230" s="33" t="n">
        <f>1141</f>
        <v>1141.0</v>
      </c>
      <c r="R230" s="34" t="s">
        <v>51</v>
      </c>
      <c r="S230" s="35" t="n">
        <f>1145.68</f>
        <v>1145.68</v>
      </c>
      <c r="T230" s="32" t="n">
        <f>151240</f>
        <v>151240.0</v>
      </c>
      <c r="U230" s="32" t="n">
        <f>100000</f>
        <v>100000.0</v>
      </c>
      <c r="V230" s="32" t="n">
        <f>166886320</f>
        <v>1.6688632E8</v>
      </c>
      <c r="W230" s="32" t="n">
        <f>109632000</f>
        <v>1.09632E8</v>
      </c>
      <c r="X230" s="36" t="n">
        <f>19</f>
        <v>19.0</v>
      </c>
    </row>
    <row r="231">
      <c r="A231" s="27" t="s">
        <v>42</v>
      </c>
      <c r="B231" s="27" t="s">
        <v>738</v>
      </c>
      <c r="C231" s="27" t="s">
        <v>739</v>
      </c>
      <c r="D231" s="27" t="s">
        <v>740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1150</f>
        <v>1150.0</v>
      </c>
      <c r="L231" s="34" t="s">
        <v>48</v>
      </c>
      <c r="M231" s="33" t="n">
        <f>1180</f>
        <v>1180.0</v>
      </c>
      <c r="N231" s="34" t="s">
        <v>320</v>
      </c>
      <c r="O231" s="33" t="n">
        <f>1095</f>
        <v>1095.0</v>
      </c>
      <c r="P231" s="34" t="s">
        <v>50</v>
      </c>
      <c r="Q231" s="33" t="n">
        <f>1122</f>
        <v>1122.0</v>
      </c>
      <c r="R231" s="34" t="s">
        <v>51</v>
      </c>
      <c r="S231" s="35" t="n">
        <f>1142.95</f>
        <v>1142.95</v>
      </c>
      <c r="T231" s="32" t="n">
        <f>20092</f>
        <v>20092.0</v>
      </c>
      <c r="U231" s="32" t="n">
        <f>4</f>
        <v>4.0</v>
      </c>
      <c r="V231" s="32" t="n">
        <f>22938332</f>
        <v>2.2938332E7</v>
      </c>
      <c r="W231" s="32" t="n">
        <f>4760</f>
        <v>4760.0</v>
      </c>
      <c r="X231" s="36" t="n">
        <f>19</f>
        <v>19.0</v>
      </c>
    </row>
    <row r="232">
      <c r="A232" s="27" t="s">
        <v>42</v>
      </c>
      <c r="B232" s="27" t="s">
        <v>741</v>
      </c>
      <c r="C232" s="27" t="s">
        <v>742</v>
      </c>
      <c r="D232" s="27" t="s">
        <v>743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14380</f>
        <v>14380.0</v>
      </c>
      <c r="L232" s="34" t="s">
        <v>48</v>
      </c>
      <c r="M232" s="33" t="n">
        <f>14500</f>
        <v>14500.0</v>
      </c>
      <c r="N232" s="34" t="s">
        <v>48</v>
      </c>
      <c r="O232" s="33" t="n">
        <f>13280</f>
        <v>13280.0</v>
      </c>
      <c r="P232" s="34" t="s">
        <v>51</v>
      </c>
      <c r="Q232" s="33" t="n">
        <f>13650</f>
        <v>13650.0</v>
      </c>
      <c r="R232" s="34" t="s">
        <v>51</v>
      </c>
      <c r="S232" s="35" t="n">
        <f>13929.74</f>
        <v>13929.74</v>
      </c>
      <c r="T232" s="32" t="n">
        <f>1203</f>
        <v>1203.0</v>
      </c>
      <c r="U232" s="32" t="n">
        <f>1</f>
        <v>1.0</v>
      </c>
      <c r="V232" s="32" t="n">
        <f>16796130</f>
        <v>1.679613E7</v>
      </c>
      <c r="W232" s="32" t="n">
        <f>13890</f>
        <v>13890.0</v>
      </c>
      <c r="X232" s="36" t="n">
        <f>19</f>
        <v>19.0</v>
      </c>
    </row>
    <row r="233">
      <c r="A233" s="27" t="s">
        <v>42</v>
      </c>
      <c r="B233" s="27" t="s">
        <v>744</v>
      </c>
      <c r="C233" s="27" t="s">
        <v>745</v>
      </c>
      <c r="D233" s="27" t="s">
        <v>746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2221</f>
        <v>2221.0</v>
      </c>
      <c r="L233" s="34" t="s">
        <v>48</v>
      </c>
      <c r="M233" s="33" t="n">
        <f>2232</f>
        <v>2232.0</v>
      </c>
      <c r="N233" s="34" t="s">
        <v>49</v>
      </c>
      <c r="O233" s="33" t="n">
        <f>1925</f>
        <v>1925.0</v>
      </c>
      <c r="P233" s="34" t="s">
        <v>86</v>
      </c>
      <c r="Q233" s="33" t="n">
        <f>2092</f>
        <v>2092.0</v>
      </c>
      <c r="R233" s="34" t="s">
        <v>51</v>
      </c>
      <c r="S233" s="35" t="n">
        <f>2114.89</f>
        <v>2114.89</v>
      </c>
      <c r="T233" s="32" t="n">
        <f>242307</f>
        <v>242307.0</v>
      </c>
      <c r="U233" s="32" t="n">
        <f>223000</f>
        <v>223000.0</v>
      </c>
      <c r="V233" s="32" t="n">
        <f>475252278</f>
        <v>4.75252278E8</v>
      </c>
      <c r="W233" s="32" t="n">
        <f>434470900</f>
        <v>4.344709E8</v>
      </c>
      <c r="X233" s="36" t="n">
        <f>19</f>
        <v>19.0</v>
      </c>
    </row>
    <row r="234">
      <c r="A234" s="27" t="s">
        <v>42</v>
      </c>
      <c r="B234" s="27" t="s">
        <v>747</v>
      </c>
      <c r="C234" s="27" t="s">
        <v>748</v>
      </c>
      <c r="D234" s="27" t="s">
        <v>749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1754</f>
        <v>1754.0</v>
      </c>
      <c r="L234" s="34" t="s">
        <v>48</v>
      </c>
      <c r="M234" s="33" t="n">
        <f>1901.5</f>
        <v>1901.5</v>
      </c>
      <c r="N234" s="34" t="s">
        <v>68</v>
      </c>
      <c r="O234" s="33" t="n">
        <f>1687</f>
        <v>1687.0</v>
      </c>
      <c r="P234" s="34" t="s">
        <v>219</v>
      </c>
      <c r="Q234" s="33" t="n">
        <f>1835</f>
        <v>1835.0</v>
      </c>
      <c r="R234" s="34" t="s">
        <v>51</v>
      </c>
      <c r="S234" s="35" t="n">
        <f>1791.82</f>
        <v>1791.82</v>
      </c>
      <c r="T234" s="32" t="n">
        <f>3920</f>
        <v>3920.0</v>
      </c>
      <c r="U234" s="32" t="str">
        <f>"－"</f>
        <v>－</v>
      </c>
      <c r="V234" s="32" t="n">
        <f>6977820</f>
        <v>6977820.0</v>
      </c>
      <c r="W234" s="32" t="str">
        <f>"－"</f>
        <v>－</v>
      </c>
      <c r="X234" s="36" t="n">
        <f>19</f>
        <v>19.0</v>
      </c>
    </row>
    <row r="235">
      <c r="A235" s="27" t="s">
        <v>42</v>
      </c>
      <c r="B235" s="27" t="s">
        <v>750</v>
      </c>
      <c r="C235" s="27" t="s">
        <v>751</v>
      </c>
      <c r="D235" s="27" t="s">
        <v>752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988.5</f>
        <v>988.5</v>
      </c>
      <c r="L235" s="34" t="s">
        <v>48</v>
      </c>
      <c r="M235" s="33" t="n">
        <f>988.5</f>
        <v>988.5</v>
      </c>
      <c r="N235" s="34" t="s">
        <v>48</v>
      </c>
      <c r="O235" s="33" t="n">
        <f>969</f>
        <v>969.0</v>
      </c>
      <c r="P235" s="34" t="s">
        <v>51</v>
      </c>
      <c r="Q235" s="33" t="n">
        <f>971.4</f>
        <v>971.4</v>
      </c>
      <c r="R235" s="34" t="s">
        <v>51</v>
      </c>
      <c r="S235" s="35" t="n">
        <f>978.36</f>
        <v>978.36</v>
      </c>
      <c r="T235" s="32" t="n">
        <f>1783360</f>
        <v>1783360.0</v>
      </c>
      <c r="U235" s="32" t="n">
        <f>1160780</f>
        <v>1160780.0</v>
      </c>
      <c r="V235" s="32" t="n">
        <f>1746631900</f>
        <v>1.7466319E9</v>
      </c>
      <c r="W235" s="32" t="n">
        <f>1136495219</f>
        <v>1.136495219E9</v>
      </c>
      <c r="X235" s="36" t="n">
        <f>19</f>
        <v>19.0</v>
      </c>
    </row>
    <row r="236">
      <c r="A236" s="27" t="s">
        <v>42</v>
      </c>
      <c r="B236" s="27" t="s">
        <v>753</v>
      </c>
      <c r="C236" s="27" t="s">
        <v>754</v>
      </c>
      <c r="D236" s="27" t="s">
        <v>755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2065</f>
        <v>2065.0</v>
      </c>
      <c r="L236" s="34" t="s">
        <v>48</v>
      </c>
      <c r="M236" s="33" t="n">
        <f>2135.5</f>
        <v>2135.5</v>
      </c>
      <c r="N236" s="34" t="s">
        <v>48</v>
      </c>
      <c r="O236" s="33" t="n">
        <f>1823.5</f>
        <v>1823.5</v>
      </c>
      <c r="P236" s="34" t="s">
        <v>86</v>
      </c>
      <c r="Q236" s="33" t="n">
        <f>1990.5</f>
        <v>1990.5</v>
      </c>
      <c r="R236" s="34" t="s">
        <v>51</v>
      </c>
      <c r="S236" s="35" t="n">
        <f>2007.11</f>
        <v>2007.11</v>
      </c>
      <c r="T236" s="32" t="n">
        <f>218380</f>
        <v>218380.0</v>
      </c>
      <c r="U236" s="32" t="n">
        <f>160000</f>
        <v>160000.0</v>
      </c>
      <c r="V236" s="32" t="n">
        <f>420145675</f>
        <v>4.20145675E8</v>
      </c>
      <c r="W236" s="32" t="n">
        <f>307308800</f>
        <v>3.073088E8</v>
      </c>
      <c r="X236" s="36" t="n">
        <f>18</f>
        <v>18.0</v>
      </c>
    </row>
    <row r="237">
      <c r="A237" s="27" t="s">
        <v>42</v>
      </c>
      <c r="B237" s="27" t="s">
        <v>756</v>
      </c>
      <c r="C237" s="27" t="s">
        <v>757</v>
      </c>
      <c r="D237" s="27" t="s">
        <v>758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2137.5</f>
        <v>2137.5</v>
      </c>
      <c r="L237" s="34" t="s">
        <v>48</v>
      </c>
      <c r="M237" s="33" t="n">
        <f>2137.5</f>
        <v>2137.5</v>
      </c>
      <c r="N237" s="34" t="s">
        <v>48</v>
      </c>
      <c r="O237" s="33" t="n">
        <f>1820</f>
        <v>1820.0</v>
      </c>
      <c r="P237" s="34" t="s">
        <v>86</v>
      </c>
      <c r="Q237" s="33" t="n">
        <f>1995</f>
        <v>1995.0</v>
      </c>
      <c r="R237" s="34" t="s">
        <v>51</v>
      </c>
      <c r="S237" s="35" t="n">
        <f>2002.79</f>
        <v>2002.79</v>
      </c>
      <c r="T237" s="32" t="n">
        <f>1084710</f>
        <v>1084710.0</v>
      </c>
      <c r="U237" s="32" t="n">
        <f>465010</f>
        <v>465010.0</v>
      </c>
      <c r="V237" s="32" t="n">
        <f>2142974505</f>
        <v>2.142974505E9</v>
      </c>
      <c r="W237" s="32" t="n">
        <f>916012465</f>
        <v>9.16012465E8</v>
      </c>
      <c r="X237" s="36" t="n">
        <f>19</f>
        <v>19.0</v>
      </c>
    </row>
    <row r="238">
      <c r="A238" s="27" t="s">
        <v>42</v>
      </c>
      <c r="B238" s="27" t="s">
        <v>759</v>
      </c>
      <c r="C238" s="27" t="s">
        <v>760</v>
      </c>
      <c r="D238" s="27" t="s">
        <v>761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2052</f>
        <v>2052.0</v>
      </c>
      <c r="L238" s="34" t="s">
        <v>49</v>
      </c>
      <c r="M238" s="33" t="n">
        <f>2053.5</f>
        <v>2053.5</v>
      </c>
      <c r="N238" s="34" t="s">
        <v>49</v>
      </c>
      <c r="O238" s="33" t="n">
        <f>1906.5</f>
        <v>1906.5</v>
      </c>
      <c r="P238" s="34" t="s">
        <v>51</v>
      </c>
      <c r="Q238" s="33" t="n">
        <f>1906.5</f>
        <v>1906.5</v>
      </c>
      <c r="R238" s="34" t="s">
        <v>51</v>
      </c>
      <c r="S238" s="35" t="n">
        <f>1980.85</f>
        <v>1980.85</v>
      </c>
      <c r="T238" s="32" t="n">
        <f>2570</f>
        <v>2570.0</v>
      </c>
      <c r="U238" s="32" t="str">
        <f>"－"</f>
        <v>－</v>
      </c>
      <c r="V238" s="32" t="n">
        <f>5065265</f>
        <v>5065265.0</v>
      </c>
      <c r="W238" s="32" t="str">
        <f>"－"</f>
        <v>－</v>
      </c>
      <c r="X238" s="36" t="n">
        <f>10</f>
        <v>10.0</v>
      </c>
    </row>
    <row r="239">
      <c r="A239" s="27" t="s">
        <v>42</v>
      </c>
      <c r="B239" s="27" t="s">
        <v>762</v>
      </c>
      <c r="C239" s="27" t="s">
        <v>763</v>
      </c>
      <c r="D239" s="27" t="s">
        <v>764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15830</f>
        <v>15830.0</v>
      </c>
      <c r="L239" s="34" t="s">
        <v>48</v>
      </c>
      <c r="M239" s="33" t="n">
        <f>15945</f>
        <v>15945.0</v>
      </c>
      <c r="N239" s="34" t="s">
        <v>48</v>
      </c>
      <c r="O239" s="33" t="n">
        <f>14050</f>
        <v>14050.0</v>
      </c>
      <c r="P239" s="34" t="s">
        <v>50</v>
      </c>
      <c r="Q239" s="33" t="n">
        <f>14720</f>
        <v>14720.0</v>
      </c>
      <c r="R239" s="34" t="s">
        <v>51</v>
      </c>
      <c r="S239" s="35" t="n">
        <f>15056.05</f>
        <v>15056.05</v>
      </c>
      <c r="T239" s="32" t="n">
        <f>1051366</f>
        <v>1051366.0</v>
      </c>
      <c r="U239" s="32" t="n">
        <f>64402</f>
        <v>64402.0</v>
      </c>
      <c r="V239" s="32" t="n">
        <f>15828771287</f>
        <v>1.5828771287E10</v>
      </c>
      <c r="W239" s="32" t="n">
        <f>1000234292</f>
        <v>1.000234292E9</v>
      </c>
      <c r="X239" s="36" t="n">
        <f>19</f>
        <v>19.0</v>
      </c>
    </row>
    <row r="240">
      <c r="A240" s="27" t="s">
        <v>42</v>
      </c>
      <c r="B240" s="27" t="s">
        <v>765</v>
      </c>
      <c r="C240" s="27" t="s">
        <v>766</v>
      </c>
      <c r="D240" s="27" t="s">
        <v>767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14295</f>
        <v>14295.0</v>
      </c>
      <c r="L240" s="34" t="s">
        <v>48</v>
      </c>
      <c r="M240" s="33" t="n">
        <f>14420</f>
        <v>14420.0</v>
      </c>
      <c r="N240" s="34" t="s">
        <v>48</v>
      </c>
      <c r="O240" s="33" t="n">
        <f>12980</f>
        <v>12980.0</v>
      </c>
      <c r="P240" s="34" t="s">
        <v>50</v>
      </c>
      <c r="Q240" s="33" t="n">
        <f>13540</f>
        <v>13540.0</v>
      </c>
      <c r="R240" s="34" t="s">
        <v>51</v>
      </c>
      <c r="S240" s="35" t="n">
        <f>13787.63</f>
        <v>13787.63</v>
      </c>
      <c r="T240" s="32" t="n">
        <f>243158</f>
        <v>243158.0</v>
      </c>
      <c r="U240" s="32" t="str">
        <f>"－"</f>
        <v>－</v>
      </c>
      <c r="V240" s="32" t="n">
        <f>3341629835</f>
        <v>3.341629835E9</v>
      </c>
      <c r="W240" s="32" t="str">
        <f>"－"</f>
        <v>－</v>
      </c>
      <c r="X240" s="36" t="n">
        <f>19</f>
        <v>19.0</v>
      </c>
    </row>
    <row r="241">
      <c r="A241" s="27" t="s">
        <v>42</v>
      </c>
      <c r="B241" s="27" t="s">
        <v>768</v>
      </c>
      <c r="C241" s="27" t="s">
        <v>769</v>
      </c>
      <c r="D241" s="27" t="s">
        <v>770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26875</f>
        <v>26875.0</v>
      </c>
      <c r="L241" s="34" t="s">
        <v>48</v>
      </c>
      <c r="M241" s="33" t="n">
        <f>27195</f>
        <v>27195.0</v>
      </c>
      <c r="N241" s="34" t="s">
        <v>49</v>
      </c>
      <c r="O241" s="33" t="n">
        <f>24500</f>
        <v>24500.0</v>
      </c>
      <c r="P241" s="34" t="s">
        <v>50</v>
      </c>
      <c r="Q241" s="33" t="n">
        <f>25300</f>
        <v>25300.0</v>
      </c>
      <c r="R241" s="34" t="s">
        <v>51</v>
      </c>
      <c r="S241" s="35" t="n">
        <f>26175.94</f>
        <v>26175.94</v>
      </c>
      <c r="T241" s="32" t="n">
        <f>120</f>
        <v>120.0</v>
      </c>
      <c r="U241" s="32" t="str">
        <f>"－"</f>
        <v>－</v>
      </c>
      <c r="V241" s="32" t="n">
        <f>3134600</f>
        <v>3134600.0</v>
      </c>
      <c r="W241" s="32" t="str">
        <f>"－"</f>
        <v>－</v>
      </c>
      <c r="X241" s="36" t="n">
        <f>16</f>
        <v>16.0</v>
      </c>
    </row>
    <row r="242">
      <c r="A242" s="27" t="s">
        <v>42</v>
      </c>
      <c r="B242" s="27" t="s">
        <v>771</v>
      </c>
      <c r="C242" s="27" t="s">
        <v>772</v>
      </c>
      <c r="D242" s="27" t="s">
        <v>773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2710</f>
        <v>2710.0</v>
      </c>
      <c r="L242" s="34" t="s">
        <v>48</v>
      </c>
      <c r="M242" s="33" t="n">
        <f>2710</f>
        <v>2710.0</v>
      </c>
      <c r="N242" s="34" t="s">
        <v>48</v>
      </c>
      <c r="O242" s="33" t="n">
        <f>2671</f>
        <v>2671.0</v>
      </c>
      <c r="P242" s="34" t="s">
        <v>51</v>
      </c>
      <c r="Q242" s="33" t="n">
        <f>2676</f>
        <v>2676.0</v>
      </c>
      <c r="R242" s="34" t="s">
        <v>51</v>
      </c>
      <c r="S242" s="35" t="n">
        <f>2689.05</f>
        <v>2689.05</v>
      </c>
      <c r="T242" s="32" t="n">
        <f>1719352</f>
        <v>1719352.0</v>
      </c>
      <c r="U242" s="32" t="n">
        <f>986133</f>
        <v>986133.0</v>
      </c>
      <c r="V242" s="32" t="n">
        <f>4623565556</f>
        <v>4.623565556E9</v>
      </c>
      <c r="W242" s="32" t="n">
        <f>2652188122</f>
        <v>2.652188122E9</v>
      </c>
      <c r="X242" s="36" t="n">
        <f>19</f>
        <v>19.0</v>
      </c>
    </row>
    <row r="243">
      <c r="A243" s="27" t="s">
        <v>42</v>
      </c>
      <c r="B243" s="27" t="s">
        <v>774</v>
      </c>
      <c r="C243" s="27" t="s">
        <v>775</v>
      </c>
      <c r="D243" s="27" t="s">
        <v>776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3165</f>
        <v>3165.0</v>
      </c>
      <c r="L243" s="34" t="s">
        <v>48</v>
      </c>
      <c r="M243" s="33" t="n">
        <f>3196</f>
        <v>3196.0</v>
      </c>
      <c r="N243" s="34" t="s">
        <v>49</v>
      </c>
      <c r="O243" s="33" t="n">
        <f>2907</f>
        <v>2907.0</v>
      </c>
      <c r="P243" s="34" t="s">
        <v>50</v>
      </c>
      <c r="Q243" s="33" t="n">
        <f>3005</f>
        <v>3005.0</v>
      </c>
      <c r="R243" s="34" t="s">
        <v>51</v>
      </c>
      <c r="S243" s="35" t="n">
        <f>3062.74</f>
        <v>3062.74</v>
      </c>
      <c r="T243" s="32" t="n">
        <f>5343480</f>
        <v>5343480.0</v>
      </c>
      <c r="U243" s="32" t="n">
        <f>3317610</f>
        <v>3317610.0</v>
      </c>
      <c r="V243" s="32" t="n">
        <f>16551543358</f>
        <v>1.6551543358E10</v>
      </c>
      <c r="W243" s="32" t="n">
        <f>10261533158</f>
        <v>1.0261533158E10</v>
      </c>
      <c r="X243" s="36" t="n">
        <f>19</f>
        <v>19.0</v>
      </c>
    </row>
    <row r="244">
      <c r="A244" s="27" t="s">
        <v>42</v>
      </c>
      <c r="B244" s="27" t="s">
        <v>777</v>
      </c>
      <c r="C244" s="27" t="s">
        <v>778</v>
      </c>
      <c r="D244" s="27" t="s">
        <v>779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3125</f>
        <v>3125.0</v>
      </c>
      <c r="L244" s="34" t="s">
        <v>48</v>
      </c>
      <c r="M244" s="33" t="n">
        <f>3135</f>
        <v>3135.0</v>
      </c>
      <c r="N244" s="34" t="s">
        <v>48</v>
      </c>
      <c r="O244" s="33" t="n">
        <f>2788</f>
        <v>2788.0</v>
      </c>
      <c r="P244" s="34" t="s">
        <v>50</v>
      </c>
      <c r="Q244" s="33" t="n">
        <f>2897</f>
        <v>2897.0</v>
      </c>
      <c r="R244" s="34" t="s">
        <v>51</v>
      </c>
      <c r="S244" s="35" t="n">
        <f>2979.89</f>
        <v>2979.89</v>
      </c>
      <c r="T244" s="32" t="n">
        <f>6619237</f>
        <v>6619237.0</v>
      </c>
      <c r="U244" s="32" t="n">
        <f>1616000</f>
        <v>1616000.0</v>
      </c>
      <c r="V244" s="32" t="n">
        <f>19485365877</f>
        <v>1.9485365877E10</v>
      </c>
      <c r="W244" s="32" t="n">
        <f>4632925438</f>
        <v>4.632925438E9</v>
      </c>
      <c r="X244" s="36" t="n">
        <f>19</f>
        <v>19.0</v>
      </c>
    </row>
    <row r="245">
      <c r="A245" s="27" t="s">
        <v>42</v>
      </c>
      <c r="B245" s="27" t="s">
        <v>780</v>
      </c>
      <c r="C245" s="27" t="s">
        <v>781</v>
      </c>
      <c r="D245" s="27" t="s">
        <v>782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1918</f>
        <v>1918.0</v>
      </c>
      <c r="L245" s="34" t="s">
        <v>48</v>
      </c>
      <c r="M245" s="33" t="n">
        <f>1966</f>
        <v>1966.0</v>
      </c>
      <c r="N245" s="34" t="s">
        <v>194</v>
      </c>
      <c r="O245" s="33" t="n">
        <f>1859</f>
        <v>1859.0</v>
      </c>
      <c r="P245" s="34" t="s">
        <v>50</v>
      </c>
      <c r="Q245" s="33" t="n">
        <f>1894</f>
        <v>1894.0</v>
      </c>
      <c r="R245" s="34" t="s">
        <v>51</v>
      </c>
      <c r="S245" s="35" t="n">
        <f>1916.58</f>
        <v>1916.58</v>
      </c>
      <c r="T245" s="32" t="n">
        <f>138024</f>
        <v>138024.0</v>
      </c>
      <c r="U245" s="32" t="n">
        <f>25708</f>
        <v>25708.0</v>
      </c>
      <c r="V245" s="32" t="n">
        <f>266210063</f>
        <v>2.66210063E8</v>
      </c>
      <c r="W245" s="32" t="n">
        <f>49986008</f>
        <v>4.9986008E7</v>
      </c>
      <c r="X245" s="36" t="n">
        <f>19</f>
        <v>19.0</v>
      </c>
    </row>
    <row r="246">
      <c r="A246" s="27" t="s">
        <v>42</v>
      </c>
      <c r="B246" s="27" t="s">
        <v>783</v>
      </c>
      <c r="C246" s="27" t="s">
        <v>784</v>
      </c>
      <c r="D246" s="27" t="s">
        <v>785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1290</f>
        <v>1290.0</v>
      </c>
      <c r="L246" s="34" t="s">
        <v>48</v>
      </c>
      <c r="M246" s="33" t="n">
        <f>1290</f>
        <v>1290.0</v>
      </c>
      <c r="N246" s="34" t="s">
        <v>48</v>
      </c>
      <c r="O246" s="33" t="n">
        <f>1055</f>
        <v>1055.0</v>
      </c>
      <c r="P246" s="34" t="s">
        <v>86</v>
      </c>
      <c r="Q246" s="33" t="n">
        <f>1157</f>
        <v>1157.0</v>
      </c>
      <c r="R246" s="34" t="s">
        <v>51</v>
      </c>
      <c r="S246" s="35" t="n">
        <f>1169.53</f>
        <v>1169.53</v>
      </c>
      <c r="T246" s="32" t="n">
        <f>701295</f>
        <v>701295.0</v>
      </c>
      <c r="U246" s="32" t="n">
        <f>256000</f>
        <v>256000.0</v>
      </c>
      <c r="V246" s="32" t="n">
        <f>806782175</f>
        <v>8.06782175E8</v>
      </c>
      <c r="W246" s="32" t="n">
        <f>287078400</f>
        <v>2.870784E8</v>
      </c>
      <c r="X246" s="36" t="n">
        <f>19</f>
        <v>19.0</v>
      </c>
    </row>
    <row r="247">
      <c r="A247" s="27" t="s">
        <v>42</v>
      </c>
      <c r="B247" s="27" t="s">
        <v>786</v>
      </c>
      <c r="C247" s="27" t="s">
        <v>787</v>
      </c>
      <c r="D247" s="27" t="s">
        <v>788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1142.5</f>
        <v>1142.5</v>
      </c>
      <c r="L247" s="34" t="s">
        <v>48</v>
      </c>
      <c r="M247" s="33" t="n">
        <f>1183</f>
        <v>1183.0</v>
      </c>
      <c r="N247" s="34" t="s">
        <v>49</v>
      </c>
      <c r="O247" s="33" t="n">
        <f>1010.5</f>
        <v>1010.5</v>
      </c>
      <c r="P247" s="34" t="s">
        <v>86</v>
      </c>
      <c r="Q247" s="33" t="n">
        <f>1101.5</f>
        <v>1101.5</v>
      </c>
      <c r="R247" s="34" t="s">
        <v>51</v>
      </c>
      <c r="S247" s="35" t="n">
        <f>1109.79</f>
        <v>1109.79</v>
      </c>
      <c r="T247" s="32" t="n">
        <f>403220</f>
        <v>403220.0</v>
      </c>
      <c r="U247" s="32" t="n">
        <f>278000</f>
        <v>278000.0</v>
      </c>
      <c r="V247" s="32" t="n">
        <f>457385565</f>
        <v>4.57385565E8</v>
      </c>
      <c r="W247" s="32" t="n">
        <f>323418400</f>
        <v>3.234184E8</v>
      </c>
      <c r="X247" s="36" t="n">
        <f>19</f>
        <v>19.0</v>
      </c>
    </row>
    <row r="248">
      <c r="A248" s="27" t="s">
        <v>42</v>
      </c>
      <c r="B248" s="27" t="s">
        <v>789</v>
      </c>
      <c r="C248" s="27" t="s">
        <v>790</v>
      </c>
      <c r="D248" s="27" t="s">
        <v>791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255</f>
        <v>255.0</v>
      </c>
      <c r="L248" s="34" t="s">
        <v>48</v>
      </c>
      <c r="M248" s="33" t="n">
        <f>259.7</f>
        <v>259.7</v>
      </c>
      <c r="N248" s="34" t="s">
        <v>48</v>
      </c>
      <c r="O248" s="33" t="n">
        <f>235</f>
        <v>235.0</v>
      </c>
      <c r="P248" s="34" t="s">
        <v>76</v>
      </c>
      <c r="Q248" s="33" t="n">
        <f>238.1</f>
        <v>238.1</v>
      </c>
      <c r="R248" s="34" t="s">
        <v>51</v>
      </c>
      <c r="S248" s="35" t="n">
        <f>250.12</f>
        <v>250.12</v>
      </c>
      <c r="T248" s="32" t="n">
        <f>41160</f>
        <v>41160.0</v>
      </c>
      <c r="U248" s="32" t="str">
        <f>"－"</f>
        <v>－</v>
      </c>
      <c r="V248" s="32" t="n">
        <f>10038180</f>
        <v>1.003818E7</v>
      </c>
      <c r="W248" s="32" t="str">
        <f>"－"</f>
        <v>－</v>
      </c>
      <c r="X248" s="36" t="n">
        <f>19</f>
        <v>19.0</v>
      </c>
    </row>
    <row r="249">
      <c r="A249" s="27" t="s">
        <v>42</v>
      </c>
      <c r="B249" s="27" t="s">
        <v>792</v>
      </c>
      <c r="C249" s="27" t="s">
        <v>793</v>
      </c>
      <c r="D249" s="27" t="s">
        <v>794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3277</f>
        <v>3277.0</v>
      </c>
      <c r="L249" s="34" t="s">
        <v>48</v>
      </c>
      <c r="M249" s="33" t="n">
        <f>3299</f>
        <v>3299.0</v>
      </c>
      <c r="N249" s="34" t="s">
        <v>48</v>
      </c>
      <c r="O249" s="33" t="n">
        <f>2736.5</f>
        <v>2736.5</v>
      </c>
      <c r="P249" s="34" t="s">
        <v>50</v>
      </c>
      <c r="Q249" s="33" t="n">
        <f>2882</f>
        <v>2882.0</v>
      </c>
      <c r="R249" s="34" t="s">
        <v>51</v>
      </c>
      <c r="S249" s="35" t="n">
        <f>3004.03</f>
        <v>3004.03</v>
      </c>
      <c r="T249" s="32" t="n">
        <f>2933320</f>
        <v>2933320.0</v>
      </c>
      <c r="U249" s="32" t="n">
        <f>140100</f>
        <v>140100.0</v>
      </c>
      <c r="V249" s="32" t="n">
        <f>8648962642</f>
        <v>8.648962642E9</v>
      </c>
      <c r="W249" s="32" t="n">
        <f>416957872</f>
        <v>4.16957872E8</v>
      </c>
      <c r="X249" s="36" t="n">
        <f>19</f>
        <v>19.0</v>
      </c>
    </row>
    <row r="250">
      <c r="A250" s="27" t="s">
        <v>42</v>
      </c>
      <c r="B250" s="27" t="s">
        <v>795</v>
      </c>
      <c r="C250" s="27" t="s">
        <v>796</v>
      </c>
      <c r="D250" s="27" t="s">
        <v>797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2964</f>
        <v>2964.0</v>
      </c>
      <c r="L250" s="34" t="s">
        <v>48</v>
      </c>
      <c r="M250" s="33" t="n">
        <f>2980</f>
        <v>2980.0</v>
      </c>
      <c r="N250" s="34" t="s">
        <v>49</v>
      </c>
      <c r="O250" s="33" t="n">
        <f>2495</f>
        <v>2495.0</v>
      </c>
      <c r="P250" s="34" t="s">
        <v>50</v>
      </c>
      <c r="Q250" s="33" t="n">
        <f>2604.5</f>
        <v>2604.5</v>
      </c>
      <c r="R250" s="34" t="s">
        <v>51</v>
      </c>
      <c r="S250" s="35" t="n">
        <f>2734.05</f>
        <v>2734.05</v>
      </c>
      <c r="T250" s="32" t="n">
        <f>7356290</f>
        <v>7356290.0</v>
      </c>
      <c r="U250" s="32" t="n">
        <f>2311300</f>
        <v>2311300.0</v>
      </c>
      <c r="V250" s="32" t="n">
        <f>19773951184</f>
        <v>1.9773951184E10</v>
      </c>
      <c r="W250" s="32" t="n">
        <f>6436172859</f>
        <v>6.436172859E9</v>
      </c>
      <c r="X250" s="36" t="n">
        <f>19</f>
        <v>19.0</v>
      </c>
    </row>
    <row r="251">
      <c r="A251" s="27" t="s">
        <v>42</v>
      </c>
      <c r="B251" s="27" t="s">
        <v>798</v>
      </c>
      <c r="C251" s="27" t="s">
        <v>799</v>
      </c>
      <c r="D251" s="27" t="s">
        <v>800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2687</f>
        <v>2687.0</v>
      </c>
      <c r="L251" s="34" t="s">
        <v>48</v>
      </c>
      <c r="M251" s="33" t="n">
        <f>2713</f>
        <v>2713.0</v>
      </c>
      <c r="N251" s="34" t="s">
        <v>49</v>
      </c>
      <c r="O251" s="33" t="n">
        <f>2633</f>
        <v>2633.0</v>
      </c>
      <c r="P251" s="34" t="s">
        <v>86</v>
      </c>
      <c r="Q251" s="33" t="n">
        <f>2668</f>
        <v>2668.0</v>
      </c>
      <c r="R251" s="34" t="s">
        <v>51</v>
      </c>
      <c r="S251" s="35" t="n">
        <f>2661.68</f>
        <v>2661.68</v>
      </c>
      <c r="T251" s="32" t="n">
        <f>1654443</f>
        <v>1654443.0</v>
      </c>
      <c r="U251" s="32" t="n">
        <f>1154010</f>
        <v>1154010.0</v>
      </c>
      <c r="V251" s="32" t="n">
        <f>4404352834</f>
        <v>4.404352834E9</v>
      </c>
      <c r="W251" s="32" t="n">
        <f>3071102988</f>
        <v>3.071102988E9</v>
      </c>
      <c r="X251" s="36" t="n">
        <f>19</f>
        <v>19.0</v>
      </c>
    </row>
    <row r="252">
      <c r="A252" s="27" t="s">
        <v>42</v>
      </c>
      <c r="B252" s="27" t="s">
        <v>801</v>
      </c>
      <c r="C252" s="27" t="s">
        <v>802</v>
      </c>
      <c r="D252" s="27" t="s">
        <v>803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2224</f>
        <v>2224.0</v>
      </c>
      <c r="L252" s="34" t="s">
        <v>48</v>
      </c>
      <c r="M252" s="33" t="n">
        <f>2271</f>
        <v>2271.0</v>
      </c>
      <c r="N252" s="34" t="s">
        <v>48</v>
      </c>
      <c r="O252" s="33" t="n">
        <f>2129</f>
        <v>2129.0</v>
      </c>
      <c r="P252" s="34" t="s">
        <v>263</v>
      </c>
      <c r="Q252" s="33" t="n">
        <f>2179</f>
        <v>2179.0</v>
      </c>
      <c r="R252" s="34" t="s">
        <v>51</v>
      </c>
      <c r="S252" s="35" t="n">
        <f>2177.32</f>
        <v>2177.32</v>
      </c>
      <c r="T252" s="32" t="n">
        <f>1409096</f>
        <v>1409096.0</v>
      </c>
      <c r="U252" s="32" t="n">
        <f>820000</f>
        <v>820000.0</v>
      </c>
      <c r="V252" s="32" t="n">
        <f>3060673498</f>
        <v>3.060673498E9</v>
      </c>
      <c r="W252" s="32" t="n">
        <f>1782254000</f>
        <v>1.782254E9</v>
      </c>
      <c r="X252" s="36" t="n">
        <f>19</f>
        <v>19.0</v>
      </c>
    </row>
    <row r="253">
      <c r="A253" s="27" t="s">
        <v>42</v>
      </c>
      <c r="B253" s="27" t="s">
        <v>804</v>
      </c>
      <c r="C253" s="27" t="s">
        <v>805</v>
      </c>
      <c r="D253" s="27" t="s">
        <v>806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2457</f>
        <v>2457.0</v>
      </c>
      <c r="L253" s="34" t="s">
        <v>48</v>
      </c>
      <c r="M253" s="33" t="n">
        <f>2457</f>
        <v>2457.0</v>
      </c>
      <c r="N253" s="34" t="s">
        <v>48</v>
      </c>
      <c r="O253" s="33" t="n">
        <f>2325</f>
        <v>2325.0</v>
      </c>
      <c r="P253" s="34" t="s">
        <v>86</v>
      </c>
      <c r="Q253" s="33" t="n">
        <f>2351</f>
        <v>2351.0</v>
      </c>
      <c r="R253" s="34" t="s">
        <v>51</v>
      </c>
      <c r="S253" s="35" t="n">
        <f>2376.63</f>
        <v>2376.63</v>
      </c>
      <c r="T253" s="32" t="n">
        <f>52948</f>
        <v>52948.0</v>
      </c>
      <c r="U253" s="32" t="str">
        <f>"－"</f>
        <v>－</v>
      </c>
      <c r="V253" s="32" t="n">
        <f>125349953</f>
        <v>1.25349953E8</v>
      </c>
      <c r="W253" s="32" t="str">
        <f>"－"</f>
        <v>－</v>
      </c>
      <c r="X253" s="36" t="n">
        <f>19</f>
        <v>19.0</v>
      </c>
    </row>
    <row r="254">
      <c r="A254" s="27" t="s">
        <v>42</v>
      </c>
      <c r="B254" s="27" t="s">
        <v>807</v>
      </c>
      <c r="C254" s="27" t="s">
        <v>808</v>
      </c>
      <c r="D254" s="27" t="s">
        <v>809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2492</f>
        <v>2492.0</v>
      </c>
      <c r="L254" s="34" t="s">
        <v>48</v>
      </c>
      <c r="M254" s="33" t="n">
        <f>2496</f>
        <v>2496.0</v>
      </c>
      <c r="N254" s="34" t="s">
        <v>61</v>
      </c>
      <c r="O254" s="33" t="n">
        <f>2466</f>
        <v>2466.0</v>
      </c>
      <c r="P254" s="34" t="s">
        <v>51</v>
      </c>
      <c r="Q254" s="33" t="n">
        <f>2466</f>
        <v>2466.0</v>
      </c>
      <c r="R254" s="34" t="s">
        <v>51</v>
      </c>
      <c r="S254" s="35" t="n">
        <f>2477.44</f>
        <v>2477.44</v>
      </c>
      <c r="T254" s="32" t="n">
        <f>535</f>
        <v>535.0</v>
      </c>
      <c r="U254" s="32" t="str">
        <f>"－"</f>
        <v>－</v>
      </c>
      <c r="V254" s="32" t="n">
        <f>1329836</f>
        <v>1329836.0</v>
      </c>
      <c r="W254" s="32" t="str">
        <f>"－"</f>
        <v>－</v>
      </c>
      <c r="X254" s="36" t="n">
        <f>18</f>
        <v>18.0</v>
      </c>
    </row>
    <row r="255">
      <c r="A255" s="27" t="s">
        <v>42</v>
      </c>
      <c r="B255" s="27" t="s">
        <v>810</v>
      </c>
      <c r="C255" s="27" t="s">
        <v>811</v>
      </c>
      <c r="D255" s="27" t="s">
        <v>812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2913</f>
        <v>2913.0</v>
      </c>
      <c r="L255" s="34" t="s">
        <v>48</v>
      </c>
      <c r="M255" s="33" t="n">
        <f>2943</f>
        <v>2943.0</v>
      </c>
      <c r="N255" s="34" t="s">
        <v>49</v>
      </c>
      <c r="O255" s="33" t="n">
        <f>2605</f>
        <v>2605.0</v>
      </c>
      <c r="P255" s="34" t="s">
        <v>50</v>
      </c>
      <c r="Q255" s="33" t="n">
        <f>2702</f>
        <v>2702.0</v>
      </c>
      <c r="R255" s="34" t="s">
        <v>51</v>
      </c>
      <c r="S255" s="35" t="n">
        <f>2790.74</f>
        <v>2790.74</v>
      </c>
      <c r="T255" s="32" t="n">
        <f>649772</f>
        <v>649772.0</v>
      </c>
      <c r="U255" s="32" t="n">
        <f>2</f>
        <v>2.0</v>
      </c>
      <c r="V255" s="32" t="n">
        <f>1812937235</f>
        <v>1.812937235E9</v>
      </c>
      <c r="W255" s="32" t="n">
        <f>5383</f>
        <v>5383.0</v>
      </c>
      <c r="X255" s="36" t="n">
        <f>19</f>
        <v>19.0</v>
      </c>
    </row>
    <row r="256">
      <c r="A256" s="27" t="s">
        <v>42</v>
      </c>
      <c r="B256" s="27" t="s">
        <v>813</v>
      </c>
      <c r="C256" s="27" t="s">
        <v>814</v>
      </c>
      <c r="D256" s="27" t="s">
        <v>815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2021</f>
        <v>2021.0</v>
      </c>
      <c r="L256" s="34" t="s">
        <v>48</v>
      </c>
      <c r="M256" s="33" t="n">
        <f>2045</f>
        <v>2045.0</v>
      </c>
      <c r="N256" s="34" t="s">
        <v>49</v>
      </c>
      <c r="O256" s="33" t="n">
        <f>1834</f>
        <v>1834.0</v>
      </c>
      <c r="P256" s="34" t="s">
        <v>50</v>
      </c>
      <c r="Q256" s="33" t="n">
        <f>1900</f>
        <v>1900.0</v>
      </c>
      <c r="R256" s="34" t="s">
        <v>51</v>
      </c>
      <c r="S256" s="35" t="n">
        <f>1954.53</f>
        <v>1954.53</v>
      </c>
      <c r="T256" s="32" t="n">
        <f>262713</f>
        <v>262713.0</v>
      </c>
      <c r="U256" s="32" t="str">
        <f>"－"</f>
        <v>－</v>
      </c>
      <c r="V256" s="32" t="n">
        <f>501025838</f>
        <v>5.01025838E8</v>
      </c>
      <c r="W256" s="32" t="str">
        <f>"－"</f>
        <v>－</v>
      </c>
      <c r="X256" s="36" t="n">
        <f>19</f>
        <v>19.0</v>
      </c>
    </row>
    <row r="257">
      <c r="A257" s="27" t="s">
        <v>42</v>
      </c>
      <c r="B257" s="27" t="s">
        <v>816</v>
      </c>
      <c r="C257" s="27" t="s">
        <v>817</v>
      </c>
      <c r="D257" s="27" t="s">
        <v>818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2036</f>
        <v>2036.0</v>
      </c>
      <c r="L257" s="34" t="s">
        <v>48</v>
      </c>
      <c r="M257" s="33" t="n">
        <f>2048</f>
        <v>2048.0</v>
      </c>
      <c r="N257" s="34" t="s">
        <v>48</v>
      </c>
      <c r="O257" s="33" t="n">
        <f>1736</f>
        <v>1736.0</v>
      </c>
      <c r="P257" s="34" t="s">
        <v>50</v>
      </c>
      <c r="Q257" s="33" t="n">
        <f>1804</f>
        <v>1804.0</v>
      </c>
      <c r="R257" s="34" t="s">
        <v>51</v>
      </c>
      <c r="S257" s="35" t="n">
        <f>1881.68</f>
        <v>1881.68</v>
      </c>
      <c r="T257" s="32" t="n">
        <f>66424</f>
        <v>66424.0</v>
      </c>
      <c r="U257" s="32" t="str">
        <f>"－"</f>
        <v>－</v>
      </c>
      <c r="V257" s="32" t="n">
        <f>124060168</f>
        <v>1.24060168E8</v>
      </c>
      <c r="W257" s="32" t="str">
        <f>"－"</f>
        <v>－</v>
      </c>
      <c r="X257" s="36" t="n">
        <f>19</f>
        <v>19.0</v>
      </c>
    </row>
    <row r="258">
      <c r="A258" s="27" t="s">
        <v>42</v>
      </c>
      <c r="B258" s="27" t="s">
        <v>819</v>
      </c>
      <c r="C258" s="27" t="s">
        <v>820</v>
      </c>
      <c r="D258" s="27" t="s">
        <v>821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2088</f>
        <v>2088.0</v>
      </c>
      <c r="L258" s="34" t="s">
        <v>48</v>
      </c>
      <c r="M258" s="33" t="n">
        <f>2088</f>
        <v>2088.0</v>
      </c>
      <c r="N258" s="34" t="s">
        <v>48</v>
      </c>
      <c r="O258" s="33" t="n">
        <f>1592</f>
        <v>1592.0</v>
      </c>
      <c r="P258" s="34" t="s">
        <v>69</v>
      </c>
      <c r="Q258" s="33" t="n">
        <f>1676</f>
        <v>1676.0</v>
      </c>
      <c r="R258" s="34" t="s">
        <v>51</v>
      </c>
      <c r="S258" s="35" t="n">
        <f>1816.63</f>
        <v>1816.63</v>
      </c>
      <c r="T258" s="32" t="n">
        <f>69266</f>
        <v>69266.0</v>
      </c>
      <c r="U258" s="32" t="str">
        <f>"－"</f>
        <v>－</v>
      </c>
      <c r="V258" s="32" t="n">
        <f>126572315</f>
        <v>1.26572315E8</v>
      </c>
      <c r="W258" s="32" t="str">
        <f>"－"</f>
        <v>－</v>
      </c>
      <c r="X258" s="36" t="n">
        <f>19</f>
        <v>19.0</v>
      </c>
    </row>
    <row r="259">
      <c r="A259" s="27" t="s">
        <v>42</v>
      </c>
      <c r="B259" s="27" t="s">
        <v>822</v>
      </c>
      <c r="C259" s="27" t="s">
        <v>823</v>
      </c>
      <c r="D259" s="27" t="s">
        <v>824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2560</f>
        <v>2560.0</v>
      </c>
      <c r="L259" s="34" t="s">
        <v>48</v>
      </c>
      <c r="M259" s="33" t="n">
        <f>2581</f>
        <v>2581.0</v>
      </c>
      <c r="N259" s="34" t="s">
        <v>48</v>
      </c>
      <c r="O259" s="33" t="n">
        <f>2280</f>
        <v>2280.0</v>
      </c>
      <c r="P259" s="34" t="s">
        <v>51</v>
      </c>
      <c r="Q259" s="33" t="n">
        <f>2280</f>
        <v>2280.0</v>
      </c>
      <c r="R259" s="34" t="s">
        <v>51</v>
      </c>
      <c r="S259" s="35" t="n">
        <f>2401.21</f>
        <v>2401.21</v>
      </c>
      <c r="T259" s="32" t="n">
        <f>15282</f>
        <v>15282.0</v>
      </c>
      <c r="U259" s="32" t="n">
        <f>4</f>
        <v>4.0</v>
      </c>
      <c r="V259" s="32" t="n">
        <f>36793435</f>
        <v>3.6793435E7</v>
      </c>
      <c r="W259" s="32" t="n">
        <f>8540</f>
        <v>8540.0</v>
      </c>
      <c r="X259" s="36" t="n">
        <f>19</f>
        <v>19.0</v>
      </c>
    </row>
    <row r="260">
      <c r="A260" s="27" t="s">
        <v>42</v>
      </c>
      <c r="B260" s="27" t="s">
        <v>825</v>
      </c>
      <c r="C260" s="27" t="s">
        <v>826</v>
      </c>
      <c r="D260" s="27" t="s">
        <v>827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2791</f>
        <v>2791.0</v>
      </c>
      <c r="L260" s="34" t="s">
        <v>48</v>
      </c>
      <c r="M260" s="33" t="n">
        <f>2830</f>
        <v>2830.0</v>
      </c>
      <c r="N260" s="34" t="s">
        <v>48</v>
      </c>
      <c r="O260" s="33" t="n">
        <f>2639</f>
        <v>2639.0</v>
      </c>
      <c r="P260" s="34" t="s">
        <v>51</v>
      </c>
      <c r="Q260" s="33" t="n">
        <f>2642</f>
        <v>2642.0</v>
      </c>
      <c r="R260" s="34" t="s">
        <v>51</v>
      </c>
      <c r="S260" s="35" t="n">
        <f>2727.95</f>
        <v>2727.95</v>
      </c>
      <c r="T260" s="32" t="n">
        <f>9701</f>
        <v>9701.0</v>
      </c>
      <c r="U260" s="32" t="str">
        <f>"－"</f>
        <v>－</v>
      </c>
      <c r="V260" s="32" t="n">
        <f>26490865</f>
        <v>2.6490865E7</v>
      </c>
      <c r="W260" s="32" t="str">
        <f>"－"</f>
        <v>－</v>
      </c>
      <c r="X260" s="36" t="n">
        <f>19</f>
        <v>19.0</v>
      </c>
    </row>
    <row r="261">
      <c r="A261" s="27" t="s">
        <v>42</v>
      </c>
      <c r="B261" s="27" t="s">
        <v>828</v>
      </c>
      <c r="C261" s="27" t="s">
        <v>829</v>
      </c>
      <c r="D261" s="27" t="s">
        <v>830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12385</f>
        <v>12385.0</v>
      </c>
      <c r="L261" s="34" t="s">
        <v>48</v>
      </c>
      <c r="M261" s="33" t="n">
        <f>12420</f>
        <v>12420.0</v>
      </c>
      <c r="N261" s="34" t="s">
        <v>48</v>
      </c>
      <c r="O261" s="33" t="n">
        <f>11050</f>
        <v>11050.0</v>
      </c>
      <c r="P261" s="34" t="s">
        <v>50</v>
      </c>
      <c r="Q261" s="33" t="n">
        <f>11480</f>
        <v>11480.0</v>
      </c>
      <c r="R261" s="34" t="s">
        <v>51</v>
      </c>
      <c r="S261" s="35" t="n">
        <f>11813.68</f>
        <v>11813.68</v>
      </c>
      <c r="T261" s="32" t="n">
        <f>623697</f>
        <v>623697.0</v>
      </c>
      <c r="U261" s="32" t="n">
        <f>166323</f>
        <v>166323.0</v>
      </c>
      <c r="V261" s="32" t="n">
        <f>7286592181</f>
        <v>7.286592181E9</v>
      </c>
      <c r="W261" s="32" t="n">
        <f>1987863241</f>
        <v>1.987863241E9</v>
      </c>
      <c r="X261" s="36" t="n">
        <f>19</f>
        <v>19.0</v>
      </c>
    </row>
    <row r="262">
      <c r="A262" s="27" t="s">
        <v>42</v>
      </c>
      <c r="B262" s="27" t="s">
        <v>831</v>
      </c>
      <c r="C262" s="27" t="s">
        <v>832</v>
      </c>
      <c r="D262" s="27" t="s">
        <v>833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13675</f>
        <v>13675.0</v>
      </c>
      <c r="L262" s="34" t="s">
        <v>48</v>
      </c>
      <c r="M262" s="33" t="n">
        <f>13770</f>
        <v>13770.0</v>
      </c>
      <c r="N262" s="34" t="s">
        <v>48</v>
      </c>
      <c r="O262" s="33" t="n">
        <f>11425</f>
        <v>11425.0</v>
      </c>
      <c r="P262" s="34" t="s">
        <v>50</v>
      </c>
      <c r="Q262" s="33" t="n">
        <f>12035</f>
        <v>12035.0</v>
      </c>
      <c r="R262" s="34" t="s">
        <v>51</v>
      </c>
      <c r="S262" s="35" t="n">
        <f>12544.21</f>
        <v>12544.21</v>
      </c>
      <c r="T262" s="32" t="n">
        <f>1194659</f>
        <v>1194659.0</v>
      </c>
      <c r="U262" s="32" t="n">
        <f>63469</f>
        <v>63469.0</v>
      </c>
      <c r="V262" s="32" t="n">
        <f>14981959825</f>
        <v>1.4981959825E10</v>
      </c>
      <c r="W262" s="32" t="n">
        <f>814880585</f>
        <v>8.14880585E8</v>
      </c>
      <c r="X262" s="36" t="n">
        <f>19</f>
        <v>19.0</v>
      </c>
    </row>
    <row r="263">
      <c r="A263" s="27" t="s">
        <v>42</v>
      </c>
      <c r="B263" s="27" t="s">
        <v>834</v>
      </c>
      <c r="C263" s="27" t="s">
        <v>835</v>
      </c>
      <c r="D263" s="27" t="s">
        <v>836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12475</f>
        <v>12475.0</v>
      </c>
      <c r="L263" s="34" t="s">
        <v>48</v>
      </c>
      <c r="M263" s="33" t="n">
        <f>12505</f>
        <v>12505.0</v>
      </c>
      <c r="N263" s="34" t="s">
        <v>48</v>
      </c>
      <c r="O263" s="33" t="n">
        <f>10490</f>
        <v>10490.0</v>
      </c>
      <c r="P263" s="34" t="s">
        <v>50</v>
      </c>
      <c r="Q263" s="33" t="n">
        <f>10955</f>
        <v>10955.0</v>
      </c>
      <c r="R263" s="34" t="s">
        <v>51</v>
      </c>
      <c r="S263" s="35" t="n">
        <f>11486.84</f>
        <v>11486.84</v>
      </c>
      <c r="T263" s="32" t="n">
        <f>892099</f>
        <v>892099.0</v>
      </c>
      <c r="U263" s="32" t="n">
        <f>193500</f>
        <v>193500.0</v>
      </c>
      <c r="V263" s="32" t="n">
        <f>10255430157</f>
        <v>1.0255430157E10</v>
      </c>
      <c r="W263" s="32" t="n">
        <f>2293163087</f>
        <v>2.293163087E9</v>
      </c>
      <c r="X263" s="36" t="n">
        <f>19</f>
        <v>19.0</v>
      </c>
    </row>
    <row r="264">
      <c r="A264" s="27" t="s">
        <v>42</v>
      </c>
      <c r="B264" s="27" t="s">
        <v>837</v>
      </c>
      <c r="C264" s="27" t="s">
        <v>838</v>
      </c>
      <c r="D264" s="27" t="s">
        <v>839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2597</f>
        <v>2597.0</v>
      </c>
      <c r="L264" s="34" t="s">
        <v>48</v>
      </c>
      <c r="M264" s="33" t="n">
        <f>2597</f>
        <v>2597.0</v>
      </c>
      <c r="N264" s="34" t="s">
        <v>48</v>
      </c>
      <c r="O264" s="33" t="n">
        <f>2273.5</f>
        <v>2273.5</v>
      </c>
      <c r="P264" s="34" t="s">
        <v>50</v>
      </c>
      <c r="Q264" s="33" t="n">
        <f>2377.5</f>
        <v>2377.5</v>
      </c>
      <c r="R264" s="34" t="s">
        <v>51</v>
      </c>
      <c r="S264" s="35" t="n">
        <f>2433.47</f>
        <v>2433.47</v>
      </c>
      <c r="T264" s="32" t="n">
        <f>1709440</f>
        <v>1709440.0</v>
      </c>
      <c r="U264" s="32" t="n">
        <f>863000</f>
        <v>863000.0</v>
      </c>
      <c r="V264" s="32" t="n">
        <f>4026544759</f>
        <v>4.026544759E9</v>
      </c>
      <c r="W264" s="32" t="n">
        <f>1996242569</f>
        <v>1.996242569E9</v>
      </c>
      <c r="X264" s="36" t="n">
        <f>19</f>
        <v>19.0</v>
      </c>
    </row>
    <row r="265">
      <c r="A265" s="27" t="s">
        <v>42</v>
      </c>
      <c r="B265" s="27" t="s">
        <v>840</v>
      </c>
      <c r="C265" s="27" t="s">
        <v>841</v>
      </c>
      <c r="D265" s="27" t="s">
        <v>842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2428.5</f>
        <v>2428.5</v>
      </c>
      <c r="L265" s="34" t="s">
        <v>48</v>
      </c>
      <c r="M265" s="33" t="n">
        <f>2433.5</f>
        <v>2433.5</v>
      </c>
      <c r="N265" s="34" t="s">
        <v>48</v>
      </c>
      <c r="O265" s="33" t="n">
        <f>2166</f>
        <v>2166.0</v>
      </c>
      <c r="P265" s="34" t="s">
        <v>50</v>
      </c>
      <c r="Q265" s="33" t="n">
        <f>2249</f>
        <v>2249.0</v>
      </c>
      <c r="R265" s="34" t="s">
        <v>51</v>
      </c>
      <c r="S265" s="35" t="n">
        <f>2315.42</f>
        <v>2315.42</v>
      </c>
      <c r="T265" s="32" t="n">
        <f>3184010</f>
        <v>3184010.0</v>
      </c>
      <c r="U265" s="32" t="n">
        <f>1632620</f>
        <v>1632620.0</v>
      </c>
      <c r="V265" s="32" t="n">
        <f>7399927088</f>
        <v>7.399927088E9</v>
      </c>
      <c r="W265" s="32" t="n">
        <f>3776600333</f>
        <v>3.776600333E9</v>
      </c>
      <c r="X265" s="36" t="n">
        <f>19</f>
        <v>19.0</v>
      </c>
    </row>
    <row r="266">
      <c r="A266" s="27" t="s">
        <v>42</v>
      </c>
      <c r="B266" s="27" t="s">
        <v>843</v>
      </c>
      <c r="C266" s="27" t="s">
        <v>844</v>
      </c>
      <c r="D266" s="27" t="s">
        <v>845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2633</f>
        <v>2633.0</v>
      </c>
      <c r="L266" s="34" t="s">
        <v>48</v>
      </c>
      <c r="M266" s="33" t="n">
        <f>2639</f>
        <v>2639.0</v>
      </c>
      <c r="N266" s="34" t="s">
        <v>48</v>
      </c>
      <c r="O266" s="33" t="n">
        <f>2325</f>
        <v>2325.0</v>
      </c>
      <c r="P266" s="34" t="s">
        <v>50</v>
      </c>
      <c r="Q266" s="33" t="n">
        <f>2439.5</f>
        <v>2439.5</v>
      </c>
      <c r="R266" s="34" t="s">
        <v>51</v>
      </c>
      <c r="S266" s="35" t="n">
        <f>2487.08</f>
        <v>2487.08</v>
      </c>
      <c r="T266" s="32" t="n">
        <f>850770</f>
        <v>850770.0</v>
      </c>
      <c r="U266" s="32" t="n">
        <f>30</f>
        <v>30.0</v>
      </c>
      <c r="V266" s="32" t="n">
        <f>2105039375</f>
        <v>2.105039375E9</v>
      </c>
      <c r="W266" s="32" t="n">
        <f>77100</f>
        <v>77100.0</v>
      </c>
      <c r="X266" s="36" t="n">
        <f>19</f>
        <v>19.0</v>
      </c>
    </row>
    <row r="267">
      <c r="A267" s="27" t="s">
        <v>42</v>
      </c>
      <c r="B267" s="27" t="s">
        <v>846</v>
      </c>
      <c r="C267" s="27" t="s">
        <v>847</v>
      </c>
      <c r="D267" s="27" t="s">
        <v>848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2866</f>
        <v>2866.0</v>
      </c>
      <c r="L267" s="34" t="s">
        <v>48</v>
      </c>
      <c r="M267" s="33" t="n">
        <f>2886</f>
        <v>2886.0</v>
      </c>
      <c r="N267" s="34" t="s">
        <v>48</v>
      </c>
      <c r="O267" s="33" t="n">
        <f>2475</f>
        <v>2475.0</v>
      </c>
      <c r="P267" s="34" t="s">
        <v>50</v>
      </c>
      <c r="Q267" s="33" t="n">
        <f>2563</f>
        <v>2563.0</v>
      </c>
      <c r="R267" s="34" t="s">
        <v>51</v>
      </c>
      <c r="S267" s="35" t="n">
        <f>2679.11</f>
        <v>2679.11</v>
      </c>
      <c r="T267" s="32" t="n">
        <f>17532</f>
        <v>17532.0</v>
      </c>
      <c r="U267" s="32" t="str">
        <f>"－"</f>
        <v>－</v>
      </c>
      <c r="V267" s="32" t="n">
        <f>46202528</f>
        <v>4.6202528E7</v>
      </c>
      <c r="W267" s="32" t="str">
        <f>"－"</f>
        <v>－</v>
      </c>
      <c r="X267" s="36" t="n">
        <f>19</f>
        <v>19.0</v>
      </c>
    </row>
    <row r="268">
      <c r="A268" s="27" t="s">
        <v>42</v>
      </c>
      <c r="B268" s="27" t="s">
        <v>849</v>
      </c>
      <c r="C268" s="27" t="s">
        <v>850</v>
      </c>
      <c r="D268" s="27" t="s">
        <v>851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1771</f>
        <v>1771.0</v>
      </c>
      <c r="L268" s="34" t="s">
        <v>48</v>
      </c>
      <c r="M268" s="33" t="n">
        <f>1783</f>
        <v>1783.0</v>
      </c>
      <c r="N268" s="34" t="s">
        <v>49</v>
      </c>
      <c r="O268" s="33" t="n">
        <f>1498</f>
        <v>1498.0</v>
      </c>
      <c r="P268" s="34" t="s">
        <v>50</v>
      </c>
      <c r="Q268" s="33" t="n">
        <f>1574</f>
        <v>1574.0</v>
      </c>
      <c r="R268" s="34" t="s">
        <v>51</v>
      </c>
      <c r="S268" s="35" t="n">
        <f>1657.11</f>
        <v>1657.11</v>
      </c>
      <c r="T268" s="32" t="n">
        <f>75187</f>
        <v>75187.0</v>
      </c>
      <c r="U268" s="32" t="n">
        <f>5</f>
        <v>5.0</v>
      </c>
      <c r="V268" s="32" t="n">
        <f>123530563</f>
        <v>1.23530563E8</v>
      </c>
      <c r="W268" s="32" t="n">
        <f>8580</f>
        <v>8580.0</v>
      </c>
      <c r="X268" s="36" t="n">
        <f>19</f>
        <v>19.0</v>
      </c>
    </row>
    <row r="269">
      <c r="A269" s="27" t="s">
        <v>42</v>
      </c>
      <c r="B269" s="27" t="s">
        <v>852</v>
      </c>
      <c r="C269" s="27" t="s">
        <v>853</v>
      </c>
      <c r="D269" s="27" t="s">
        <v>854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2337</f>
        <v>2337.0</v>
      </c>
      <c r="L269" s="34" t="s">
        <v>48</v>
      </c>
      <c r="M269" s="33" t="n">
        <f>2347</f>
        <v>2347.0</v>
      </c>
      <c r="N269" s="34" t="s">
        <v>48</v>
      </c>
      <c r="O269" s="33" t="n">
        <f>1887</f>
        <v>1887.0</v>
      </c>
      <c r="P269" s="34" t="s">
        <v>50</v>
      </c>
      <c r="Q269" s="33" t="n">
        <f>1940</f>
        <v>1940.0</v>
      </c>
      <c r="R269" s="34" t="s">
        <v>51</v>
      </c>
      <c r="S269" s="35" t="n">
        <f>2110.32</f>
        <v>2110.32</v>
      </c>
      <c r="T269" s="32" t="n">
        <f>35056</f>
        <v>35056.0</v>
      </c>
      <c r="U269" s="32" t="str">
        <f>"－"</f>
        <v>－</v>
      </c>
      <c r="V269" s="32" t="n">
        <f>74009920</f>
        <v>7.400992E7</v>
      </c>
      <c r="W269" s="32" t="str">
        <f>"－"</f>
        <v>－</v>
      </c>
      <c r="X269" s="36" t="n">
        <f>19</f>
        <v>19.0</v>
      </c>
    </row>
    <row r="270">
      <c r="A270" s="27" t="s">
        <v>42</v>
      </c>
      <c r="B270" s="27" t="s">
        <v>855</v>
      </c>
      <c r="C270" s="27" t="s">
        <v>856</v>
      </c>
      <c r="D270" s="27" t="s">
        <v>857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1826</f>
        <v>1826.0</v>
      </c>
      <c r="L270" s="34" t="s">
        <v>48</v>
      </c>
      <c r="M270" s="33" t="n">
        <f>1826</f>
        <v>1826.0</v>
      </c>
      <c r="N270" s="34" t="s">
        <v>48</v>
      </c>
      <c r="O270" s="33" t="n">
        <f>1514</f>
        <v>1514.0</v>
      </c>
      <c r="P270" s="34" t="s">
        <v>50</v>
      </c>
      <c r="Q270" s="33" t="n">
        <f>1562</f>
        <v>1562.0</v>
      </c>
      <c r="R270" s="34" t="s">
        <v>51</v>
      </c>
      <c r="S270" s="35" t="n">
        <f>1627.84</f>
        <v>1627.84</v>
      </c>
      <c r="T270" s="32" t="n">
        <f>36050</f>
        <v>36050.0</v>
      </c>
      <c r="U270" s="32" t="str">
        <f>"－"</f>
        <v>－</v>
      </c>
      <c r="V270" s="32" t="n">
        <f>58835123</f>
        <v>5.8835123E7</v>
      </c>
      <c r="W270" s="32" t="str">
        <f>"－"</f>
        <v>－</v>
      </c>
      <c r="X270" s="36" t="n">
        <f>19</f>
        <v>19.0</v>
      </c>
    </row>
    <row r="271">
      <c r="A271" s="27" t="s">
        <v>42</v>
      </c>
      <c r="B271" s="27" t="s">
        <v>858</v>
      </c>
      <c r="C271" s="27" t="s">
        <v>859</v>
      </c>
      <c r="D271" s="27" t="s">
        <v>860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2533</f>
        <v>2533.0</v>
      </c>
      <c r="L271" s="34" t="s">
        <v>48</v>
      </c>
      <c r="M271" s="33" t="n">
        <f>2562</f>
        <v>2562.0</v>
      </c>
      <c r="N271" s="34" t="s">
        <v>48</v>
      </c>
      <c r="O271" s="33" t="n">
        <f>2228</f>
        <v>2228.0</v>
      </c>
      <c r="P271" s="34" t="s">
        <v>50</v>
      </c>
      <c r="Q271" s="33" t="n">
        <f>2318</f>
        <v>2318.0</v>
      </c>
      <c r="R271" s="34" t="s">
        <v>51</v>
      </c>
      <c r="S271" s="35" t="n">
        <f>2370.89</f>
        <v>2370.89</v>
      </c>
      <c r="T271" s="32" t="n">
        <f>63390</f>
        <v>63390.0</v>
      </c>
      <c r="U271" s="32" t="str">
        <f>"－"</f>
        <v>－</v>
      </c>
      <c r="V271" s="32" t="n">
        <f>151688235</f>
        <v>1.51688235E8</v>
      </c>
      <c r="W271" s="32" t="str">
        <f>"－"</f>
        <v>－</v>
      </c>
      <c r="X271" s="36" t="n">
        <f>19</f>
        <v>19.0</v>
      </c>
    </row>
    <row r="272">
      <c r="A272" s="27" t="s">
        <v>42</v>
      </c>
      <c r="B272" s="27" t="s">
        <v>861</v>
      </c>
      <c r="C272" s="27" t="s">
        <v>862</v>
      </c>
      <c r="D272" s="27" t="s">
        <v>863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2170</f>
        <v>2170.0</v>
      </c>
      <c r="L272" s="34" t="s">
        <v>48</v>
      </c>
      <c r="M272" s="33" t="n">
        <f>2245</f>
        <v>2245.0</v>
      </c>
      <c r="N272" s="34" t="s">
        <v>48</v>
      </c>
      <c r="O272" s="33" t="n">
        <f>1921</f>
        <v>1921.0</v>
      </c>
      <c r="P272" s="34" t="s">
        <v>50</v>
      </c>
      <c r="Q272" s="33" t="n">
        <f>2011</f>
        <v>2011.0</v>
      </c>
      <c r="R272" s="34" t="s">
        <v>51</v>
      </c>
      <c r="S272" s="35" t="n">
        <f>2096.53</f>
        <v>2096.53</v>
      </c>
      <c r="T272" s="32" t="n">
        <f>77745</f>
        <v>77745.0</v>
      </c>
      <c r="U272" s="32" t="str">
        <f>"－"</f>
        <v>－</v>
      </c>
      <c r="V272" s="32" t="n">
        <f>158255746</f>
        <v>1.58255746E8</v>
      </c>
      <c r="W272" s="32" t="str">
        <f>"－"</f>
        <v>－</v>
      </c>
      <c r="X272" s="36" t="n">
        <f>19</f>
        <v>19.0</v>
      </c>
    </row>
    <row r="273">
      <c r="A273" s="27" t="s">
        <v>42</v>
      </c>
      <c r="B273" s="27" t="s">
        <v>864</v>
      </c>
      <c r="C273" s="27" t="s">
        <v>865</v>
      </c>
      <c r="D273" s="27" t="s">
        <v>866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27220</f>
        <v>27220.0</v>
      </c>
      <c r="L273" s="34" t="s">
        <v>49</v>
      </c>
      <c r="M273" s="33" t="n">
        <f>27220</f>
        <v>27220.0</v>
      </c>
      <c r="N273" s="34" t="s">
        <v>49</v>
      </c>
      <c r="O273" s="33" t="n">
        <f>24775</f>
        <v>24775.0</v>
      </c>
      <c r="P273" s="34" t="s">
        <v>69</v>
      </c>
      <c r="Q273" s="33" t="n">
        <f>25180</f>
        <v>25180.0</v>
      </c>
      <c r="R273" s="34" t="s">
        <v>51</v>
      </c>
      <c r="S273" s="35" t="n">
        <f>26053.67</f>
        <v>26053.67</v>
      </c>
      <c r="T273" s="32" t="n">
        <f>119</f>
        <v>119.0</v>
      </c>
      <c r="U273" s="32" t="str">
        <f>"－"</f>
        <v>－</v>
      </c>
      <c r="V273" s="32" t="n">
        <f>3073060</f>
        <v>3073060.0</v>
      </c>
      <c r="W273" s="32" t="str">
        <f>"－"</f>
        <v>－</v>
      </c>
      <c r="X273" s="36" t="n">
        <f>15</f>
        <v>15.0</v>
      </c>
    </row>
    <row r="274">
      <c r="A274" s="27" t="s">
        <v>42</v>
      </c>
      <c r="B274" s="27" t="s">
        <v>867</v>
      </c>
      <c r="C274" s="27" t="s">
        <v>868</v>
      </c>
      <c r="D274" s="27" t="s">
        <v>869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2118</f>
        <v>2118.0</v>
      </c>
      <c r="L274" s="34" t="s">
        <v>48</v>
      </c>
      <c r="M274" s="33" t="n">
        <f>2161</f>
        <v>2161.0</v>
      </c>
      <c r="N274" s="34" t="s">
        <v>49</v>
      </c>
      <c r="O274" s="33" t="n">
        <f>1936</f>
        <v>1936.0</v>
      </c>
      <c r="P274" s="34" t="s">
        <v>50</v>
      </c>
      <c r="Q274" s="33" t="n">
        <f>2006</f>
        <v>2006.0</v>
      </c>
      <c r="R274" s="34" t="s">
        <v>51</v>
      </c>
      <c r="S274" s="35" t="n">
        <f>2064.32</f>
        <v>2064.32</v>
      </c>
      <c r="T274" s="32" t="n">
        <f>174465</f>
        <v>174465.0</v>
      </c>
      <c r="U274" s="32" t="str">
        <f>"－"</f>
        <v>－</v>
      </c>
      <c r="V274" s="32" t="n">
        <f>361585458</f>
        <v>3.61585458E8</v>
      </c>
      <c r="W274" s="32" t="str">
        <f>"－"</f>
        <v>－</v>
      </c>
      <c r="X274" s="36" t="n">
        <f>19</f>
        <v>19.0</v>
      </c>
    </row>
    <row r="275">
      <c r="A275" s="27" t="s">
        <v>42</v>
      </c>
      <c r="B275" s="27" t="s">
        <v>870</v>
      </c>
      <c r="C275" s="27" t="s">
        <v>871</v>
      </c>
      <c r="D275" s="27" t="s">
        <v>872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2762</f>
        <v>2762.0</v>
      </c>
      <c r="L275" s="34" t="s">
        <v>48</v>
      </c>
      <c r="M275" s="33" t="n">
        <f>2762</f>
        <v>2762.0</v>
      </c>
      <c r="N275" s="34" t="s">
        <v>48</v>
      </c>
      <c r="O275" s="33" t="n">
        <f>2100</f>
        <v>2100.0</v>
      </c>
      <c r="P275" s="34" t="s">
        <v>69</v>
      </c>
      <c r="Q275" s="33" t="n">
        <f>2266</f>
        <v>2266.0</v>
      </c>
      <c r="R275" s="34" t="s">
        <v>51</v>
      </c>
      <c r="S275" s="35" t="n">
        <f>2440.05</f>
        <v>2440.05</v>
      </c>
      <c r="T275" s="32" t="n">
        <f>560745</f>
        <v>560745.0</v>
      </c>
      <c r="U275" s="32" t="n">
        <f>57005</f>
        <v>57005.0</v>
      </c>
      <c r="V275" s="32" t="n">
        <f>1387262725</f>
        <v>1.387262725E9</v>
      </c>
      <c r="W275" s="32" t="n">
        <f>148902934</f>
        <v>1.48902934E8</v>
      </c>
      <c r="X275" s="36" t="n">
        <f>19</f>
        <v>19.0</v>
      </c>
    </row>
    <row r="276">
      <c r="A276" s="27" t="s">
        <v>42</v>
      </c>
      <c r="B276" s="27" t="s">
        <v>873</v>
      </c>
      <c r="C276" s="27" t="s">
        <v>874</v>
      </c>
      <c r="D276" s="27" t="s">
        <v>875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2021</f>
        <v>2021.0</v>
      </c>
      <c r="L276" s="34" t="s">
        <v>48</v>
      </c>
      <c r="M276" s="33" t="n">
        <f>2025</f>
        <v>2025.0</v>
      </c>
      <c r="N276" s="34" t="s">
        <v>49</v>
      </c>
      <c r="O276" s="33" t="n">
        <f>1723</f>
        <v>1723.0</v>
      </c>
      <c r="P276" s="34" t="s">
        <v>50</v>
      </c>
      <c r="Q276" s="33" t="n">
        <f>1811</f>
        <v>1811.0</v>
      </c>
      <c r="R276" s="34" t="s">
        <v>51</v>
      </c>
      <c r="S276" s="35" t="n">
        <f>1882.58</f>
        <v>1882.58</v>
      </c>
      <c r="T276" s="32" t="n">
        <f>54666</f>
        <v>54666.0</v>
      </c>
      <c r="U276" s="32" t="str">
        <f>"－"</f>
        <v>－</v>
      </c>
      <c r="V276" s="32" t="n">
        <f>102449023</f>
        <v>1.02449023E8</v>
      </c>
      <c r="W276" s="32" t="str">
        <f>"－"</f>
        <v>－</v>
      </c>
      <c r="X276" s="36" t="n">
        <f>19</f>
        <v>19.0</v>
      </c>
    </row>
    <row r="277">
      <c r="A277" s="27" t="s">
        <v>42</v>
      </c>
      <c r="B277" s="27" t="s">
        <v>876</v>
      </c>
      <c r="C277" s="27" t="s">
        <v>877</v>
      </c>
      <c r="D277" s="27" t="s">
        <v>878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1408</f>
        <v>1408.0</v>
      </c>
      <c r="L277" s="34" t="s">
        <v>48</v>
      </c>
      <c r="M277" s="33" t="n">
        <f>1470</f>
        <v>1470.0</v>
      </c>
      <c r="N277" s="34" t="s">
        <v>194</v>
      </c>
      <c r="O277" s="33" t="n">
        <f>1369</f>
        <v>1369.0</v>
      </c>
      <c r="P277" s="34" t="s">
        <v>50</v>
      </c>
      <c r="Q277" s="33" t="n">
        <f>1419</f>
        <v>1419.0</v>
      </c>
      <c r="R277" s="34" t="s">
        <v>51</v>
      </c>
      <c r="S277" s="35" t="n">
        <f>1419.63</f>
        <v>1419.63</v>
      </c>
      <c r="T277" s="32" t="n">
        <f>11990</f>
        <v>11990.0</v>
      </c>
      <c r="U277" s="32" t="str">
        <f>"－"</f>
        <v>－</v>
      </c>
      <c r="V277" s="32" t="n">
        <f>17167534</f>
        <v>1.7167534E7</v>
      </c>
      <c r="W277" s="32" t="str">
        <f>"－"</f>
        <v>－</v>
      </c>
      <c r="X277" s="36" t="n">
        <f>19</f>
        <v>19.0</v>
      </c>
    </row>
    <row r="278">
      <c r="A278" s="27" t="s">
        <v>42</v>
      </c>
      <c r="B278" s="27" t="s">
        <v>879</v>
      </c>
      <c r="C278" s="27" t="s">
        <v>880</v>
      </c>
      <c r="D278" s="27" t="s">
        <v>881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5092</f>
        <v>5092.0</v>
      </c>
      <c r="L278" s="34" t="s">
        <v>49</v>
      </c>
      <c r="M278" s="33" t="n">
        <f>5092</f>
        <v>5092.0</v>
      </c>
      <c r="N278" s="34" t="s">
        <v>49</v>
      </c>
      <c r="O278" s="33" t="n">
        <f>4938</f>
        <v>4938.0</v>
      </c>
      <c r="P278" s="34" t="s">
        <v>313</v>
      </c>
      <c r="Q278" s="33" t="n">
        <f>4944</f>
        <v>4944.0</v>
      </c>
      <c r="R278" s="34" t="s">
        <v>50</v>
      </c>
      <c r="S278" s="35" t="n">
        <f>4985.46</f>
        <v>4985.46</v>
      </c>
      <c r="T278" s="32" t="n">
        <f>157780</f>
        <v>157780.0</v>
      </c>
      <c r="U278" s="32" t="n">
        <f>144490</f>
        <v>144490.0</v>
      </c>
      <c r="V278" s="32" t="n">
        <f>784025974</f>
        <v>7.84025974E8</v>
      </c>
      <c r="W278" s="32" t="n">
        <f>718082174</f>
        <v>7.18082174E8</v>
      </c>
      <c r="X278" s="36" t="n">
        <f>13</f>
        <v>13.0</v>
      </c>
    </row>
    <row r="279">
      <c r="A279" s="27" t="s">
        <v>42</v>
      </c>
      <c r="B279" s="27" t="s">
        <v>882</v>
      </c>
      <c r="C279" s="27" t="s">
        <v>883</v>
      </c>
      <c r="D279" s="27" t="s">
        <v>884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4990</f>
        <v>4990.0</v>
      </c>
      <c r="L279" s="34" t="s">
        <v>48</v>
      </c>
      <c r="M279" s="33" t="n">
        <f>4990</f>
        <v>4990.0</v>
      </c>
      <c r="N279" s="34" t="s">
        <v>48</v>
      </c>
      <c r="O279" s="33" t="n">
        <f>4878</f>
        <v>4878.0</v>
      </c>
      <c r="P279" s="34" t="s">
        <v>263</v>
      </c>
      <c r="Q279" s="33" t="n">
        <f>4917</f>
        <v>4917.0</v>
      </c>
      <c r="R279" s="34" t="s">
        <v>51</v>
      </c>
      <c r="S279" s="35" t="n">
        <f>4925.33</f>
        <v>4925.33</v>
      </c>
      <c r="T279" s="32" t="n">
        <f>591180</f>
        <v>591180.0</v>
      </c>
      <c r="U279" s="32" t="n">
        <f>275900</f>
        <v>275900.0</v>
      </c>
      <c r="V279" s="32" t="n">
        <f>2906082067</f>
        <v>2.906082067E9</v>
      </c>
      <c r="W279" s="32" t="n">
        <f>1362032957</f>
        <v>1.362032957E9</v>
      </c>
      <c r="X279" s="36" t="n">
        <f>15</f>
        <v>15.0</v>
      </c>
    </row>
    <row r="280">
      <c r="A280" s="27" t="s">
        <v>42</v>
      </c>
      <c r="B280" s="27" t="s">
        <v>885</v>
      </c>
      <c r="C280" s="27" t="s">
        <v>886</v>
      </c>
      <c r="D280" s="27" t="s">
        <v>887</v>
      </c>
      <c r="E280" s="28" t="s">
        <v>888</v>
      </c>
      <c r="F280" s="29" t="s">
        <v>889</v>
      </c>
      <c r="G280" s="30" t="s">
        <v>890</v>
      </c>
      <c r="H280" s="31"/>
      <c r="I280" s="31" t="s">
        <v>47</v>
      </c>
      <c r="J280" s="32" t="n">
        <v>10.0</v>
      </c>
      <c r="K280" s="33" t="n">
        <f>804.9</f>
        <v>804.9</v>
      </c>
      <c r="L280" s="34" t="s">
        <v>402</v>
      </c>
      <c r="M280" s="33" t="n">
        <f>808.5</f>
        <v>808.5</v>
      </c>
      <c r="N280" s="34" t="s">
        <v>76</v>
      </c>
      <c r="O280" s="33" t="n">
        <f>792.5</f>
        <v>792.5</v>
      </c>
      <c r="P280" s="34" t="s">
        <v>263</v>
      </c>
      <c r="Q280" s="33" t="n">
        <f>799.1</f>
        <v>799.1</v>
      </c>
      <c r="R280" s="34" t="s">
        <v>51</v>
      </c>
      <c r="S280" s="35" t="n">
        <f>799.55</f>
        <v>799.55</v>
      </c>
      <c r="T280" s="32" t="n">
        <f>16870</f>
        <v>16870.0</v>
      </c>
      <c r="U280" s="32" t="str">
        <f>"－"</f>
        <v>－</v>
      </c>
      <c r="V280" s="32" t="n">
        <f>13520114</f>
        <v>1.3520114E7</v>
      </c>
      <c r="W280" s="32" t="str">
        <f>"－"</f>
        <v>－</v>
      </c>
      <c r="X280" s="36" t="n">
        <f>12</f>
        <v>12.0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2601</f>
        <v>2601.0</v>
      </c>
      <c r="L281" s="34" t="s">
        <v>48</v>
      </c>
      <c r="M281" s="33" t="n">
        <f>2617</f>
        <v>2617.0</v>
      </c>
      <c r="N281" s="34" t="s">
        <v>48</v>
      </c>
      <c r="O281" s="33" t="n">
        <f>2063</f>
        <v>2063.0</v>
      </c>
      <c r="P281" s="34" t="s">
        <v>69</v>
      </c>
      <c r="Q281" s="33" t="n">
        <f>2153</f>
        <v>2153.0</v>
      </c>
      <c r="R281" s="34" t="s">
        <v>51</v>
      </c>
      <c r="S281" s="35" t="n">
        <f>2308.26</f>
        <v>2308.26</v>
      </c>
      <c r="T281" s="32" t="n">
        <f>105693</f>
        <v>105693.0</v>
      </c>
      <c r="U281" s="32" t="str">
        <f>"－"</f>
        <v>－</v>
      </c>
      <c r="V281" s="32" t="n">
        <f>241842777</f>
        <v>2.41842777E8</v>
      </c>
      <c r="W281" s="32" t="str">
        <f>"－"</f>
        <v>－</v>
      </c>
      <c r="X281" s="36" t="n">
        <f>19</f>
        <v>19.0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2079</f>
        <v>2079.0</v>
      </c>
      <c r="L282" s="34" t="s">
        <v>48</v>
      </c>
      <c r="M282" s="33" t="n">
        <f>2079</f>
        <v>2079.0</v>
      </c>
      <c r="N282" s="34" t="s">
        <v>48</v>
      </c>
      <c r="O282" s="33" t="n">
        <f>1731</f>
        <v>1731.0</v>
      </c>
      <c r="P282" s="34" t="s">
        <v>50</v>
      </c>
      <c r="Q282" s="33" t="n">
        <f>1813</f>
        <v>1813.0</v>
      </c>
      <c r="R282" s="34" t="s">
        <v>51</v>
      </c>
      <c r="S282" s="35" t="n">
        <f>1888.05</f>
        <v>1888.05</v>
      </c>
      <c r="T282" s="32" t="n">
        <f>5949</f>
        <v>5949.0</v>
      </c>
      <c r="U282" s="32" t="str">
        <f>"－"</f>
        <v>－</v>
      </c>
      <c r="V282" s="32" t="n">
        <f>11404504</f>
        <v>1.1404504E7</v>
      </c>
      <c r="W282" s="32" t="str">
        <f>"－"</f>
        <v>－</v>
      </c>
      <c r="X282" s="36" t="n">
        <f>19</f>
        <v>19.0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7565</f>
        <v>7565.0</v>
      </c>
      <c r="L283" s="34" t="s">
        <v>48</v>
      </c>
      <c r="M283" s="33" t="n">
        <f>7609</f>
        <v>7609.0</v>
      </c>
      <c r="N283" s="34" t="s">
        <v>49</v>
      </c>
      <c r="O283" s="33" t="n">
        <f>7330</f>
        <v>7330.0</v>
      </c>
      <c r="P283" s="34" t="s">
        <v>263</v>
      </c>
      <c r="Q283" s="33" t="n">
        <f>7434</f>
        <v>7434.0</v>
      </c>
      <c r="R283" s="34" t="s">
        <v>51</v>
      </c>
      <c r="S283" s="35" t="n">
        <f>7425.63</f>
        <v>7425.63</v>
      </c>
      <c r="T283" s="32" t="n">
        <f>6977</f>
        <v>6977.0</v>
      </c>
      <c r="U283" s="32" t="str">
        <f>"－"</f>
        <v>－</v>
      </c>
      <c r="V283" s="32" t="n">
        <f>51851638</f>
        <v>5.1851638E7</v>
      </c>
      <c r="W283" s="32" t="str">
        <f>"－"</f>
        <v>－</v>
      </c>
      <c r="X283" s="36" t="n">
        <f>19</f>
        <v>19.0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7442</f>
        <v>7442.0</v>
      </c>
      <c r="L284" s="34" t="s">
        <v>48</v>
      </c>
      <c r="M284" s="33" t="n">
        <f>7442</f>
        <v>7442.0</v>
      </c>
      <c r="N284" s="34" t="s">
        <v>48</v>
      </c>
      <c r="O284" s="33" t="n">
        <f>7271</f>
        <v>7271.0</v>
      </c>
      <c r="P284" s="34" t="s">
        <v>313</v>
      </c>
      <c r="Q284" s="33" t="n">
        <f>7317</f>
        <v>7317.0</v>
      </c>
      <c r="R284" s="34" t="s">
        <v>51</v>
      </c>
      <c r="S284" s="35" t="n">
        <f>7334.29</f>
        <v>7334.29</v>
      </c>
      <c r="T284" s="32" t="n">
        <f>2696</f>
        <v>2696.0</v>
      </c>
      <c r="U284" s="32" t="str">
        <f>"－"</f>
        <v>－</v>
      </c>
      <c r="V284" s="32" t="n">
        <f>19713013</f>
        <v>1.9713013E7</v>
      </c>
      <c r="W284" s="32" t="str">
        <f>"－"</f>
        <v>－</v>
      </c>
      <c r="X284" s="36" t="n">
        <f>14</f>
        <v>14.0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144000</f>
        <v>144000.0</v>
      </c>
      <c r="L285" s="34" t="s">
        <v>48</v>
      </c>
      <c r="M285" s="33" t="n">
        <f>146400</f>
        <v>146400.0</v>
      </c>
      <c r="N285" s="34" t="s">
        <v>219</v>
      </c>
      <c r="O285" s="33" t="n">
        <f>129400</f>
        <v>129400.0</v>
      </c>
      <c r="P285" s="34" t="s">
        <v>86</v>
      </c>
      <c r="Q285" s="33" t="n">
        <f>134900</f>
        <v>134900.0</v>
      </c>
      <c r="R285" s="34" t="s">
        <v>51</v>
      </c>
      <c r="S285" s="35" t="n">
        <f>140368.42</f>
        <v>140368.42</v>
      </c>
      <c r="T285" s="32" t="n">
        <f>37039</f>
        <v>37039.0</v>
      </c>
      <c r="U285" s="32" t="n">
        <f>5683</f>
        <v>5683.0</v>
      </c>
      <c r="V285" s="32" t="n">
        <f>5151027556</f>
        <v>5.151027556E9</v>
      </c>
      <c r="W285" s="32" t="n">
        <f>792156656</f>
        <v>7.92156656E8</v>
      </c>
      <c r="X285" s="36" t="n">
        <f>19</f>
        <v>19.0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602</v>
      </c>
      <c r="J286" s="32" t="n">
        <v>1.0</v>
      </c>
      <c r="K286" s="33" t="n">
        <f>120200</f>
        <v>120200.0</v>
      </c>
      <c r="L286" s="34" t="s">
        <v>48</v>
      </c>
      <c r="M286" s="33" t="n">
        <f>124600</f>
        <v>124600.0</v>
      </c>
      <c r="N286" s="34" t="s">
        <v>219</v>
      </c>
      <c r="O286" s="33" t="n">
        <f>110100</f>
        <v>110100.0</v>
      </c>
      <c r="P286" s="34" t="s">
        <v>86</v>
      </c>
      <c r="Q286" s="33" t="n">
        <f>114800</f>
        <v>114800.0</v>
      </c>
      <c r="R286" s="34" t="s">
        <v>51</v>
      </c>
      <c r="S286" s="35" t="n">
        <f>118152.63</f>
        <v>118152.63</v>
      </c>
      <c r="T286" s="32" t="n">
        <f>48572</f>
        <v>48572.0</v>
      </c>
      <c r="U286" s="32" t="n">
        <f>9048</f>
        <v>9048.0</v>
      </c>
      <c r="V286" s="32" t="n">
        <f>5735958581</f>
        <v>5.735958581E9</v>
      </c>
      <c r="W286" s="32" t="n">
        <f>1076482981</f>
        <v>1.076482981E9</v>
      </c>
      <c r="X286" s="36" t="n">
        <f>19</f>
        <v>19.0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602</v>
      </c>
      <c r="J287" s="32" t="n">
        <v>1.0</v>
      </c>
      <c r="K287" s="33" t="n">
        <f>176000</f>
        <v>176000.0</v>
      </c>
      <c r="L287" s="34" t="s">
        <v>48</v>
      </c>
      <c r="M287" s="33" t="n">
        <f>176900</f>
        <v>176900.0</v>
      </c>
      <c r="N287" s="34" t="s">
        <v>48</v>
      </c>
      <c r="O287" s="33" t="n">
        <f>143600</f>
        <v>143600.0</v>
      </c>
      <c r="P287" s="34" t="s">
        <v>86</v>
      </c>
      <c r="Q287" s="33" t="n">
        <f>160000</f>
        <v>160000.0</v>
      </c>
      <c r="R287" s="34" t="s">
        <v>51</v>
      </c>
      <c r="S287" s="35" t="n">
        <f>160231.58</f>
        <v>160231.58</v>
      </c>
      <c r="T287" s="32" t="n">
        <f>64197</f>
        <v>64197.0</v>
      </c>
      <c r="U287" s="32" t="n">
        <f>10744</f>
        <v>10744.0</v>
      </c>
      <c r="V287" s="32" t="n">
        <f>10136321265</f>
        <v>1.0136321265E10</v>
      </c>
      <c r="W287" s="32" t="n">
        <f>1699176965</f>
        <v>1.699176965E9</v>
      </c>
      <c r="X287" s="36" t="n">
        <f>19</f>
        <v>19.0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602</v>
      </c>
      <c r="J288" s="32" t="n">
        <v>1.0</v>
      </c>
      <c r="K288" s="33" t="n">
        <f>111400</f>
        <v>111400.0</v>
      </c>
      <c r="L288" s="34" t="s">
        <v>48</v>
      </c>
      <c r="M288" s="33" t="n">
        <f>111500</f>
        <v>111500.0</v>
      </c>
      <c r="N288" s="34" t="s">
        <v>48</v>
      </c>
      <c r="O288" s="33" t="n">
        <f>103900</f>
        <v>103900.0</v>
      </c>
      <c r="P288" s="34" t="s">
        <v>69</v>
      </c>
      <c r="Q288" s="33" t="n">
        <f>106200</f>
        <v>106200.0</v>
      </c>
      <c r="R288" s="34" t="s">
        <v>51</v>
      </c>
      <c r="S288" s="35" t="n">
        <f>107047.37</f>
        <v>107047.37</v>
      </c>
      <c r="T288" s="32" t="n">
        <f>36644</f>
        <v>36644.0</v>
      </c>
      <c r="U288" s="32" t="n">
        <f>1809</f>
        <v>1809.0</v>
      </c>
      <c r="V288" s="32" t="n">
        <f>3901820353</f>
        <v>3.901820353E9</v>
      </c>
      <c r="W288" s="32" t="n">
        <f>194896753</f>
        <v>1.94896753E8</v>
      </c>
      <c r="X288" s="36" t="n">
        <f>19</f>
        <v>19.0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664000</f>
        <v>664000.0</v>
      </c>
      <c r="L289" s="34" t="s">
        <v>48</v>
      </c>
      <c r="M289" s="33" t="n">
        <f>674000</f>
        <v>674000.0</v>
      </c>
      <c r="N289" s="34" t="s">
        <v>49</v>
      </c>
      <c r="O289" s="33" t="n">
        <f>564000</f>
        <v>564000.0</v>
      </c>
      <c r="P289" s="34" t="s">
        <v>86</v>
      </c>
      <c r="Q289" s="33" t="n">
        <f>622000</f>
        <v>622000.0</v>
      </c>
      <c r="R289" s="34" t="s">
        <v>51</v>
      </c>
      <c r="S289" s="35" t="n">
        <f>629736.84</f>
        <v>629736.84</v>
      </c>
      <c r="T289" s="32" t="n">
        <f>38117</f>
        <v>38117.0</v>
      </c>
      <c r="U289" s="32" t="n">
        <f>6835</f>
        <v>6835.0</v>
      </c>
      <c r="V289" s="32" t="n">
        <f>23726347346</f>
        <v>2.3726347346E10</v>
      </c>
      <c r="W289" s="32" t="n">
        <f>4308220346</f>
        <v>4.308220346E9</v>
      </c>
      <c r="X289" s="36" t="n">
        <f>19</f>
        <v>19.0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156100</f>
        <v>156100.0</v>
      </c>
      <c r="L290" s="34" t="s">
        <v>48</v>
      </c>
      <c r="M290" s="33" t="n">
        <f>157900</f>
        <v>157900.0</v>
      </c>
      <c r="N290" s="34" t="s">
        <v>49</v>
      </c>
      <c r="O290" s="33" t="n">
        <f>134700</f>
        <v>134700.0</v>
      </c>
      <c r="P290" s="34" t="s">
        <v>86</v>
      </c>
      <c r="Q290" s="33" t="n">
        <f>141000</f>
        <v>141000.0</v>
      </c>
      <c r="R290" s="34" t="s">
        <v>51</v>
      </c>
      <c r="S290" s="35" t="n">
        <f>146600</f>
        <v>146600.0</v>
      </c>
      <c r="T290" s="32" t="n">
        <f>128441</f>
        <v>128441.0</v>
      </c>
      <c r="U290" s="32" t="n">
        <f>26589</f>
        <v>26589.0</v>
      </c>
      <c r="V290" s="32" t="n">
        <f>18482487369</f>
        <v>1.8482487369E10</v>
      </c>
      <c r="W290" s="32" t="n">
        <f>3830734269</f>
        <v>3.830734269E9</v>
      </c>
      <c r="X290" s="36" t="n">
        <f>19</f>
        <v>19.0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229900</f>
        <v>229900.0</v>
      </c>
      <c r="L291" s="34" t="s">
        <v>48</v>
      </c>
      <c r="M291" s="33" t="n">
        <f>231800</f>
        <v>231800.0</v>
      </c>
      <c r="N291" s="34" t="s">
        <v>48</v>
      </c>
      <c r="O291" s="33" t="n">
        <f>177800</f>
        <v>177800.0</v>
      </c>
      <c r="P291" s="34" t="s">
        <v>86</v>
      </c>
      <c r="Q291" s="33" t="n">
        <f>192500</f>
        <v>192500.0</v>
      </c>
      <c r="R291" s="34" t="s">
        <v>51</v>
      </c>
      <c r="S291" s="35" t="n">
        <f>199463.16</f>
        <v>199463.16</v>
      </c>
      <c r="T291" s="32" t="n">
        <f>158540</f>
        <v>158540.0</v>
      </c>
      <c r="U291" s="32" t="n">
        <f>32466</f>
        <v>32466.0</v>
      </c>
      <c r="V291" s="32" t="n">
        <f>31228890862</f>
        <v>3.1228890862E10</v>
      </c>
      <c r="W291" s="32" t="n">
        <f>6472880162</f>
        <v>6.472880162E9</v>
      </c>
      <c r="X291" s="36" t="n">
        <f>19</f>
        <v>19.0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384000</f>
        <v>384000.0</v>
      </c>
      <c r="L292" s="34" t="s">
        <v>48</v>
      </c>
      <c r="M292" s="33" t="n">
        <f>384500</f>
        <v>384500.0</v>
      </c>
      <c r="N292" s="34" t="s">
        <v>48</v>
      </c>
      <c r="O292" s="33" t="n">
        <f>306500</f>
        <v>306500.0</v>
      </c>
      <c r="P292" s="34" t="s">
        <v>86</v>
      </c>
      <c r="Q292" s="33" t="n">
        <f>338500</f>
        <v>338500.0</v>
      </c>
      <c r="R292" s="34" t="s">
        <v>51</v>
      </c>
      <c r="S292" s="35" t="n">
        <f>352947.37</f>
        <v>352947.37</v>
      </c>
      <c r="T292" s="32" t="n">
        <f>122687</f>
        <v>122687.0</v>
      </c>
      <c r="U292" s="32" t="n">
        <f>21819</f>
        <v>21819.0</v>
      </c>
      <c r="V292" s="32" t="n">
        <f>42263641052</f>
        <v>4.2263641052E10</v>
      </c>
      <c r="W292" s="32" t="n">
        <f>7548867052</f>
        <v>7.548867052E9</v>
      </c>
      <c r="X292" s="36" t="n">
        <f>19</f>
        <v>19.0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222400</f>
        <v>222400.0</v>
      </c>
      <c r="L293" s="34" t="s">
        <v>48</v>
      </c>
      <c r="M293" s="33" t="n">
        <f>224400</f>
        <v>224400.0</v>
      </c>
      <c r="N293" s="34" t="s">
        <v>49</v>
      </c>
      <c r="O293" s="33" t="n">
        <f>188700</f>
        <v>188700.0</v>
      </c>
      <c r="P293" s="34" t="s">
        <v>86</v>
      </c>
      <c r="Q293" s="33" t="n">
        <f>200200</f>
        <v>200200.0</v>
      </c>
      <c r="R293" s="34" t="s">
        <v>51</v>
      </c>
      <c r="S293" s="35" t="n">
        <f>207326.32</f>
        <v>207326.32</v>
      </c>
      <c r="T293" s="32" t="n">
        <f>78877</f>
        <v>78877.0</v>
      </c>
      <c r="U293" s="32" t="n">
        <f>14873</f>
        <v>14873.0</v>
      </c>
      <c r="V293" s="32" t="n">
        <f>16077006367</f>
        <v>1.6077006367E10</v>
      </c>
      <c r="W293" s="32" t="n">
        <f>3042375067</f>
        <v>3.042375067E9</v>
      </c>
      <c r="X293" s="36" t="n">
        <f>19</f>
        <v>19.0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422500</f>
        <v>422500.0</v>
      </c>
      <c r="L294" s="34" t="s">
        <v>48</v>
      </c>
      <c r="M294" s="33" t="n">
        <f>424000</f>
        <v>424000.0</v>
      </c>
      <c r="N294" s="34" t="s">
        <v>49</v>
      </c>
      <c r="O294" s="33" t="n">
        <f>364500</f>
        <v>364500.0</v>
      </c>
      <c r="P294" s="34" t="s">
        <v>86</v>
      </c>
      <c r="Q294" s="33" t="n">
        <f>388500</f>
        <v>388500.0</v>
      </c>
      <c r="R294" s="34" t="s">
        <v>51</v>
      </c>
      <c r="S294" s="35" t="n">
        <f>399052.63</f>
        <v>399052.63</v>
      </c>
      <c r="T294" s="32" t="n">
        <f>89995</f>
        <v>89995.0</v>
      </c>
      <c r="U294" s="32" t="n">
        <f>18692</f>
        <v>18692.0</v>
      </c>
      <c r="V294" s="32" t="n">
        <f>35411527887</f>
        <v>3.5411527887E10</v>
      </c>
      <c r="W294" s="32" t="n">
        <f>7463261887</f>
        <v>7.463261887E9</v>
      </c>
      <c r="X294" s="36" t="n">
        <f>19</f>
        <v>19.0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202900</f>
        <v>202900.0</v>
      </c>
      <c r="L295" s="34" t="s">
        <v>48</v>
      </c>
      <c r="M295" s="33" t="n">
        <f>203000</f>
        <v>203000.0</v>
      </c>
      <c r="N295" s="34" t="s">
        <v>48</v>
      </c>
      <c r="O295" s="33" t="n">
        <f>169700</f>
        <v>169700.0</v>
      </c>
      <c r="P295" s="34" t="s">
        <v>86</v>
      </c>
      <c r="Q295" s="33" t="n">
        <f>184700</f>
        <v>184700.0</v>
      </c>
      <c r="R295" s="34" t="s">
        <v>51</v>
      </c>
      <c r="S295" s="35" t="n">
        <f>184405.26</f>
        <v>184405.26</v>
      </c>
      <c r="T295" s="32" t="n">
        <f>376904</f>
        <v>376904.0</v>
      </c>
      <c r="U295" s="32" t="n">
        <f>82694</f>
        <v>82694.0</v>
      </c>
      <c r="V295" s="32" t="n">
        <f>68795807913</f>
        <v>6.8795807913E10</v>
      </c>
      <c r="W295" s="32" t="n">
        <f>15039957913</f>
        <v>1.5039957913E10</v>
      </c>
      <c r="X295" s="36" t="n">
        <f>19</f>
        <v>19.0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340000</f>
        <v>340000.0</v>
      </c>
      <c r="L296" s="34" t="s">
        <v>48</v>
      </c>
      <c r="M296" s="33" t="n">
        <f>343000</f>
        <v>343000.0</v>
      </c>
      <c r="N296" s="34" t="s">
        <v>49</v>
      </c>
      <c r="O296" s="33" t="n">
        <f>292000</f>
        <v>292000.0</v>
      </c>
      <c r="P296" s="34" t="s">
        <v>86</v>
      </c>
      <c r="Q296" s="33" t="n">
        <f>308000</f>
        <v>308000.0</v>
      </c>
      <c r="R296" s="34" t="s">
        <v>51</v>
      </c>
      <c r="S296" s="35" t="n">
        <f>317594.74</f>
        <v>317594.74</v>
      </c>
      <c r="T296" s="32" t="n">
        <f>70933</f>
        <v>70933.0</v>
      </c>
      <c r="U296" s="32" t="n">
        <f>9721</f>
        <v>9721.0</v>
      </c>
      <c r="V296" s="32" t="n">
        <f>22339109220</f>
        <v>2.233910922E10</v>
      </c>
      <c r="W296" s="32" t="n">
        <f>3053310820</f>
        <v>3.05331082E9</v>
      </c>
      <c r="X296" s="36" t="n">
        <f>19</f>
        <v>19.0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411000</f>
        <v>411000.0</v>
      </c>
      <c r="L297" s="34" t="s">
        <v>48</v>
      </c>
      <c r="M297" s="33" t="n">
        <f>411000</f>
        <v>411000.0</v>
      </c>
      <c r="N297" s="34" t="s">
        <v>48</v>
      </c>
      <c r="O297" s="33" t="n">
        <f>325500</f>
        <v>325500.0</v>
      </c>
      <c r="P297" s="34" t="s">
        <v>86</v>
      </c>
      <c r="Q297" s="33" t="n">
        <f>358000</f>
        <v>358000.0</v>
      </c>
      <c r="R297" s="34" t="s">
        <v>51</v>
      </c>
      <c r="S297" s="35" t="n">
        <f>363184.21</f>
        <v>363184.21</v>
      </c>
      <c r="T297" s="32" t="n">
        <f>220179</f>
        <v>220179.0</v>
      </c>
      <c r="U297" s="32" t="n">
        <f>42506</f>
        <v>42506.0</v>
      </c>
      <c r="V297" s="32" t="n">
        <f>78837531557</f>
        <v>7.8837531557E10</v>
      </c>
      <c r="W297" s="32" t="n">
        <f>15345153057</f>
        <v>1.5345153057E10</v>
      </c>
      <c r="X297" s="36" t="n">
        <f>19</f>
        <v>19.0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657000</f>
        <v>657000.0</v>
      </c>
      <c r="L298" s="34" t="s">
        <v>48</v>
      </c>
      <c r="M298" s="33" t="n">
        <f>680000</f>
        <v>680000.0</v>
      </c>
      <c r="N298" s="34" t="s">
        <v>90</v>
      </c>
      <c r="O298" s="33" t="n">
        <f>604000</f>
        <v>604000.0</v>
      </c>
      <c r="P298" s="34" t="s">
        <v>86</v>
      </c>
      <c r="Q298" s="33" t="n">
        <f>648000</f>
        <v>648000.0</v>
      </c>
      <c r="R298" s="34" t="s">
        <v>51</v>
      </c>
      <c r="S298" s="35" t="n">
        <f>650052.63</f>
        <v>650052.63</v>
      </c>
      <c r="T298" s="32" t="n">
        <f>22827</f>
        <v>22827.0</v>
      </c>
      <c r="U298" s="32" t="n">
        <f>3562</f>
        <v>3562.0</v>
      </c>
      <c r="V298" s="32" t="n">
        <f>14744661602</f>
        <v>1.4744661602E10</v>
      </c>
      <c r="W298" s="32" t="n">
        <f>2301878602</f>
        <v>2.301878602E9</v>
      </c>
      <c r="X298" s="36" t="n">
        <f>19</f>
        <v>19.0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304500</f>
        <v>304500.0</v>
      </c>
      <c r="L299" s="34" t="s">
        <v>48</v>
      </c>
      <c r="M299" s="33" t="n">
        <f>310500</f>
        <v>310500.0</v>
      </c>
      <c r="N299" s="34" t="s">
        <v>402</v>
      </c>
      <c r="O299" s="33" t="n">
        <f>280700</f>
        <v>280700.0</v>
      </c>
      <c r="P299" s="34" t="s">
        <v>86</v>
      </c>
      <c r="Q299" s="33" t="n">
        <f>297900</f>
        <v>297900.0</v>
      </c>
      <c r="R299" s="34" t="s">
        <v>51</v>
      </c>
      <c r="S299" s="35" t="n">
        <f>298984.21</f>
        <v>298984.21</v>
      </c>
      <c r="T299" s="32" t="n">
        <f>24396</f>
        <v>24396.0</v>
      </c>
      <c r="U299" s="32" t="n">
        <f>4583</f>
        <v>4583.0</v>
      </c>
      <c r="V299" s="32" t="n">
        <f>7245428297</f>
        <v>7.245428297E9</v>
      </c>
      <c r="W299" s="32" t="n">
        <f>1360115997</f>
        <v>1.360115997E9</v>
      </c>
      <c r="X299" s="36" t="n">
        <f>19</f>
        <v>19.0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163600</f>
        <v>163600.0</v>
      </c>
      <c r="L300" s="34" t="s">
        <v>48</v>
      </c>
      <c r="M300" s="33" t="n">
        <f>163700</f>
        <v>163700.0</v>
      </c>
      <c r="N300" s="34" t="s">
        <v>48</v>
      </c>
      <c r="O300" s="33" t="n">
        <f>137800</f>
        <v>137800.0</v>
      </c>
      <c r="P300" s="34" t="s">
        <v>86</v>
      </c>
      <c r="Q300" s="33" t="n">
        <f>145900</f>
        <v>145900.0</v>
      </c>
      <c r="R300" s="34" t="s">
        <v>51</v>
      </c>
      <c r="S300" s="35" t="n">
        <f>152347.37</f>
        <v>152347.37</v>
      </c>
      <c r="T300" s="32" t="n">
        <f>151151</f>
        <v>151151.0</v>
      </c>
      <c r="U300" s="32" t="n">
        <f>30007</f>
        <v>30007.0</v>
      </c>
      <c r="V300" s="32" t="n">
        <f>22589439842</f>
        <v>2.2589439842E10</v>
      </c>
      <c r="W300" s="32" t="n">
        <f>4541790442</f>
        <v>4.541790442E9</v>
      </c>
      <c r="X300" s="36" t="n">
        <f>19</f>
        <v>19.0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173700</f>
        <v>173700.0</v>
      </c>
      <c r="L301" s="34" t="s">
        <v>48</v>
      </c>
      <c r="M301" s="33" t="n">
        <f>174700</f>
        <v>174700.0</v>
      </c>
      <c r="N301" s="34" t="s">
        <v>48</v>
      </c>
      <c r="O301" s="33" t="n">
        <f>156800</f>
        <v>156800.0</v>
      </c>
      <c r="P301" s="34" t="s">
        <v>86</v>
      </c>
      <c r="Q301" s="33" t="n">
        <f>165200</f>
        <v>165200.0</v>
      </c>
      <c r="R301" s="34" t="s">
        <v>51</v>
      </c>
      <c r="S301" s="35" t="n">
        <f>167936.84</f>
        <v>167936.84</v>
      </c>
      <c r="T301" s="32" t="n">
        <f>117528</f>
        <v>117528.0</v>
      </c>
      <c r="U301" s="32" t="n">
        <f>29407</f>
        <v>29407.0</v>
      </c>
      <c r="V301" s="32" t="n">
        <f>19573661987</f>
        <v>1.9573661987E10</v>
      </c>
      <c r="W301" s="32" t="n">
        <f>4899946887</f>
        <v>4.899946887E9</v>
      </c>
      <c r="X301" s="36" t="n">
        <f>19</f>
        <v>19.0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407500</f>
        <v>407500.0</v>
      </c>
      <c r="L302" s="34" t="s">
        <v>48</v>
      </c>
      <c r="M302" s="33" t="n">
        <f>413000</f>
        <v>413000.0</v>
      </c>
      <c r="N302" s="34" t="s">
        <v>49</v>
      </c>
      <c r="O302" s="33" t="n">
        <f>355500</f>
        <v>355500.0</v>
      </c>
      <c r="P302" s="34" t="s">
        <v>86</v>
      </c>
      <c r="Q302" s="33" t="n">
        <f>387000</f>
        <v>387000.0</v>
      </c>
      <c r="R302" s="34" t="s">
        <v>51</v>
      </c>
      <c r="S302" s="35" t="n">
        <f>388000</f>
        <v>388000.0</v>
      </c>
      <c r="T302" s="32" t="n">
        <f>38314</f>
        <v>38314.0</v>
      </c>
      <c r="U302" s="32" t="n">
        <f>4945</f>
        <v>4945.0</v>
      </c>
      <c r="V302" s="32" t="n">
        <f>14739308773</f>
        <v>1.4739308773E10</v>
      </c>
      <c r="W302" s="32" t="n">
        <f>1895130273</f>
        <v>1.895130273E9</v>
      </c>
      <c r="X302" s="36" t="n">
        <f>19</f>
        <v>19.0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86300</f>
        <v>86300.0</v>
      </c>
      <c r="L303" s="34" t="s">
        <v>48</v>
      </c>
      <c r="M303" s="33" t="n">
        <f>86700</f>
        <v>86700.0</v>
      </c>
      <c r="N303" s="34" t="s">
        <v>48</v>
      </c>
      <c r="O303" s="33" t="n">
        <f>73500</f>
        <v>73500.0</v>
      </c>
      <c r="P303" s="34" t="s">
        <v>86</v>
      </c>
      <c r="Q303" s="33" t="n">
        <f>78200</f>
        <v>78200.0</v>
      </c>
      <c r="R303" s="34" t="s">
        <v>51</v>
      </c>
      <c r="S303" s="35" t="n">
        <f>80978.95</f>
        <v>80978.95</v>
      </c>
      <c r="T303" s="32" t="n">
        <f>334194</f>
        <v>334194.0</v>
      </c>
      <c r="U303" s="32" t="n">
        <f>80871</f>
        <v>80871.0</v>
      </c>
      <c r="V303" s="32" t="n">
        <f>26541906842</f>
        <v>2.6541906842E10</v>
      </c>
      <c r="W303" s="32" t="n">
        <f>6462648442</f>
        <v>6.462648442E9</v>
      </c>
      <c r="X303" s="36" t="n">
        <f>19</f>
        <v>19.0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602</v>
      </c>
      <c r="J304" s="32" t="n">
        <v>1.0</v>
      </c>
      <c r="K304" s="33" t="n">
        <f>133000</f>
        <v>133000.0</v>
      </c>
      <c r="L304" s="34" t="s">
        <v>48</v>
      </c>
      <c r="M304" s="33" t="n">
        <f>134500</f>
        <v>134500.0</v>
      </c>
      <c r="N304" s="34" t="s">
        <v>194</v>
      </c>
      <c r="O304" s="33" t="n">
        <f>123300</f>
        <v>123300.0</v>
      </c>
      <c r="P304" s="34" t="s">
        <v>86</v>
      </c>
      <c r="Q304" s="33" t="n">
        <f>129900</f>
        <v>129900.0</v>
      </c>
      <c r="R304" s="34" t="s">
        <v>51</v>
      </c>
      <c r="S304" s="35" t="n">
        <f>129978.95</f>
        <v>129978.95</v>
      </c>
      <c r="T304" s="32" t="n">
        <f>34500</f>
        <v>34500.0</v>
      </c>
      <c r="U304" s="32" t="n">
        <f>3690</f>
        <v>3690.0</v>
      </c>
      <c r="V304" s="32" t="n">
        <f>4451210843</f>
        <v>4.451210843E9</v>
      </c>
      <c r="W304" s="32" t="n">
        <f>477524643</f>
        <v>4.77524643E8</v>
      </c>
      <c r="X304" s="36" t="n">
        <f>19</f>
        <v>19.0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285000</f>
        <v>285000.0</v>
      </c>
      <c r="L305" s="34" t="s">
        <v>48</v>
      </c>
      <c r="M305" s="33" t="n">
        <f>286700</f>
        <v>286700.0</v>
      </c>
      <c r="N305" s="34" t="s">
        <v>402</v>
      </c>
      <c r="O305" s="33" t="n">
        <f>247000</f>
        <v>247000.0</v>
      </c>
      <c r="P305" s="34" t="s">
        <v>86</v>
      </c>
      <c r="Q305" s="33" t="n">
        <f>268800</f>
        <v>268800.0</v>
      </c>
      <c r="R305" s="34" t="s">
        <v>51</v>
      </c>
      <c r="S305" s="35" t="n">
        <f>272363.16</f>
        <v>272363.16</v>
      </c>
      <c r="T305" s="32" t="n">
        <f>73131</f>
        <v>73131.0</v>
      </c>
      <c r="U305" s="32" t="n">
        <f>16000</f>
        <v>16000.0</v>
      </c>
      <c r="V305" s="32" t="n">
        <f>19449349616</f>
        <v>1.9449349616E10</v>
      </c>
      <c r="W305" s="32" t="n">
        <f>4275095716</f>
        <v>4.275095716E9</v>
      </c>
      <c r="X305" s="36" t="n">
        <f>19</f>
        <v>19.0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162400</f>
        <v>162400.0</v>
      </c>
      <c r="L306" s="34" t="s">
        <v>48</v>
      </c>
      <c r="M306" s="33" t="n">
        <f>162400</f>
        <v>162400.0</v>
      </c>
      <c r="N306" s="34" t="s">
        <v>48</v>
      </c>
      <c r="O306" s="33" t="n">
        <f>128600</f>
        <v>128600.0</v>
      </c>
      <c r="P306" s="34" t="s">
        <v>466</v>
      </c>
      <c r="Q306" s="33" t="n">
        <f>131100</f>
        <v>131100.0</v>
      </c>
      <c r="R306" s="34" t="s">
        <v>51</v>
      </c>
      <c r="S306" s="35" t="n">
        <f>148805.26</f>
        <v>148805.26</v>
      </c>
      <c r="T306" s="32" t="n">
        <f>96669</f>
        <v>96669.0</v>
      </c>
      <c r="U306" s="32" t="n">
        <f>5900</f>
        <v>5900.0</v>
      </c>
      <c r="V306" s="32" t="n">
        <f>13450879301</f>
        <v>1.3450879301E10</v>
      </c>
      <c r="W306" s="32" t="n">
        <f>838432301</f>
        <v>8.38432301E8</v>
      </c>
      <c r="X306" s="36" t="n">
        <f>19</f>
        <v>19.0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602</v>
      </c>
      <c r="J307" s="32" t="n">
        <v>1.0</v>
      </c>
      <c r="K307" s="33" t="n">
        <f>128800</f>
        <v>128800.0</v>
      </c>
      <c r="L307" s="34" t="s">
        <v>48</v>
      </c>
      <c r="M307" s="33" t="n">
        <f>129300</f>
        <v>129300.0</v>
      </c>
      <c r="N307" s="34" t="s">
        <v>48</v>
      </c>
      <c r="O307" s="33" t="n">
        <f>114600</f>
        <v>114600.0</v>
      </c>
      <c r="P307" s="34" t="s">
        <v>69</v>
      </c>
      <c r="Q307" s="33" t="n">
        <f>116700</f>
        <v>116700.0</v>
      </c>
      <c r="R307" s="34" t="s">
        <v>51</v>
      </c>
      <c r="S307" s="35" t="n">
        <f>123436.84</f>
        <v>123436.84</v>
      </c>
      <c r="T307" s="32" t="n">
        <f>26012</f>
        <v>26012.0</v>
      </c>
      <c r="U307" s="32" t="n">
        <f>4152</f>
        <v>4152.0</v>
      </c>
      <c r="V307" s="32" t="n">
        <f>3174453526</f>
        <v>3.174453526E9</v>
      </c>
      <c r="W307" s="32" t="n">
        <f>510820726</f>
        <v>5.10820726E8</v>
      </c>
      <c r="X307" s="36" t="n">
        <f>19</f>
        <v>19.0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165300</f>
        <v>165300.0</v>
      </c>
      <c r="L308" s="34" t="s">
        <v>48</v>
      </c>
      <c r="M308" s="33" t="n">
        <f>165500</f>
        <v>165500.0</v>
      </c>
      <c r="N308" s="34" t="s">
        <v>48</v>
      </c>
      <c r="O308" s="33" t="n">
        <f>137300</f>
        <v>137300.0</v>
      </c>
      <c r="P308" s="34" t="s">
        <v>86</v>
      </c>
      <c r="Q308" s="33" t="n">
        <f>159300</f>
        <v>159300.0</v>
      </c>
      <c r="R308" s="34" t="s">
        <v>51</v>
      </c>
      <c r="S308" s="35" t="n">
        <f>155305.26</f>
        <v>155305.26</v>
      </c>
      <c r="T308" s="32" t="n">
        <f>376596</f>
        <v>376596.0</v>
      </c>
      <c r="U308" s="32" t="n">
        <f>67322</f>
        <v>67322.0</v>
      </c>
      <c r="V308" s="32" t="n">
        <f>57465176916</f>
        <v>5.7465176916E10</v>
      </c>
      <c r="W308" s="32" t="n">
        <f>10222572016</f>
        <v>1.0222572016E10</v>
      </c>
      <c r="X308" s="36" t="n">
        <f>19</f>
        <v>19.0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602</v>
      </c>
      <c r="J309" s="32" t="n">
        <v>1.0</v>
      </c>
      <c r="K309" s="33" t="n">
        <f>79100</f>
        <v>79100.0</v>
      </c>
      <c r="L309" s="34" t="s">
        <v>48</v>
      </c>
      <c r="M309" s="33" t="n">
        <f>81700</f>
        <v>81700.0</v>
      </c>
      <c r="N309" s="34" t="s">
        <v>49</v>
      </c>
      <c r="O309" s="33" t="n">
        <f>72700</f>
        <v>72700.0</v>
      </c>
      <c r="P309" s="34" t="s">
        <v>86</v>
      </c>
      <c r="Q309" s="33" t="n">
        <f>77100</f>
        <v>77100.0</v>
      </c>
      <c r="R309" s="34" t="s">
        <v>51</v>
      </c>
      <c r="S309" s="35" t="n">
        <f>76894.74</f>
        <v>76894.74</v>
      </c>
      <c r="T309" s="32" t="n">
        <f>32025</f>
        <v>32025.0</v>
      </c>
      <c r="U309" s="32" t="n">
        <f>3095</f>
        <v>3095.0</v>
      </c>
      <c r="V309" s="32" t="n">
        <f>2441525214</f>
        <v>2.441525214E9</v>
      </c>
      <c r="W309" s="32" t="n">
        <f>235410114</f>
        <v>2.35410114E8</v>
      </c>
      <c r="X309" s="36" t="n">
        <f>19</f>
        <v>19.0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203900</f>
        <v>203900.0</v>
      </c>
      <c r="L310" s="34" t="s">
        <v>48</v>
      </c>
      <c r="M310" s="33" t="n">
        <f>204800</f>
        <v>204800.0</v>
      </c>
      <c r="N310" s="34" t="s">
        <v>48</v>
      </c>
      <c r="O310" s="33" t="n">
        <f>164100</f>
        <v>164100.0</v>
      </c>
      <c r="P310" s="34" t="s">
        <v>86</v>
      </c>
      <c r="Q310" s="33" t="n">
        <f>183600</f>
        <v>183600.0</v>
      </c>
      <c r="R310" s="34" t="s">
        <v>51</v>
      </c>
      <c r="S310" s="35" t="n">
        <f>184489.47</f>
        <v>184489.47</v>
      </c>
      <c r="T310" s="32" t="n">
        <f>171108</f>
        <v>171108.0</v>
      </c>
      <c r="U310" s="32" t="n">
        <f>41885</f>
        <v>41885.0</v>
      </c>
      <c r="V310" s="32" t="n">
        <f>31283125699</f>
        <v>3.1283125699E10</v>
      </c>
      <c r="W310" s="32" t="n">
        <f>7718622999</f>
        <v>7.718622999E9</v>
      </c>
      <c r="X310" s="36" t="n">
        <f>19</f>
        <v>19.0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602</v>
      </c>
      <c r="J311" s="32" t="n">
        <v>1.0</v>
      </c>
      <c r="K311" s="33" t="n">
        <f>64100</f>
        <v>64100.0</v>
      </c>
      <c r="L311" s="34" t="s">
        <v>48</v>
      </c>
      <c r="M311" s="33" t="n">
        <f>66400</f>
        <v>66400.0</v>
      </c>
      <c r="N311" s="34" t="s">
        <v>90</v>
      </c>
      <c r="O311" s="33" t="n">
        <f>58000</f>
        <v>58000.0</v>
      </c>
      <c r="P311" s="34" t="s">
        <v>69</v>
      </c>
      <c r="Q311" s="33" t="n">
        <f>60300</f>
        <v>60300.0</v>
      </c>
      <c r="R311" s="34" t="s">
        <v>51</v>
      </c>
      <c r="S311" s="35" t="n">
        <f>62889.47</f>
        <v>62889.47</v>
      </c>
      <c r="T311" s="32" t="n">
        <f>201854</f>
        <v>201854.0</v>
      </c>
      <c r="U311" s="32" t="n">
        <f>61122</f>
        <v>61122.0</v>
      </c>
      <c r="V311" s="32" t="n">
        <f>12654373007</f>
        <v>1.2654373007E10</v>
      </c>
      <c r="W311" s="32" t="n">
        <f>3865783407</f>
        <v>3.865783407E9</v>
      </c>
      <c r="X311" s="36" t="n">
        <f>19</f>
        <v>19.0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602</v>
      </c>
      <c r="J312" s="32" t="n">
        <v>1.0</v>
      </c>
      <c r="K312" s="33" t="n">
        <f>132500</f>
        <v>132500.0</v>
      </c>
      <c r="L312" s="34" t="s">
        <v>48</v>
      </c>
      <c r="M312" s="33" t="n">
        <f>133700</f>
        <v>133700.0</v>
      </c>
      <c r="N312" s="34" t="s">
        <v>90</v>
      </c>
      <c r="O312" s="33" t="n">
        <f>119100</f>
        <v>119100.0</v>
      </c>
      <c r="P312" s="34" t="s">
        <v>86</v>
      </c>
      <c r="Q312" s="33" t="n">
        <f>126800</f>
        <v>126800.0</v>
      </c>
      <c r="R312" s="34" t="s">
        <v>51</v>
      </c>
      <c r="S312" s="35" t="n">
        <f>127973.68</f>
        <v>127973.68</v>
      </c>
      <c r="T312" s="32" t="n">
        <f>54196</f>
        <v>54196.0</v>
      </c>
      <c r="U312" s="32" t="n">
        <f>8796</f>
        <v>8796.0</v>
      </c>
      <c r="V312" s="32" t="n">
        <f>6940534997</f>
        <v>6.940534997E9</v>
      </c>
      <c r="W312" s="32" t="n">
        <f>1144574697</f>
        <v>1.144574697E9</v>
      </c>
      <c r="X312" s="36" t="n">
        <f>19</f>
        <v>19.0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642000</f>
        <v>642000.0</v>
      </c>
      <c r="L313" s="34" t="s">
        <v>48</v>
      </c>
      <c r="M313" s="33" t="n">
        <f>645000</f>
        <v>645000.0</v>
      </c>
      <c r="N313" s="34" t="s">
        <v>48</v>
      </c>
      <c r="O313" s="33" t="n">
        <f>539000</f>
        <v>539000.0</v>
      </c>
      <c r="P313" s="34" t="s">
        <v>86</v>
      </c>
      <c r="Q313" s="33" t="n">
        <f>566000</f>
        <v>566000.0</v>
      </c>
      <c r="R313" s="34" t="s">
        <v>51</v>
      </c>
      <c r="S313" s="35" t="n">
        <f>592052.63</f>
        <v>592052.63</v>
      </c>
      <c r="T313" s="32" t="n">
        <f>71916</f>
        <v>71916.0</v>
      </c>
      <c r="U313" s="32" t="n">
        <f>7300</f>
        <v>7300.0</v>
      </c>
      <c r="V313" s="32" t="n">
        <f>41832933694</f>
        <v>4.1832933694E10</v>
      </c>
      <c r="W313" s="32" t="n">
        <f>4346729694</f>
        <v>4.346729694E9</v>
      </c>
      <c r="X313" s="36" t="n">
        <f>19</f>
        <v>19.0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602</v>
      </c>
      <c r="J314" s="32" t="n">
        <v>1.0</v>
      </c>
      <c r="K314" s="33" t="n">
        <f>71700</f>
        <v>71700.0</v>
      </c>
      <c r="L314" s="34" t="s">
        <v>48</v>
      </c>
      <c r="M314" s="33" t="n">
        <f>72300</f>
        <v>72300.0</v>
      </c>
      <c r="N314" s="34" t="s">
        <v>49</v>
      </c>
      <c r="O314" s="33" t="n">
        <f>57400</f>
        <v>57400.0</v>
      </c>
      <c r="P314" s="34" t="s">
        <v>86</v>
      </c>
      <c r="Q314" s="33" t="n">
        <f>61600</f>
        <v>61600.0</v>
      </c>
      <c r="R314" s="34" t="s">
        <v>51</v>
      </c>
      <c r="S314" s="35" t="n">
        <f>65089.47</f>
        <v>65089.47</v>
      </c>
      <c r="T314" s="32" t="n">
        <f>34695</f>
        <v>34695.0</v>
      </c>
      <c r="U314" s="32" t="n">
        <f>2310</f>
        <v>2310.0</v>
      </c>
      <c r="V314" s="32" t="n">
        <f>2188312319</f>
        <v>2.188312319E9</v>
      </c>
      <c r="W314" s="32" t="n">
        <f>144704819</f>
        <v>1.44704819E8</v>
      </c>
      <c r="X314" s="36" t="n">
        <f>19</f>
        <v>19.0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49600</f>
        <v>49600.0</v>
      </c>
      <c r="L315" s="34" t="s">
        <v>48</v>
      </c>
      <c r="M315" s="33" t="n">
        <f>51000</f>
        <v>51000.0</v>
      </c>
      <c r="N315" s="34" t="s">
        <v>90</v>
      </c>
      <c r="O315" s="33" t="n">
        <f>45050</f>
        <v>45050.0</v>
      </c>
      <c r="P315" s="34" t="s">
        <v>86</v>
      </c>
      <c r="Q315" s="33" t="n">
        <f>48150</f>
        <v>48150.0</v>
      </c>
      <c r="R315" s="34" t="s">
        <v>51</v>
      </c>
      <c r="S315" s="35" t="n">
        <f>48844.74</f>
        <v>48844.74</v>
      </c>
      <c r="T315" s="32" t="n">
        <f>213957</f>
        <v>213957.0</v>
      </c>
      <c r="U315" s="32" t="n">
        <f>25142</f>
        <v>25142.0</v>
      </c>
      <c r="V315" s="32" t="n">
        <f>10385574670</f>
        <v>1.038557467E10</v>
      </c>
      <c r="W315" s="32" t="n">
        <f>1225420820</f>
        <v>1.22542082E9</v>
      </c>
      <c r="X315" s="36" t="n">
        <f>19</f>
        <v>19.0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124300</f>
        <v>124300.0</v>
      </c>
      <c r="L316" s="34" t="s">
        <v>48</v>
      </c>
      <c r="M316" s="33" t="n">
        <f>126200</f>
        <v>126200.0</v>
      </c>
      <c r="N316" s="34" t="s">
        <v>49</v>
      </c>
      <c r="O316" s="33" t="n">
        <f>108500</f>
        <v>108500.0</v>
      </c>
      <c r="P316" s="34" t="s">
        <v>86</v>
      </c>
      <c r="Q316" s="33" t="n">
        <f>117900</f>
        <v>117900.0</v>
      </c>
      <c r="R316" s="34" t="s">
        <v>51</v>
      </c>
      <c r="S316" s="35" t="n">
        <f>118242.11</f>
        <v>118242.11</v>
      </c>
      <c r="T316" s="32" t="n">
        <f>21189</f>
        <v>21189.0</v>
      </c>
      <c r="U316" s="32" t="n">
        <f>4242</f>
        <v>4242.0</v>
      </c>
      <c r="V316" s="32" t="n">
        <f>2480428289</f>
        <v>2.480428289E9</v>
      </c>
      <c r="W316" s="32" t="n">
        <f>495572689</f>
        <v>4.95572689E8</v>
      </c>
      <c r="X316" s="36" t="n">
        <f>19</f>
        <v>19.0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524000</f>
        <v>524000.0</v>
      </c>
      <c r="L317" s="34" t="s">
        <v>48</v>
      </c>
      <c r="M317" s="33" t="n">
        <f>526000</f>
        <v>526000.0</v>
      </c>
      <c r="N317" s="34" t="s">
        <v>48</v>
      </c>
      <c r="O317" s="33" t="n">
        <f>419000</f>
        <v>419000.0</v>
      </c>
      <c r="P317" s="34" t="s">
        <v>86</v>
      </c>
      <c r="Q317" s="33" t="n">
        <f>451000</f>
        <v>451000.0</v>
      </c>
      <c r="R317" s="34" t="s">
        <v>51</v>
      </c>
      <c r="S317" s="35" t="n">
        <f>473184.21</f>
        <v>473184.21</v>
      </c>
      <c r="T317" s="32" t="n">
        <f>35035</f>
        <v>35035.0</v>
      </c>
      <c r="U317" s="32" t="n">
        <f>8564</f>
        <v>8564.0</v>
      </c>
      <c r="V317" s="32" t="n">
        <f>16254185356</f>
        <v>1.6254185356E10</v>
      </c>
      <c r="W317" s="32" t="n">
        <f>4021310356</f>
        <v>4.021310356E9</v>
      </c>
      <c r="X317" s="36" t="n">
        <f>19</f>
        <v>19.0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228000</f>
        <v>228000.0</v>
      </c>
      <c r="L318" s="34" t="s">
        <v>48</v>
      </c>
      <c r="M318" s="33" t="n">
        <f>229300</f>
        <v>229300.0</v>
      </c>
      <c r="N318" s="34" t="s">
        <v>48</v>
      </c>
      <c r="O318" s="33" t="n">
        <f>180600</f>
        <v>180600.0</v>
      </c>
      <c r="P318" s="34" t="s">
        <v>86</v>
      </c>
      <c r="Q318" s="33" t="n">
        <f>199400</f>
        <v>199400.0</v>
      </c>
      <c r="R318" s="34" t="s">
        <v>51</v>
      </c>
      <c r="S318" s="35" t="n">
        <f>204357.89</f>
        <v>204357.89</v>
      </c>
      <c r="T318" s="32" t="n">
        <f>65214</f>
        <v>65214.0</v>
      </c>
      <c r="U318" s="32" t="n">
        <f>12629</f>
        <v>12629.0</v>
      </c>
      <c r="V318" s="32" t="n">
        <f>13232059120</f>
        <v>1.323205912E10</v>
      </c>
      <c r="W318" s="32" t="n">
        <f>2553725120</f>
        <v>2.55372512E9</v>
      </c>
      <c r="X318" s="36" t="n">
        <f>19</f>
        <v>19.0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602</v>
      </c>
      <c r="J319" s="32" t="n">
        <v>1.0</v>
      </c>
      <c r="K319" s="33" t="n">
        <f>117600</f>
        <v>117600.0</v>
      </c>
      <c r="L319" s="34" t="s">
        <v>48</v>
      </c>
      <c r="M319" s="33" t="n">
        <f>126800</f>
        <v>126800.0</v>
      </c>
      <c r="N319" s="34" t="s">
        <v>51</v>
      </c>
      <c r="O319" s="33" t="n">
        <f>108300</f>
        <v>108300.0</v>
      </c>
      <c r="P319" s="34" t="s">
        <v>86</v>
      </c>
      <c r="Q319" s="33" t="n">
        <f>124000</f>
        <v>124000.0</v>
      </c>
      <c r="R319" s="34" t="s">
        <v>51</v>
      </c>
      <c r="S319" s="35" t="n">
        <f>116805.26</f>
        <v>116805.26</v>
      </c>
      <c r="T319" s="32" t="n">
        <f>31508</f>
        <v>31508.0</v>
      </c>
      <c r="U319" s="32" t="n">
        <f>3283</f>
        <v>3283.0</v>
      </c>
      <c r="V319" s="32" t="n">
        <f>3692967215</f>
        <v>3.692967215E9</v>
      </c>
      <c r="W319" s="32" t="n">
        <f>383478115</f>
        <v>3.83478115E8</v>
      </c>
      <c r="X319" s="36" t="n">
        <f>19</f>
        <v>19.0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116800</f>
        <v>116800.0</v>
      </c>
      <c r="L320" s="34" t="s">
        <v>48</v>
      </c>
      <c r="M320" s="33" t="n">
        <f>121600</f>
        <v>121600.0</v>
      </c>
      <c r="N320" s="34" t="s">
        <v>194</v>
      </c>
      <c r="O320" s="33" t="n">
        <f>108100</f>
        <v>108100.0</v>
      </c>
      <c r="P320" s="34" t="s">
        <v>86</v>
      </c>
      <c r="Q320" s="33" t="n">
        <f>116000</f>
        <v>116000.0</v>
      </c>
      <c r="R320" s="34" t="s">
        <v>51</v>
      </c>
      <c r="S320" s="35" t="n">
        <f>116900</f>
        <v>116900.0</v>
      </c>
      <c r="T320" s="32" t="n">
        <f>71221</f>
        <v>71221.0</v>
      </c>
      <c r="U320" s="32" t="n">
        <f>7835</f>
        <v>7835.0</v>
      </c>
      <c r="V320" s="32" t="n">
        <f>8270279235</f>
        <v>8.270279235E9</v>
      </c>
      <c r="W320" s="32" t="n">
        <f>911212135</f>
        <v>9.11212135E8</v>
      </c>
      <c r="X320" s="36" t="n">
        <f>19</f>
        <v>19.0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602</v>
      </c>
      <c r="J321" s="32" t="n">
        <v>1.0</v>
      </c>
      <c r="K321" s="33" t="n">
        <f>183800</f>
        <v>183800.0</v>
      </c>
      <c r="L321" s="34" t="s">
        <v>48</v>
      </c>
      <c r="M321" s="33" t="n">
        <f>185600</f>
        <v>185600.0</v>
      </c>
      <c r="N321" s="34" t="s">
        <v>49</v>
      </c>
      <c r="O321" s="33" t="n">
        <f>150900</f>
        <v>150900.0</v>
      </c>
      <c r="P321" s="34" t="s">
        <v>86</v>
      </c>
      <c r="Q321" s="33" t="n">
        <f>156400</f>
        <v>156400.0</v>
      </c>
      <c r="R321" s="34" t="s">
        <v>51</v>
      </c>
      <c r="S321" s="35" t="n">
        <f>166921.05</f>
        <v>166921.05</v>
      </c>
      <c r="T321" s="32" t="n">
        <f>67703</f>
        <v>67703.0</v>
      </c>
      <c r="U321" s="32" t="n">
        <f>11430</f>
        <v>11430.0</v>
      </c>
      <c r="V321" s="32" t="n">
        <f>11171969392</f>
        <v>1.1171969392E10</v>
      </c>
      <c r="W321" s="32" t="n">
        <f>1875189292</f>
        <v>1.875189292E9</v>
      </c>
      <c r="X321" s="36" t="n">
        <f>19</f>
        <v>19.0</v>
      </c>
    </row>
    <row r="322">
      <c r="A322" s="27" t="s">
        <v>42</v>
      </c>
      <c r="B322" s="27" t="s">
        <v>1014</v>
      </c>
      <c r="C322" s="27" t="s">
        <v>1015</v>
      </c>
      <c r="D322" s="27" t="s">
        <v>1016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674000</f>
        <v>674000.0</v>
      </c>
      <c r="L322" s="34" t="s">
        <v>48</v>
      </c>
      <c r="M322" s="33" t="n">
        <f>677000</f>
        <v>677000.0</v>
      </c>
      <c r="N322" s="34" t="s">
        <v>49</v>
      </c>
      <c r="O322" s="33" t="n">
        <f>610000</f>
        <v>610000.0</v>
      </c>
      <c r="P322" s="34" t="s">
        <v>86</v>
      </c>
      <c r="Q322" s="33" t="n">
        <f>664000</f>
        <v>664000.0</v>
      </c>
      <c r="R322" s="34" t="s">
        <v>51</v>
      </c>
      <c r="S322" s="35" t="n">
        <f>658052.63</f>
        <v>658052.63</v>
      </c>
      <c r="T322" s="32" t="n">
        <f>206698</f>
        <v>206698.0</v>
      </c>
      <c r="U322" s="32" t="n">
        <f>33710</f>
        <v>33710.0</v>
      </c>
      <c r="V322" s="32" t="n">
        <f>134771247926</f>
        <v>1.34771247926E11</v>
      </c>
      <c r="W322" s="32" t="n">
        <f>21895013926</f>
        <v>2.1895013926E10</v>
      </c>
      <c r="X322" s="36" t="n">
        <f>19</f>
        <v>19.0</v>
      </c>
    </row>
    <row r="323">
      <c r="A323" s="27" t="s">
        <v>42</v>
      </c>
      <c r="B323" s="27" t="s">
        <v>1017</v>
      </c>
      <c r="C323" s="27" t="s">
        <v>1018</v>
      </c>
      <c r="D323" s="27" t="s">
        <v>1019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660000</f>
        <v>660000.0</v>
      </c>
      <c r="L323" s="34" t="s">
        <v>48</v>
      </c>
      <c r="M323" s="33" t="n">
        <f>664000</f>
        <v>664000.0</v>
      </c>
      <c r="N323" s="34" t="s">
        <v>49</v>
      </c>
      <c r="O323" s="33" t="n">
        <f>572000</f>
        <v>572000.0</v>
      </c>
      <c r="P323" s="34" t="s">
        <v>86</v>
      </c>
      <c r="Q323" s="33" t="n">
        <f>630000</f>
        <v>630000.0</v>
      </c>
      <c r="R323" s="34" t="s">
        <v>51</v>
      </c>
      <c r="S323" s="35" t="n">
        <f>629368.42</f>
        <v>629368.42</v>
      </c>
      <c r="T323" s="32" t="n">
        <f>108096</f>
        <v>108096.0</v>
      </c>
      <c r="U323" s="32" t="n">
        <f>18299</f>
        <v>18299.0</v>
      </c>
      <c r="V323" s="32" t="n">
        <f>67292045108</f>
        <v>6.7292045108E10</v>
      </c>
      <c r="W323" s="32" t="n">
        <f>11353725108</f>
        <v>1.1353725108E10</v>
      </c>
      <c r="X323" s="36" t="n">
        <f>19</f>
        <v>19.0</v>
      </c>
    </row>
    <row r="324">
      <c r="A324" s="27" t="s">
        <v>42</v>
      </c>
      <c r="B324" s="27" t="s">
        <v>1020</v>
      </c>
      <c r="C324" s="27" t="s">
        <v>1021</v>
      </c>
      <c r="D324" s="27" t="s">
        <v>1022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101500</f>
        <v>101500.0</v>
      </c>
      <c r="L324" s="34" t="s">
        <v>48</v>
      </c>
      <c r="M324" s="33" t="n">
        <f>102200</f>
        <v>102200.0</v>
      </c>
      <c r="N324" s="34" t="s">
        <v>49</v>
      </c>
      <c r="O324" s="33" t="n">
        <f>87000</f>
        <v>87000.0</v>
      </c>
      <c r="P324" s="34" t="s">
        <v>86</v>
      </c>
      <c r="Q324" s="33" t="n">
        <f>96700</f>
        <v>96700.0</v>
      </c>
      <c r="R324" s="34" t="s">
        <v>51</v>
      </c>
      <c r="S324" s="35" t="n">
        <f>95868.42</f>
        <v>95868.42</v>
      </c>
      <c r="T324" s="32" t="n">
        <f>578347</f>
        <v>578347.0</v>
      </c>
      <c r="U324" s="32" t="n">
        <f>110411</f>
        <v>110411.0</v>
      </c>
      <c r="V324" s="32" t="n">
        <f>55021069603</f>
        <v>5.5021069603E10</v>
      </c>
      <c r="W324" s="32" t="n">
        <f>10506123803</f>
        <v>1.0506123803E10</v>
      </c>
      <c r="X324" s="36" t="n">
        <f>19</f>
        <v>19.0</v>
      </c>
    </row>
    <row r="325">
      <c r="A325" s="27" t="s">
        <v>42</v>
      </c>
      <c r="B325" s="27" t="s">
        <v>1023</v>
      </c>
      <c r="C325" s="27" t="s">
        <v>1024</v>
      </c>
      <c r="D325" s="27" t="s">
        <v>1025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182400</f>
        <v>182400.0</v>
      </c>
      <c r="L325" s="34" t="s">
        <v>48</v>
      </c>
      <c r="M325" s="33" t="n">
        <f>182400</f>
        <v>182400.0</v>
      </c>
      <c r="N325" s="34" t="s">
        <v>48</v>
      </c>
      <c r="O325" s="33" t="n">
        <f>154400</f>
        <v>154400.0</v>
      </c>
      <c r="P325" s="34" t="s">
        <v>86</v>
      </c>
      <c r="Q325" s="33" t="n">
        <f>164800</f>
        <v>164800.0</v>
      </c>
      <c r="R325" s="34" t="s">
        <v>51</v>
      </c>
      <c r="S325" s="35" t="n">
        <f>169168.42</f>
        <v>169168.42</v>
      </c>
      <c r="T325" s="32" t="n">
        <f>300658</f>
        <v>300658.0</v>
      </c>
      <c r="U325" s="32" t="n">
        <f>57020</f>
        <v>57020.0</v>
      </c>
      <c r="V325" s="32" t="n">
        <f>50228347441</f>
        <v>5.0228347441E10</v>
      </c>
      <c r="W325" s="32" t="n">
        <f>9511545041</f>
        <v>9.511545041E9</v>
      </c>
      <c r="X325" s="36" t="n">
        <f>19</f>
        <v>19.0</v>
      </c>
    </row>
    <row r="326">
      <c r="A326" s="27" t="s">
        <v>42</v>
      </c>
      <c r="B326" s="27" t="s">
        <v>1026</v>
      </c>
      <c r="C326" s="27" t="s">
        <v>1027</v>
      </c>
      <c r="D326" s="27" t="s">
        <v>1028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402500</f>
        <v>402500.0</v>
      </c>
      <c r="L326" s="34" t="s">
        <v>48</v>
      </c>
      <c r="M326" s="33" t="n">
        <f>402500</f>
        <v>402500.0</v>
      </c>
      <c r="N326" s="34" t="s">
        <v>48</v>
      </c>
      <c r="O326" s="33" t="n">
        <f>350000</f>
        <v>350000.0</v>
      </c>
      <c r="P326" s="34" t="s">
        <v>86</v>
      </c>
      <c r="Q326" s="33" t="n">
        <f>375000</f>
        <v>375000.0</v>
      </c>
      <c r="R326" s="34" t="s">
        <v>51</v>
      </c>
      <c r="S326" s="35" t="n">
        <f>374210.53</f>
        <v>374210.53</v>
      </c>
      <c r="T326" s="32" t="n">
        <f>122273</f>
        <v>122273.0</v>
      </c>
      <c r="U326" s="32" t="n">
        <f>20609</f>
        <v>20609.0</v>
      </c>
      <c r="V326" s="32" t="n">
        <f>45476413994</f>
        <v>4.5476413994E10</v>
      </c>
      <c r="W326" s="32" t="n">
        <f>7618517494</f>
        <v>7.618517494E9</v>
      </c>
      <c r="X326" s="36" t="n">
        <f>19</f>
        <v>19.0</v>
      </c>
    </row>
    <row r="327">
      <c r="A327" s="27" t="s">
        <v>42</v>
      </c>
      <c r="B327" s="27" t="s">
        <v>1029</v>
      </c>
      <c r="C327" s="27" t="s">
        <v>1030</v>
      </c>
      <c r="D327" s="27" t="s">
        <v>1031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155900</f>
        <v>155900.0</v>
      </c>
      <c r="L327" s="34" t="s">
        <v>48</v>
      </c>
      <c r="M327" s="33" t="n">
        <f>156700</f>
        <v>156700.0</v>
      </c>
      <c r="N327" s="34" t="s">
        <v>49</v>
      </c>
      <c r="O327" s="33" t="n">
        <f>139700</f>
        <v>139700.0</v>
      </c>
      <c r="P327" s="34" t="s">
        <v>86</v>
      </c>
      <c r="Q327" s="33" t="n">
        <f>154400</f>
        <v>154400.0</v>
      </c>
      <c r="R327" s="34" t="s">
        <v>51</v>
      </c>
      <c r="S327" s="35" t="n">
        <f>150831.58</f>
        <v>150831.58</v>
      </c>
      <c r="T327" s="32" t="n">
        <f>106665</f>
        <v>106665.0</v>
      </c>
      <c r="U327" s="32" t="n">
        <f>18766</f>
        <v>18766.0</v>
      </c>
      <c r="V327" s="32" t="n">
        <f>15926758551</f>
        <v>1.5926758551E10</v>
      </c>
      <c r="W327" s="32" t="n">
        <f>2801772751</f>
        <v>2.801772751E9</v>
      </c>
      <c r="X327" s="36" t="n">
        <f>19</f>
        <v>19.0</v>
      </c>
    </row>
    <row r="328">
      <c r="A328" s="27" t="s">
        <v>42</v>
      </c>
      <c r="B328" s="27" t="s">
        <v>1032</v>
      </c>
      <c r="C328" s="27" t="s">
        <v>1033</v>
      </c>
      <c r="D328" s="27" t="s">
        <v>1034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198800</f>
        <v>198800.0</v>
      </c>
      <c r="L328" s="34" t="s">
        <v>48</v>
      </c>
      <c r="M328" s="33" t="n">
        <f>200800</f>
        <v>200800.0</v>
      </c>
      <c r="N328" s="34" t="s">
        <v>48</v>
      </c>
      <c r="O328" s="33" t="n">
        <f>171800</f>
        <v>171800.0</v>
      </c>
      <c r="P328" s="34" t="s">
        <v>86</v>
      </c>
      <c r="Q328" s="33" t="n">
        <f>185300</f>
        <v>185300.0</v>
      </c>
      <c r="R328" s="34" t="s">
        <v>51</v>
      </c>
      <c r="S328" s="35" t="n">
        <f>189715.79</f>
        <v>189715.79</v>
      </c>
      <c r="T328" s="32" t="n">
        <f>68166</f>
        <v>68166.0</v>
      </c>
      <c r="U328" s="32" t="n">
        <f>12785</f>
        <v>12785.0</v>
      </c>
      <c r="V328" s="32" t="n">
        <f>12714839229</f>
        <v>1.2714839229E10</v>
      </c>
      <c r="W328" s="32" t="n">
        <f>2385112929</f>
        <v>2.385112929E9</v>
      </c>
      <c r="X328" s="36" t="n">
        <f>19</f>
        <v>19.0</v>
      </c>
    </row>
    <row r="329">
      <c r="A329" s="27" t="s">
        <v>42</v>
      </c>
      <c r="B329" s="27" t="s">
        <v>1035</v>
      </c>
      <c r="C329" s="27" t="s">
        <v>1036</v>
      </c>
      <c r="D329" s="27" t="s">
        <v>1037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120500</f>
        <v>120500.0</v>
      </c>
      <c r="L329" s="34" t="s">
        <v>48</v>
      </c>
      <c r="M329" s="33" t="n">
        <f>121600</f>
        <v>121600.0</v>
      </c>
      <c r="N329" s="34" t="s">
        <v>49</v>
      </c>
      <c r="O329" s="33" t="n">
        <f>104800</f>
        <v>104800.0</v>
      </c>
      <c r="P329" s="34" t="s">
        <v>86</v>
      </c>
      <c r="Q329" s="33" t="n">
        <f>113000</f>
        <v>113000.0</v>
      </c>
      <c r="R329" s="34" t="s">
        <v>51</v>
      </c>
      <c r="S329" s="35" t="n">
        <f>114268.42</f>
        <v>114268.42</v>
      </c>
      <c r="T329" s="32" t="n">
        <f>77190</f>
        <v>77190.0</v>
      </c>
      <c r="U329" s="32" t="n">
        <f>11739</f>
        <v>11739.0</v>
      </c>
      <c r="V329" s="32" t="n">
        <f>8716294663</f>
        <v>8.716294663E9</v>
      </c>
      <c r="W329" s="32" t="n">
        <f>1319343763</f>
        <v>1.319343763E9</v>
      </c>
      <c r="X329" s="36" t="n">
        <f>19</f>
        <v>19.0</v>
      </c>
    </row>
    <row r="330">
      <c r="A330" s="27" t="s">
        <v>42</v>
      </c>
      <c r="B330" s="27" t="s">
        <v>1038</v>
      </c>
      <c r="C330" s="27" t="s">
        <v>1039</v>
      </c>
      <c r="D330" s="27" t="s">
        <v>1040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137500</f>
        <v>137500.0</v>
      </c>
      <c r="L330" s="34" t="s">
        <v>48</v>
      </c>
      <c r="M330" s="33" t="n">
        <f>140300</f>
        <v>140300.0</v>
      </c>
      <c r="N330" s="34" t="s">
        <v>49</v>
      </c>
      <c r="O330" s="33" t="n">
        <f>120700</f>
        <v>120700.0</v>
      </c>
      <c r="P330" s="34" t="s">
        <v>86</v>
      </c>
      <c r="Q330" s="33" t="n">
        <f>135500</f>
        <v>135500.0</v>
      </c>
      <c r="R330" s="34" t="s">
        <v>51</v>
      </c>
      <c r="S330" s="35" t="n">
        <f>134594.74</f>
        <v>134594.74</v>
      </c>
      <c r="T330" s="32" t="n">
        <f>328838</f>
        <v>328838.0</v>
      </c>
      <c r="U330" s="32" t="n">
        <f>78526</f>
        <v>78526.0</v>
      </c>
      <c r="V330" s="32" t="n">
        <f>43811194221</f>
        <v>4.3811194221E10</v>
      </c>
      <c r="W330" s="32" t="n">
        <f>10444805421</f>
        <v>1.0444805421E10</v>
      </c>
      <c r="X330" s="36" t="n">
        <f>19</f>
        <v>19.0</v>
      </c>
    </row>
    <row r="331">
      <c r="A331" s="27" t="s">
        <v>42</v>
      </c>
      <c r="B331" s="27" t="s">
        <v>1041</v>
      </c>
      <c r="C331" s="27" t="s">
        <v>1042</v>
      </c>
      <c r="D331" s="27" t="s">
        <v>1043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144800</f>
        <v>144800.0</v>
      </c>
      <c r="L331" s="34" t="s">
        <v>48</v>
      </c>
      <c r="M331" s="33" t="n">
        <f>146400</f>
        <v>146400.0</v>
      </c>
      <c r="N331" s="34" t="s">
        <v>49</v>
      </c>
      <c r="O331" s="33" t="n">
        <f>128200</f>
        <v>128200.0</v>
      </c>
      <c r="P331" s="34" t="s">
        <v>86</v>
      </c>
      <c r="Q331" s="33" t="n">
        <f>139100</f>
        <v>139100.0</v>
      </c>
      <c r="R331" s="34" t="s">
        <v>51</v>
      </c>
      <c r="S331" s="35" t="n">
        <f>139421.05</f>
        <v>139421.05</v>
      </c>
      <c r="T331" s="32" t="n">
        <f>68416</f>
        <v>68416.0</v>
      </c>
      <c r="U331" s="32" t="n">
        <f>11409</f>
        <v>11409.0</v>
      </c>
      <c r="V331" s="32" t="n">
        <f>9426186987</f>
        <v>9.426186987E9</v>
      </c>
      <c r="W331" s="32" t="n">
        <f>1577426187</f>
        <v>1.577426187E9</v>
      </c>
      <c r="X331" s="36" t="n">
        <f>19</f>
        <v>19.0</v>
      </c>
    </row>
    <row r="332">
      <c r="A332" s="27" t="s">
        <v>42</v>
      </c>
      <c r="B332" s="27" t="s">
        <v>1044</v>
      </c>
      <c r="C332" s="27" t="s">
        <v>1045</v>
      </c>
      <c r="D332" s="27" t="s">
        <v>1046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37050</f>
        <v>37050.0</v>
      </c>
      <c r="L332" s="34" t="s">
        <v>48</v>
      </c>
      <c r="M332" s="33" t="n">
        <f>38050</f>
        <v>38050.0</v>
      </c>
      <c r="N332" s="34" t="s">
        <v>49</v>
      </c>
      <c r="O332" s="33" t="n">
        <f>34000</f>
        <v>34000.0</v>
      </c>
      <c r="P332" s="34" t="s">
        <v>86</v>
      </c>
      <c r="Q332" s="33" t="n">
        <f>36050</f>
        <v>36050.0</v>
      </c>
      <c r="R332" s="34" t="s">
        <v>51</v>
      </c>
      <c r="S332" s="35" t="n">
        <f>36271.05</f>
        <v>36271.05</v>
      </c>
      <c r="T332" s="32" t="n">
        <f>744107</f>
        <v>744107.0</v>
      </c>
      <c r="U332" s="32" t="n">
        <f>142569</f>
        <v>142569.0</v>
      </c>
      <c r="V332" s="32" t="n">
        <f>26948523266</f>
        <v>2.6948523266E10</v>
      </c>
      <c r="W332" s="32" t="n">
        <f>5171660366</f>
        <v>5.171660366E9</v>
      </c>
      <c r="X332" s="36" t="n">
        <f>19</f>
        <v>19.0</v>
      </c>
    </row>
    <row r="333">
      <c r="A333" s="27" t="s">
        <v>42</v>
      </c>
      <c r="B333" s="27" t="s">
        <v>1047</v>
      </c>
      <c r="C333" s="27" t="s">
        <v>1048</v>
      </c>
      <c r="D333" s="27" t="s">
        <v>1049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496500</f>
        <v>496500.0</v>
      </c>
      <c r="L333" s="34" t="s">
        <v>48</v>
      </c>
      <c r="M333" s="33" t="n">
        <f>502000</f>
        <v>502000.0</v>
      </c>
      <c r="N333" s="34" t="s">
        <v>48</v>
      </c>
      <c r="O333" s="33" t="n">
        <f>444000</f>
        <v>444000.0</v>
      </c>
      <c r="P333" s="34" t="s">
        <v>86</v>
      </c>
      <c r="Q333" s="33" t="n">
        <f>484500</f>
        <v>484500.0</v>
      </c>
      <c r="R333" s="34" t="s">
        <v>51</v>
      </c>
      <c r="S333" s="35" t="n">
        <f>480500</f>
        <v>480500.0</v>
      </c>
      <c r="T333" s="32" t="n">
        <f>40656</f>
        <v>40656.0</v>
      </c>
      <c r="U333" s="32" t="n">
        <f>6373</f>
        <v>6373.0</v>
      </c>
      <c r="V333" s="32" t="n">
        <f>19302430008</f>
        <v>1.9302430008E10</v>
      </c>
      <c r="W333" s="32" t="n">
        <f>3029914508</f>
        <v>3.029914508E9</v>
      </c>
      <c r="X333" s="36" t="n">
        <f>19</f>
        <v>19.0</v>
      </c>
    </row>
    <row r="334">
      <c r="A334" s="27" t="s">
        <v>42</v>
      </c>
      <c r="B334" s="27" t="s">
        <v>1050</v>
      </c>
      <c r="C334" s="27" t="s">
        <v>1051</v>
      </c>
      <c r="D334" s="27" t="s">
        <v>1052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156700</f>
        <v>156700.0</v>
      </c>
      <c r="L334" s="34" t="s">
        <v>48</v>
      </c>
      <c r="M334" s="33" t="n">
        <f>156900</f>
        <v>156900.0</v>
      </c>
      <c r="N334" s="34" t="s">
        <v>48</v>
      </c>
      <c r="O334" s="33" t="n">
        <f>128200</f>
        <v>128200.0</v>
      </c>
      <c r="P334" s="34" t="s">
        <v>86</v>
      </c>
      <c r="Q334" s="33" t="n">
        <f>141000</f>
        <v>141000.0</v>
      </c>
      <c r="R334" s="34" t="s">
        <v>51</v>
      </c>
      <c r="S334" s="35" t="n">
        <f>144342.11</f>
        <v>144342.11</v>
      </c>
      <c r="T334" s="32" t="n">
        <f>68590</f>
        <v>68590.0</v>
      </c>
      <c r="U334" s="32" t="n">
        <f>17348</f>
        <v>17348.0</v>
      </c>
      <c r="V334" s="32" t="n">
        <f>9690610997</f>
        <v>9.690610997E9</v>
      </c>
      <c r="W334" s="32" t="n">
        <f>2441540697</f>
        <v>2.441540697E9</v>
      </c>
      <c r="X334" s="36" t="n">
        <f>19</f>
        <v>19.0</v>
      </c>
    </row>
    <row r="335">
      <c r="A335" s="27" t="s">
        <v>42</v>
      </c>
      <c r="B335" s="27" t="s">
        <v>1053</v>
      </c>
      <c r="C335" s="27" t="s">
        <v>1054</v>
      </c>
      <c r="D335" s="27" t="s">
        <v>1055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360000</f>
        <v>360000.0</v>
      </c>
      <c r="L335" s="34" t="s">
        <v>48</v>
      </c>
      <c r="M335" s="33" t="n">
        <f>362500</f>
        <v>362500.0</v>
      </c>
      <c r="N335" s="34" t="s">
        <v>48</v>
      </c>
      <c r="O335" s="33" t="n">
        <f>292800</f>
        <v>292800.0</v>
      </c>
      <c r="P335" s="34" t="s">
        <v>86</v>
      </c>
      <c r="Q335" s="33" t="n">
        <f>318000</f>
        <v>318000.0</v>
      </c>
      <c r="R335" s="34" t="s">
        <v>51</v>
      </c>
      <c r="S335" s="35" t="n">
        <f>328500</f>
        <v>328500.0</v>
      </c>
      <c r="T335" s="32" t="n">
        <f>63774</f>
        <v>63774.0</v>
      </c>
      <c r="U335" s="32" t="n">
        <f>11291</f>
        <v>11291.0</v>
      </c>
      <c r="V335" s="32" t="n">
        <f>20606716443</f>
        <v>2.0606716443E10</v>
      </c>
      <c r="W335" s="32" t="n">
        <f>3686952343</f>
        <v>3.686952343E9</v>
      </c>
      <c r="X335" s="36" t="n">
        <f>19</f>
        <v>19.0</v>
      </c>
    </row>
    <row r="336">
      <c r="A336" s="27" t="s">
        <v>42</v>
      </c>
      <c r="B336" s="27" t="s">
        <v>1056</v>
      </c>
      <c r="C336" s="27" t="s">
        <v>1057</v>
      </c>
      <c r="D336" s="27" t="s">
        <v>1058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167100</f>
        <v>167100.0</v>
      </c>
      <c r="L336" s="34" t="s">
        <v>48</v>
      </c>
      <c r="M336" s="33" t="n">
        <f>169100</f>
        <v>169100.0</v>
      </c>
      <c r="N336" s="34" t="s">
        <v>49</v>
      </c>
      <c r="O336" s="33" t="n">
        <f>149400</f>
        <v>149400.0</v>
      </c>
      <c r="P336" s="34" t="s">
        <v>86</v>
      </c>
      <c r="Q336" s="33" t="n">
        <f>161500</f>
        <v>161500.0</v>
      </c>
      <c r="R336" s="34" t="s">
        <v>51</v>
      </c>
      <c r="S336" s="35" t="n">
        <f>162305.26</f>
        <v>162305.26</v>
      </c>
      <c r="T336" s="32" t="n">
        <f>41550</f>
        <v>41550.0</v>
      </c>
      <c r="U336" s="32" t="n">
        <f>7087</f>
        <v>7087.0</v>
      </c>
      <c r="V336" s="32" t="n">
        <f>6667640317</f>
        <v>6.667640317E9</v>
      </c>
      <c r="W336" s="32" t="n">
        <f>1140881617</f>
        <v>1.140881617E9</v>
      </c>
      <c r="X336" s="36" t="n">
        <f>19</f>
        <v>19.0</v>
      </c>
    </row>
    <row r="337">
      <c r="A337" s="27" t="s">
        <v>42</v>
      </c>
      <c r="B337" s="27" t="s">
        <v>1059</v>
      </c>
      <c r="C337" s="27" t="s">
        <v>1060</v>
      </c>
      <c r="D337" s="27" t="s">
        <v>1061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711000</f>
        <v>711000.0</v>
      </c>
      <c r="L337" s="34" t="s">
        <v>48</v>
      </c>
      <c r="M337" s="33" t="n">
        <f>726000</f>
        <v>726000.0</v>
      </c>
      <c r="N337" s="34" t="s">
        <v>49</v>
      </c>
      <c r="O337" s="33" t="n">
        <f>628000</f>
        <v>628000.0</v>
      </c>
      <c r="P337" s="34" t="s">
        <v>86</v>
      </c>
      <c r="Q337" s="33" t="n">
        <f>696000</f>
        <v>696000.0</v>
      </c>
      <c r="R337" s="34" t="s">
        <v>51</v>
      </c>
      <c r="S337" s="35" t="n">
        <f>691684.21</f>
        <v>691684.21</v>
      </c>
      <c r="T337" s="32" t="n">
        <f>41223</f>
        <v>41223.0</v>
      </c>
      <c r="U337" s="32" t="n">
        <f>8130</f>
        <v>8130.0</v>
      </c>
      <c r="V337" s="32" t="n">
        <f>28253384376</f>
        <v>2.8253384376E10</v>
      </c>
      <c r="W337" s="32" t="n">
        <f>5560757376</f>
        <v>5.560757376E9</v>
      </c>
      <c r="X337" s="36" t="n">
        <f>19</f>
        <v>19.0</v>
      </c>
    </row>
    <row r="338">
      <c r="A338" s="27" t="s">
        <v>42</v>
      </c>
      <c r="B338" s="27" t="s">
        <v>1062</v>
      </c>
      <c r="C338" s="27" t="s">
        <v>1063</v>
      </c>
      <c r="D338" s="27" t="s">
        <v>1064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83800</f>
        <v>83800.0</v>
      </c>
      <c r="L338" s="34" t="s">
        <v>48</v>
      </c>
      <c r="M338" s="33" t="n">
        <f>84400</f>
        <v>84400.0</v>
      </c>
      <c r="N338" s="34" t="s">
        <v>49</v>
      </c>
      <c r="O338" s="33" t="n">
        <f>75500</f>
        <v>75500.0</v>
      </c>
      <c r="P338" s="34" t="s">
        <v>86</v>
      </c>
      <c r="Q338" s="33" t="n">
        <f>82000</f>
        <v>82000.0</v>
      </c>
      <c r="R338" s="34" t="s">
        <v>51</v>
      </c>
      <c r="S338" s="35" t="n">
        <f>81131.58</f>
        <v>81131.58</v>
      </c>
      <c r="T338" s="32" t="n">
        <f>100641</f>
        <v>100641.0</v>
      </c>
      <c r="U338" s="32" t="n">
        <f>21724</f>
        <v>21724.0</v>
      </c>
      <c r="V338" s="32" t="n">
        <f>8078652920</f>
        <v>8.07865292E9</v>
      </c>
      <c r="W338" s="32" t="n">
        <f>1744154320</f>
        <v>1.74415432E9</v>
      </c>
      <c r="X338" s="36" t="n">
        <f>19</f>
        <v>19.0</v>
      </c>
    </row>
    <row r="339">
      <c r="A339" s="27" t="s">
        <v>42</v>
      </c>
      <c r="B339" s="27" t="s">
        <v>1065</v>
      </c>
      <c r="C339" s="27" t="s">
        <v>1066</v>
      </c>
      <c r="D339" s="27" t="s">
        <v>1067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702000</f>
        <v>702000.0</v>
      </c>
      <c r="L339" s="34" t="s">
        <v>48</v>
      </c>
      <c r="M339" s="33" t="n">
        <f>729000</f>
        <v>729000.0</v>
      </c>
      <c r="N339" s="34" t="s">
        <v>51</v>
      </c>
      <c r="O339" s="33" t="n">
        <f>631000</f>
        <v>631000.0</v>
      </c>
      <c r="P339" s="34" t="s">
        <v>86</v>
      </c>
      <c r="Q339" s="33" t="n">
        <f>719000</f>
        <v>719000.0</v>
      </c>
      <c r="R339" s="34" t="s">
        <v>51</v>
      </c>
      <c r="S339" s="35" t="n">
        <f>691526.32</f>
        <v>691526.32</v>
      </c>
      <c r="T339" s="32" t="n">
        <f>36237</f>
        <v>36237.0</v>
      </c>
      <c r="U339" s="32" t="n">
        <f>7077</f>
        <v>7077.0</v>
      </c>
      <c r="V339" s="32" t="n">
        <f>24895751147</f>
        <v>2.4895751147E10</v>
      </c>
      <c r="W339" s="32" t="n">
        <f>4893829147</f>
        <v>4.893829147E9</v>
      </c>
      <c r="X339" s="36" t="n">
        <f>19</f>
        <v>19.0</v>
      </c>
    </row>
    <row r="340">
      <c r="A340" s="27" t="s">
        <v>42</v>
      </c>
      <c r="B340" s="27" t="s">
        <v>1068</v>
      </c>
      <c r="C340" s="27" t="s">
        <v>1069</v>
      </c>
      <c r="D340" s="27" t="s">
        <v>1070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158800</f>
        <v>158800.0</v>
      </c>
      <c r="L340" s="34" t="s">
        <v>48</v>
      </c>
      <c r="M340" s="33" t="n">
        <f>160300</f>
        <v>160300.0</v>
      </c>
      <c r="N340" s="34" t="s">
        <v>49</v>
      </c>
      <c r="O340" s="33" t="n">
        <f>137600</f>
        <v>137600.0</v>
      </c>
      <c r="P340" s="34" t="s">
        <v>86</v>
      </c>
      <c r="Q340" s="33" t="n">
        <f>148600</f>
        <v>148600.0</v>
      </c>
      <c r="R340" s="34" t="s">
        <v>51</v>
      </c>
      <c r="S340" s="35" t="n">
        <f>151900</f>
        <v>151900.0</v>
      </c>
      <c r="T340" s="32" t="n">
        <f>35635</f>
        <v>35635.0</v>
      </c>
      <c r="U340" s="32" t="n">
        <f>5868</f>
        <v>5868.0</v>
      </c>
      <c r="V340" s="32" t="n">
        <f>5325953962</f>
        <v>5.325953962E9</v>
      </c>
      <c r="W340" s="32" t="n">
        <f>879148862</f>
        <v>8.79148862E8</v>
      </c>
      <c r="X340" s="36" t="n">
        <f>19</f>
        <v>19.0</v>
      </c>
    </row>
    <row r="341">
      <c r="A341" s="27" t="s">
        <v>42</v>
      </c>
      <c r="B341" s="27" t="s">
        <v>1071</v>
      </c>
      <c r="C341" s="27" t="s">
        <v>1072</v>
      </c>
      <c r="D341" s="27" t="s">
        <v>1073</v>
      </c>
      <c r="E341" s="28" t="s">
        <v>46</v>
      </c>
      <c r="F341" s="29" t="s">
        <v>46</v>
      </c>
      <c r="G341" s="30" t="s">
        <v>46</v>
      </c>
      <c r="H341" s="31"/>
      <c r="I341" s="31" t="s">
        <v>602</v>
      </c>
      <c r="J341" s="32" t="n">
        <v>1.0</v>
      </c>
      <c r="K341" s="33" t="n">
        <f>237900</f>
        <v>237900.0</v>
      </c>
      <c r="L341" s="34" t="s">
        <v>48</v>
      </c>
      <c r="M341" s="33" t="n">
        <f>240700</f>
        <v>240700.0</v>
      </c>
      <c r="N341" s="34" t="s">
        <v>49</v>
      </c>
      <c r="O341" s="33" t="n">
        <f>201000</f>
        <v>201000.0</v>
      </c>
      <c r="P341" s="34" t="s">
        <v>86</v>
      </c>
      <c r="Q341" s="33" t="n">
        <f>215200</f>
        <v>215200.0</v>
      </c>
      <c r="R341" s="34" t="s">
        <v>51</v>
      </c>
      <c r="S341" s="35" t="n">
        <f>221805.26</f>
        <v>221805.26</v>
      </c>
      <c r="T341" s="32" t="n">
        <f>15344</f>
        <v>15344.0</v>
      </c>
      <c r="U341" s="32" t="n">
        <f>2035</f>
        <v>2035.0</v>
      </c>
      <c r="V341" s="32" t="n">
        <f>3346822742</f>
        <v>3.346822742E9</v>
      </c>
      <c r="W341" s="32" t="n">
        <f>442837642</f>
        <v>4.42837642E8</v>
      </c>
      <c r="X341" s="36" t="n">
        <f>19</f>
        <v>19.0</v>
      </c>
    </row>
    <row r="342">
      <c r="A342" s="27" t="s">
        <v>42</v>
      </c>
      <c r="B342" s="27" t="s">
        <v>1074</v>
      </c>
      <c r="C342" s="27" t="s">
        <v>1075</v>
      </c>
      <c r="D342" s="27" t="s">
        <v>1076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349500</f>
        <v>349500.0</v>
      </c>
      <c r="L342" s="34" t="s">
        <v>48</v>
      </c>
      <c r="M342" s="33" t="n">
        <f>354000</f>
        <v>354000.0</v>
      </c>
      <c r="N342" s="34" t="s">
        <v>48</v>
      </c>
      <c r="O342" s="33" t="n">
        <f>308500</f>
        <v>308500.0</v>
      </c>
      <c r="P342" s="34" t="s">
        <v>86</v>
      </c>
      <c r="Q342" s="33" t="n">
        <f>342000</f>
        <v>342000.0</v>
      </c>
      <c r="R342" s="34" t="s">
        <v>51</v>
      </c>
      <c r="S342" s="35" t="n">
        <f>339157.89</f>
        <v>339157.89</v>
      </c>
      <c r="T342" s="32" t="n">
        <f>164678</f>
        <v>164678.0</v>
      </c>
      <c r="U342" s="32" t="n">
        <f>33419</f>
        <v>33419.0</v>
      </c>
      <c r="V342" s="32" t="n">
        <f>55306574337</f>
        <v>5.5306574337E10</v>
      </c>
      <c r="W342" s="32" t="n">
        <f>11232184837</f>
        <v>1.1232184837E10</v>
      </c>
      <c r="X342" s="36" t="n">
        <f>19</f>
        <v>19.0</v>
      </c>
    </row>
    <row r="343">
      <c r="A343" s="27" t="s">
        <v>42</v>
      </c>
      <c r="B343" s="27" t="s">
        <v>1077</v>
      </c>
      <c r="C343" s="27" t="s">
        <v>1078</v>
      </c>
      <c r="D343" s="27" t="s">
        <v>1079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56600</f>
        <v>56600.0</v>
      </c>
      <c r="L343" s="34" t="s">
        <v>48</v>
      </c>
      <c r="M343" s="33" t="n">
        <f>58900</f>
        <v>58900.0</v>
      </c>
      <c r="N343" s="34" t="s">
        <v>49</v>
      </c>
      <c r="O343" s="33" t="n">
        <f>53100</f>
        <v>53100.0</v>
      </c>
      <c r="P343" s="34" t="s">
        <v>86</v>
      </c>
      <c r="Q343" s="33" t="n">
        <f>55800</f>
        <v>55800.0</v>
      </c>
      <c r="R343" s="34" t="s">
        <v>51</v>
      </c>
      <c r="S343" s="35" t="n">
        <f>56005.26</f>
        <v>56005.26</v>
      </c>
      <c r="T343" s="32" t="n">
        <f>488537</f>
        <v>488537.0</v>
      </c>
      <c r="U343" s="32" t="n">
        <f>99113</f>
        <v>99113.0</v>
      </c>
      <c r="V343" s="32" t="n">
        <f>27340382063</f>
        <v>2.7340382063E10</v>
      </c>
      <c r="W343" s="32" t="n">
        <f>5555395763</f>
        <v>5.555395763E9</v>
      </c>
      <c r="X343" s="36" t="n">
        <f>19</f>
        <v>19.0</v>
      </c>
    </row>
    <row r="344">
      <c r="A344" s="27" t="s">
        <v>42</v>
      </c>
      <c r="B344" s="27" t="s">
        <v>1080</v>
      </c>
      <c r="C344" s="27" t="s">
        <v>1081</v>
      </c>
      <c r="D344" s="27" t="s">
        <v>1082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118400</f>
        <v>118400.0</v>
      </c>
      <c r="L344" s="34" t="s">
        <v>48</v>
      </c>
      <c r="M344" s="33" t="n">
        <f>119600</f>
        <v>119600.0</v>
      </c>
      <c r="N344" s="34" t="s">
        <v>48</v>
      </c>
      <c r="O344" s="33" t="n">
        <f>101800</f>
        <v>101800.0</v>
      </c>
      <c r="P344" s="34" t="s">
        <v>86</v>
      </c>
      <c r="Q344" s="33" t="n">
        <f>112200</f>
        <v>112200.0</v>
      </c>
      <c r="R344" s="34" t="s">
        <v>51</v>
      </c>
      <c r="S344" s="35" t="n">
        <f>112542.11</f>
        <v>112542.11</v>
      </c>
      <c r="T344" s="32" t="n">
        <f>153499</f>
        <v>153499.0</v>
      </c>
      <c r="U344" s="32" t="n">
        <f>36548</f>
        <v>36548.0</v>
      </c>
      <c r="V344" s="32" t="n">
        <f>17083108239</f>
        <v>1.7083108239E10</v>
      </c>
      <c r="W344" s="32" t="n">
        <f>4081130539</f>
        <v>4.081130539E9</v>
      </c>
      <c r="X344" s="36" t="n">
        <f>19</f>
        <v>19.0</v>
      </c>
    </row>
    <row r="345">
      <c r="A345" s="27" t="s">
        <v>42</v>
      </c>
      <c r="B345" s="27" t="s">
        <v>1083</v>
      </c>
      <c r="C345" s="27" t="s">
        <v>1084</v>
      </c>
      <c r="D345" s="27" t="s">
        <v>1085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134000</f>
        <v>134000.0</v>
      </c>
      <c r="L345" s="34" t="s">
        <v>48</v>
      </c>
      <c r="M345" s="33" t="n">
        <f>136500</f>
        <v>136500.0</v>
      </c>
      <c r="N345" s="34" t="s">
        <v>402</v>
      </c>
      <c r="O345" s="33" t="n">
        <f>118100</f>
        <v>118100.0</v>
      </c>
      <c r="P345" s="34" t="s">
        <v>86</v>
      </c>
      <c r="Q345" s="33" t="n">
        <f>131900</f>
        <v>131900.0</v>
      </c>
      <c r="R345" s="34" t="s">
        <v>51</v>
      </c>
      <c r="S345" s="35" t="n">
        <f>130278.95</f>
        <v>130278.95</v>
      </c>
      <c r="T345" s="32" t="n">
        <f>100873</f>
        <v>100873.0</v>
      </c>
      <c r="U345" s="32" t="n">
        <f>16795</f>
        <v>16795.0</v>
      </c>
      <c r="V345" s="32" t="n">
        <f>12950281368</f>
        <v>1.2950281368E10</v>
      </c>
      <c r="W345" s="32" t="n">
        <f>2164290468</f>
        <v>2.164290468E9</v>
      </c>
      <c r="X345" s="36" t="n">
        <f>19</f>
        <v>19.0</v>
      </c>
    </row>
    <row r="346">
      <c r="A346" s="27" t="s">
        <v>42</v>
      </c>
      <c r="B346" s="27" t="s">
        <v>1086</v>
      </c>
      <c r="C346" s="27" t="s">
        <v>1087</v>
      </c>
      <c r="D346" s="27" t="s">
        <v>1088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110900</f>
        <v>110900.0</v>
      </c>
      <c r="L346" s="34" t="s">
        <v>48</v>
      </c>
      <c r="M346" s="33" t="n">
        <f>112300</f>
        <v>112300.0</v>
      </c>
      <c r="N346" s="34" t="s">
        <v>49</v>
      </c>
      <c r="O346" s="33" t="n">
        <f>106800</f>
        <v>106800.0</v>
      </c>
      <c r="P346" s="34" t="s">
        <v>86</v>
      </c>
      <c r="Q346" s="33" t="n">
        <f>108700</f>
        <v>108700.0</v>
      </c>
      <c r="R346" s="34" t="s">
        <v>51</v>
      </c>
      <c r="S346" s="35" t="n">
        <f>109847.37</f>
        <v>109847.37</v>
      </c>
      <c r="T346" s="32" t="n">
        <f>30924</f>
        <v>30924.0</v>
      </c>
      <c r="U346" s="32" t="n">
        <f>3120</f>
        <v>3120.0</v>
      </c>
      <c r="V346" s="32" t="n">
        <f>3395188653</f>
        <v>3.395188653E9</v>
      </c>
      <c r="W346" s="32" t="n">
        <f>337811553</f>
        <v>3.37811553E8</v>
      </c>
      <c r="X346" s="36" t="n">
        <f>19</f>
        <v>19.0</v>
      </c>
    </row>
    <row r="347">
      <c r="A347" s="27" t="s">
        <v>42</v>
      </c>
      <c r="B347" s="27" t="s">
        <v>1089</v>
      </c>
      <c r="C347" s="27" t="s">
        <v>1090</v>
      </c>
      <c r="D347" s="27" t="s">
        <v>1091</v>
      </c>
      <c r="E347" s="28" t="s">
        <v>46</v>
      </c>
      <c r="F347" s="29" t="s">
        <v>46</v>
      </c>
      <c r="G347" s="30" t="s">
        <v>46</v>
      </c>
      <c r="H347" s="31"/>
      <c r="I347" s="31" t="s">
        <v>602</v>
      </c>
      <c r="J347" s="32" t="n">
        <v>1.0</v>
      </c>
      <c r="K347" s="33" t="n">
        <f>67700</f>
        <v>67700.0</v>
      </c>
      <c r="L347" s="34" t="s">
        <v>48</v>
      </c>
      <c r="M347" s="33" t="n">
        <f>69500</f>
        <v>69500.0</v>
      </c>
      <c r="N347" s="34" t="s">
        <v>194</v>
      </c>
      <c r="O347" s="33" t="n">
        <f>65200</f>
        <v>65200.0</v>
      </c>
      <c r="P347" s="34" t="s">
        <v>86</v>
      </c>
      <c r="Q347" s="33" t="n">
        <f>66500</f>
        <v>66500.0</v>
      </c>
      <c r="R347" s="34" t="s">
        <v>51</v>
      </c>
      <c r="S347" s="35" t="n">
        <f>67415.79</f>
        <v>67415.79</v>
      </c>
      <c r="T347" s="32" t="n">
        <f>2344</f>
        <v>2344.0</v>
      </c>
      <c r="U347" s="32" t="n">
        <f>2</f>
        <v>2.0</v>
      </c>
      <c r="V347" s="32" t="n">
        <f>158398500</f>
        <v>1.583985E8</v>
      </c>
      <c r="W347" s="32" t="n">
        <f>133000</f>
        <v>133000.0</v>
      </c>
      <c r="X347" s="36" t="n">
        <f>19</f>
        <v>19.0</v>
      </c>
    </row>
    <row r="348">
      <c r="A348" s="27" t="s">
        <v>42</v>
      </c>
      <c r="B348" s="27" t="s">
        <v>1092</v>
      </c>
      <c r="C348" s="27" t="s">
        <v>1093</v>
      </c>
      <c r="D348" s="27" t="s">
        <v>1094</v>
      </c>
      <c r="E348" s="28" t="s">
        <v>46</v>
      </c>
      <c r="F348" s="29" t="s">
        <v>46</v>
      </c>
      <c r="G348" s="30" t="s">
        <v>46</v>
      </c>
      <c r="H348" s="31"/>
      <c r="I348" s="31" t="s">
        <v>602</v>
      </c>
      <c r="J348" s="32" t="n">
        <v>1.0</v>
      </c>
      <c r="K348" s="33" t="n">
        <f>106700</f>
        <v>106700.0</v>
      </c>
      <c r="L348" s="34" t="s">
        <v>48</v>
      </c>
      <c r="M348" s="33" t="n">
        <f>107400</f>
        <v>107400.0</v>
      </c>
      <c r="N348" s="34" t="s">
        <v>49</v>
      </c>
      <c r="O348" s="33" t="n">
        <f>100500</f>
        <v>100500.0</v>
      </c>
      <c r="P348" s="34" t="s">
        <v>69</v>
      </c>
      <c r="Q348" s="33" t="n">
        <f>101400</f>
        <v>101400.0</v>
      </c>
      <c r="R348" s="34" t="s">
        <v>51</v>
      </c>
      <c r="S348" s="35" t="n">
        <f>105963.16</f>
        <v>105963.16</v>
      </c>
      <c r="T348" s="32" t="n">
        <f>9872</f>
        <v>9872.0</v>
      </c>
      <c r="U348" s="32" t="n">
        <f>934</f>
        <v>934.0</v>
      </c>
      <c r="V348" s="32" t="n">
        <f>1038411184</f>
        <v>1.038411184E9</v>
      </c>
      <c r="W348" s="32" t="n">
        <f>99672184</f>
        <v>9.9672184E7</v>
      </c>
      <c r="X348" s="36" t="n">
        <f>19</f>
        <v>19.0</v>
      </c>
    </row>
    <row r="349">
      <c r="A349" s="27" t="s">
        <v>42</v>
      </c>
      <c r="B349" s="27" t="s">
        <v>1095</v>
      </c>
      <c r="C349" s="27" t="s">
        <v>1096</v>
      </c>
      <c r="D349" s="27" t="s">
        <v>1097</v>
      </c>
      <c r="E349" s="28" t="s">
        <v>46</v>
      </c>
      <c r="F349" s="29" t="s">
        <v>46</v>
      </c>
      <c r="G349" s="30" t="s">
        <v>46</v>
      </c>
      <c r="H349" s="31"/>
      <c r="I349" s="31" t="s">
        <v>602</v>
      </c>
      <c r="J349" s="32" t="n">
        <v>1.0</v>
      </c>
      <c r="K349" s="33" t="n">
        <f>123100</f>
        <v>123100.0</v>
      </c>
      <c r="L349" s="34" t="s">
        <v>48</v>
      </c>
      <c r="M349" s="33" t="n">
        <f>123900</f>
        <v>123900.0</v>
      </c>
      <c r="N349" s="34" t="s">
        <v>61</v>
      </c>
      <c r="O349" s="33" t="n">
        <f>119600</f>
        <v>119600.0</v>
      </c>
      <c r="P349" s="34" t="s">
        <v>50</v>
      </c>
      <c r="Q349" s="33" t="n">
        <f>120800</f>
        <v>120800.0</v>
      </c>
      <c r="R349" s="34" t="s">
        <v>51</v>
      </c>
      <c r="S349" s="35" t="n">
        <f>122100</f>
        <v>122100.0</v>
      </c>
      <c r="T349" s="32" t="n">
        <f>6707</f>
        <v>6707.0</v>
      </c>
      <c r="U349" s="32" t="n">
        <f>156</f>
        <v>156.0</v>
      </c>
      <c r="V349" s="32" t="n">
        <f>818363602</f>
        <v>8.18363602E8</v>
      </c>
      <c r="W349" s="32" t="n">
        <f>18540002</f>
        <v>1.8540002E7</v>
      </c>
      <c r="X349" s="36" t="n">
        <f>19</f>
        <v>19.0</v>
      </c>
    </row>
    <row r="350">
      <c r="A350" s="27" t="s">
        <v>42</v>
      </c>
      <c r="B350" s="27" t="s">
        <v>1098</v>
      </c>
      <c r="C350" s="27" t="s">
        <v>1099</v>
      </c>
      <c r="D350" s="27" t="s">
        <v>1100</v>
      </c>
      <c r="E350" s="28" t="s">
        <v>46</v>
      </c>
      <c r="F350" s="29" t="s">
        <v>46</v>
      </c>
      <c r="G350" s="30" t="s">
        <v>46</v>
      </c>
      <c r="H350" s="31"/>
      <c r="I350" s="31" t="s">
        <v>602</v>
      </c>
      <c r="J350" s="32" t="n">
        <v>1.0</v>
      </c>
      <c r="K350" s="33" t="n">
        <f>96600</f>
        <v>96600.0</v>
      </c>
      <c r="L350" s="34" t="s">
        <v>48</v>
      </c>
      <c r="M350" s="33" t="n">
        <f>97100</f>
        <v>97100.0</v>
      </c>
      <c r="N350" s="34" t="s">
        <v>49</v>
      </c>
      <c r="O350" s="33" t="n">
        <f>93500</f>
        <v>93500.0</v>
      </c>
      <c r="P350" s="34" t="s">
        <v>50</v>
      </c>
      <c r="Q350" s="33" t="n">
        <f>94200</f>
        <v>94200.0</v>
      </c>
      <c r="R350" s="34" t="s">
        <v>51</v>
      </c>
      <c r="S350" s="35" t="n">
        <f>95731.58</f>
        <v>95731.58</v>
      </c>
      <c r="T350" s="32" t="n">
        <f>3887</f>
        <v>3887.0</v>
      </c>
      <c r="U350" s="32" t="n">
        <f>469</f>
        <v>469.0</v>
      </c>
      <c r="V350" s="32" t="n">
        <f>370893700</f>
        <v>3.708937E8</v>
      </c>
      <c r="W350" s="32" t="n">
        <f>43641300</f>
        <v>4.36413E7</v>
      </c>
      <c r="X350" s="36" t="n">
        <f>19</f>
        <v>19.0</v>
      </c>
    </row>
    <row r="351">
      <c r="A351" s="27" t="s">
        <v>42</v>
      </c>
      <c r="B351" s="27" t="s">
        <v>1101</v>
      </c>
      <c r="C351" s="27" t="s">
        <v>1102</v>
      </c>
      <c r="D351" s="27" t="s">
        <v>1103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91800</f>
        <v>91800.0</v>
      </c>
      <c r="L351" s="34" t="s">
        <v>48</v>
      </c>
      <c r="M351" s="33" t="n">
        <f>91800</f>
        <v>91800.0</v>
      </c>
      <c r="N351" s="34" t="s">
        <v>48</v>
      </c>
      <c r="O351" s="33" t="n">
        <f>88000</f>
        <v>88000.0</v>
      </c>
      <c r="P351" s="34" t="s">
        <v>50</v>
      </c>
      <c r="Q351" s="33" t="n">
        <f>89900</f>
        <v>89900.0</v>
      </c>
      <c r="R351" s="34" t="s">
        <v>51</v>
      </c>
      <c r="S351" s="35" t="n">
        <f>90563.16</f>
        <v>90563.16</v>
      </c>
      <c r="T351" s="32" t="n">
        <f>20875</f>
        <v>20875.0</v>
      </c>
      <c r="U351" s="32" t="n">
        <f>414</f>
        <v>414.0</v>
      </c>
      <c r="V351" s="32" t="n">
        <f>1886919840</f>
        <v>1.88691984E9</v>
      </c>
      <c r="W351" s="32" t="n">
        <f>37473940</f>
        <v>3.747394E7</v>
      </c>
      <c r="X351" s="36" t="n">
        <f>19</f>
        <v>19.0</v>
      </c>
    </row>
    <row r="352">
      <c r="A352" s="27" t="s">
        <v>42</v>
      </c>
      <c r="B352" s="27" t="s">
        <v>1104</v>
      </c>
      <c r="C352" s="27" t="s">
        <v>1105</v>
      </c>
      <c r="D352" s="27" t="s">
        <v>1106</v>
      </c>
      <c r="E352" s="28" t="s">
        <v>46</v>
      </c>
      <c r="F352" s="29" t="s">
        <v>46</v>
      </c>
      <c r="G352" s="30" t="s">
        <v>46</v>
      </c>
      <c r="H352" s="31"/>
      <c r="I352" s="31" t="s">
        <v>602</v>
      </c>
      <c r="J352" s="32" t="n">
        <v>1.0</v>
      </c>
      <c r="K352" s="33" t="n">
        <f>92200</f>
        <v>92200.0</v>
      </c>
      <c r="L352" s="34" t="s">
        <v>48</v>
      </c>
      <c r="M352" s="33" t="n">
        <f>92400</f>
        <v>92400.0</v>
      </c>
      <c r="N352" s="34" t="s">
        <v>48</v>
      </c>
      <c r="O352" s="33" t="n">
        <f>90100</f>
        <v>90100.0</v>
      </c>
      <c r="P352" s="34" t="s">
        <v>69</v>
      </c>
      <c r="Q352" s="33" t="n">
        <f>90400</f>
        <v>90400.0</v>
      </c>
      <c r="R352" s="34" t="s">
        <v>51</v>
      </c>
      <c r="S352" s="35" t="n">
        <f>91289.47</f>
        <v>91289.47</v>
      </c>
      <c r="T352" s="32" t="n">
        <f>11886</f>
        <v>11886.0</v>
      </c>
      <c r="U352" s="32" t="n">
        <f>64</f>
        <v>64.0</v>
      </c>
      <c r="V352" s="32" t="n">
        <f>1084885400</f>
        <v>1.0848854E9</v>
      </c>
      <c r="W352" s="32" t="n">
        <f>5721200</f>
        <v>5721200.0</v>
      </c>
      <c r="X352" s="36" t="n">
        <f>19</f>
        <v>19.0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