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<sst xmlns="http://schemas.openxmlformats.org/spreadsheetml/2006/main" count="4335" uniqueCount="1150">
  <si>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</si>
  <si>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</si>
  <si>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</si>
  <si>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</si>
  <si>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</si>
  <si>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</si>
  <si>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</si>
  <si>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</si>
  <si>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</si>
  <si>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</si>
  <si>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</si>
  <si>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</si>
  <si>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</si>
  <si>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</si>
  <si>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</si>
  <si>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</si>
  <si>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</si>
  <si>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</si>
  <si>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</si>
  <si>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</si>
  <si>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</si>
  <si>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</si>
  <si>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</si>
  <si>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</si>
  <si>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</si>
  <si>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</si>
  <si>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</si>
  <si>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</si>
  <si>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</si>
  <si>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</si>
  <si>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</si>
  <si>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</si>
  <si>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</si>
  <si>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</si>
  <si>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</si>
  <si>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</si>
  <si>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</si>
  <si>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</si>
  <si>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</si>
  <si>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</si>
  <si>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</si>
  <si>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</si>
  <si>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2022/03</t>
  </si>
  <si>
    <t>1305</t>
  </si>
  <si>
    <t>ダイワ上場投信－トピックス　受益証券</t>
  </si>
  <si>
    <t>Daiwa ETF-TOPIX</t>
  </si>
  <si>
    <t/>
  </si>
  <si>
    <t>貸借</t>
  </si>
  <si>
    <t>1</t>
  </si>
  <si>
    <t>31</t>
  </si>
  <si>
    <t>9</t>
  </si>
  <si>
    <t>1306</t>
  </si>
  <si>
    <t>ＮＥＸＴ　ＦＵＮＤＳ　ＴＯＰＩＸ連動型上場投信　受益証券</t>
  </si>
  <si>
    <t>NEXT FUNDS TOPIX Exchange Traded Fund</t>
  </si>
  <si>
    <t>30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</si>
  <si>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</si>
  <si>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</si>
  <si>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</si>
  <si>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</si>
  <si>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</si>
  <si>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</si>
  <si>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</t>
  </si>
  <si>
    <t>16</t>
  </si>
  <si>
    <t>1311</t>
  </si>
  <si>
    <t>ＮＥＸＴ　ＦＵＮＤＳ　ＴＯＰＩＸ　Ｃｏｒｅ　３０連動型上場投信　受益証券</t>
  </si>
  <si>
    <t>NEXT FUNDS TOPIX Core 30 Exchange Traded Fund</t>
  </si>
  <si>
    <t>8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</si>
  <si>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</si>
  <si>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</si>
  <si>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</si>
  <si>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23</t>
  </si>
  <si>
    <t>7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</si>
  <si>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</si>
  <si>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</si>
  <si>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</si>
  <si>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</si>
  <si>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</si>
  <si>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</si>
  <si>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25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</si>
  <si>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</si>
  <si>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</si>
  <si>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</si>
  <si>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</si>
  <si>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</si>
  <si>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</si>
  <si>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</si>
  <si>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</si>
  <si>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</si>
  <si>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</si>
  <si>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</si>
  <si>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</si>
  <si>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確</t>
  </si>
  <si>
    <t>1324</t>
  </si>
  <si>
    <t>ＮＥＸＴ　ＦＵＮＤＳ　ロシア株式指数・ＲＴＳ連動型上場投信　受益証券</t>
  </si>
  <si>
    <t>NEXT FUNDS Russia RTS Linked Exchange Traded Fund</t>
  </si>
  <si>
    <t>3</t>
  </si>
  <si>
    <t>15</t>
  </si>
  <si>
    <t>1325</t>
  </si>
  <si>
    <t>ＮＥＸＴ　ＦＵＮＤＳ　ブラジル株式指数・ボベスパ連動型上場投信　受益証券</t>
  </si>
  <si>
    <t>NEXT FUNDS Ibovespa Linked Exchange Traded Fund</t>
  </si>
  <si>
    <t>29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</si>
  <si>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</si>
  <si>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</si>
  <si>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</si>
  <si>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</si>
  <si>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</si>
  <si>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</si>
  <si>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</si>
  <si>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</si>
  <si>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</si>
  <si>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</si>
  <si>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</si>
  <si>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</si>
  <si>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</si>
  <si>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</si>
  <si>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</si>
  <si>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</si>
  <si>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</si>
  <si>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</si>
  <si>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</si>
  <si>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</si>
  <si>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</si>
  <si>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</si>
  <si>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</si>
  <si>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</si>
  <si>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</si>
  <si>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</si>
  <si>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</si>
  <si>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</si>
  <si>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</si>
  <si>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</si>
  <si>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</si>
  <si>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</si>
  <si>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</si>
  <si>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</si>
  <si>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</si>
  <si>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</si>
  <si>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</si>
  <si>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</si>
  <si>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</si>
  <si>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</si>
  <si>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</si>
  <si>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</si>
  <si>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11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</si>
  <si>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</si>
  <si>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</si>
  <si>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</si>
  <si>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</si>
  <si>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</si>
  <si>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</si>
  <si>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</si>
  <si>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</si>
  <si>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</si>
  <si>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</si>
  <si>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</si>
  <si>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</si>
  <si>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</si>
  <si>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</si>
  <si>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</si>
  <si>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</si>
  <si>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</si>
  <si>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</si>
  <si>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</si>
  <si>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</si>
  <si>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</si>
  <si>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</si>
  <si>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</si>
  <si>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</si>
  <si>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</si>
  <si>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</si>
  <si>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</si>
  <si>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</si>
  <si>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</si>
  <si>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</si>
  <si>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</si>
  <si>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</si>
  <si>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</si>
  <si>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</si>
  <si>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</si>
  <si>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</si>
  <si>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</si>
  <si>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</si>
  <si>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</si>
  <si>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</si>
  <si>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</si>
  <si>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</si>
  <si>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</si>
  <si>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</si>
  <si>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</si>
  <si>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</si>
  <si>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</si>
  <si>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</si>
  <si>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</si>
  <si>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</si>
  <si>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</si>
  <si>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</si>
  <si>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</si>
  <si>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</si>
  <si>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24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</si>
  <si>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</si>
  <si>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</si>
  <si>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</si>
  <si>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</si>
  <si>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</si>
  <si>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</si>
  <si>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</si>
  <si>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</si>
  <si>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</si>
  <si>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</si>
  <si>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</si>
  <si>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</si>
  <si>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</si>
  <si>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</si>
  <si>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</si>
  <si>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</si>
  <si>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</si>
  <si>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</si>
  <si>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</si>
  <si>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</si>
  <si>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</si>
  <si>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</si>
  <si>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</si>
  <si>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</si>
  <si>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</si>
  <si>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</si>
  <si>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</si>
  <si>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10</t>
  </si>
  <si>
    <t>28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</si>
  <si>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</si>
  <si>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</si>
  <si>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</si>
  <si>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</si>
  <si>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</si>
  <si>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</si>
  <si>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 xml:space="preserve">上場廃止  </t>
  </si>
  <si>
    <t xml:space="preserve">Removal  </t>
  </si>
  <si>
    <t xml:space="preserve">2022/03/19  </t>
  </si>
  <si>
    <t>整</t>
  </si>
  <si>
    <t>18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</si>
  <si>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</si>
  <si>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</si>
  <si>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</si>
  <si>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</si>
  <si>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</si>
  <si>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</si>
  <si>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</si>
  <si>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</si>
  <si>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</si>
  <si>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</si>
  <si>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</si>
  <si>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</si>
  <si>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</si>
  <si>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</si>
  <si>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</si>
  <si>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</si>
  <si>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</si>
  <si>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</si>
  <si>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</si>
  <si>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</si>
  <si>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</si>
  <si>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</si>
  <si>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</si>
  <si>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</si>
  <si>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</si>
  <si>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</si>
  <si>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</si>
  <si>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</si>
  <si>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</si>
  <si>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</si>
  <si>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</si>
  <si>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</si>
  <si>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</si>
  <si>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</si>
  <si>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</si>
  <si>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</si>
  <si>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</si>
  <si>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</si>
  <si>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</si>
  <si>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</si>
  <si>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</si>
  <si>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</si>
  <si>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</si>
  <si>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</si>
  <si>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</si>
  <si>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</si>
  <si>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</si>
  <si>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</si>
  <si>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</si>
  <si>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</si>
  <si>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</si>
  <si>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</si>
  <si>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</si>
  <si>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</si>
  <si>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</si>
  <si>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</si>
  <si>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</si>
  <si>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4</t>
  </si>
  <si>
    <t>22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</si>
  <si>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</si>
  <si>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</si>
  <si>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</si>
  <si>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</si>
  <si>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</si>
  <si>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</si>
  <si>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</si>
  <si>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</si>
  <si>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</si>
  <si>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</si>
  <si>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</si>
  <si>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</si>
  <si>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</si>
  <si>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</si>
  <si>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</si>
  <si>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</si>
  <si>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</si>
  <si>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</si>
  <si>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</si>
  <si>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</si>
  <si>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</si>
  <si>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</si>
  <si>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</si>
  <si>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</si>
  <si>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</si>
  <si>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</si>
  <si>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</si>
  <si>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</si>
  <si>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</si>
  <si>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</si>
  <si>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</si>
  <si>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</si>
  <si>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</si>
  <si>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</si>
  <si>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</si>
  <si>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</si>
  <si>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</si>
  <si>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</si>
  <si>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</si>
  <si>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</si>
  <si>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</si>
  <si>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</si>
  <si>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</si>
  <si>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</si>
  <si>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</si>
  <si>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</si>
  <si>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</si>
  <si>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</si>
  <si>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</si>
  <si>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</si>
  <si>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</si>
  <si>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</si>
  <si>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</si>
  <si>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</si>
  <si>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</si>
  <si>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</si>
  <si>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</si>
  <si>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</si>
  <si>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</si>
  <si>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</si>
  <si>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</si>
  <si>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</si>
  <si>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</si>
  <si>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</si>
  <si>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</si>
  <si>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</si>
  <si>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17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</si>
  <si>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</si>
  <si>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</si>
  <si>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</si>
  <si>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</si>
  <si>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</si>
  <si>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</si>
  <si>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</si>
  <si>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</si>
  <si>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</si>
  <si>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</si>
  <si>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</si>
  <si>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</si>
  <si>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</si>
  <si>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</si>
  <si>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</si>
  <si>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</si>
  <si>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</si>
  <si>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</si>
  <si>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</si>
  <si>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</si>
  <si>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</si>
  <si>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</si>
  <si>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</si>
  <si>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</si>
  <si>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</si>
  <si>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</si>
  <si>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</si>
  <si>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</si>
  <si>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</si>
  <si>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</si>
  <si>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14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</si>
  <si>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</si>
  <si>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</si>
  <si>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</si>
  <si>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</si>
  <si>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</si>
  <si>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</si>
  <si>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</si>
  <si>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</si>
  <si>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</si>
  <si>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</si>
  <si>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</si>
  <si>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</si>
  <si>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</si>
  <si>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</si>
  <si>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</si>
  <si>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</si>
  <si>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</si>
  <si>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</si>
  <si>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</si>
  <si>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</si>
  <si>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</si>
  <si>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</si>
  <si>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</si>
  <si>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</si>
  <si>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</si>
  <si>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</si>
  <si>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</si>
  <si>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</si>
  <si>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</si>
  <si>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</si>
  <si>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</si>
  <si>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</si>
  <si>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</si>
  <si>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</si>
  <si>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</si>
  <si>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</si>
  <si>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</si>
  <si>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</si>
  <si>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</si>
  <si>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</si>
  <si>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</si>
  <si>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</si>
  <si>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</si>
  <si>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</si>
  <si>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</si>
  <si>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</si>
  <si>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</si>
  <si>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</si>
  <si>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</si>
  <si>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</si>
  <si>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</si>
  <si>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</si>
  <si>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</si>
  <si>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</si>
  <si>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</si>
  <si>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</si>
  <si>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</si>
  <si>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</si>
  <si>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</si>
  <si>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</si>
  <si>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</si>
  <si>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</si>
  <si>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</si>
  <si>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</si>
  <si>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</si>
  <si>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</si>
  <si>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</si>
  <si>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</si>
  <si>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</si>
  <si>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</si>
  <si>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</si>
  <si>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</si>
  <si>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</si>
  <si>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</si>
  <si>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</si>
  <si>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</si>
  <si>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</si>
  <si>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</si>
  <si>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</si>
  <si>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</si>
  <si>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</si>
  <si>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</si>
  <si>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</si>
  <si>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</si>
  <si>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</si>
  <si>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</si>
  <si>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</si>
  <si>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</si>
  <si>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</si>
  <si>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</si>
  <si>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</si>
  <si>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</si>
  <si>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</si>
  <si>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</si>
  <si>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</si>
  <si>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</si>
  <si>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</si>
  <si>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</si>
  <si>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</si>
  <si>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</si>
  <si>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</si>
  <si>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</si>
  <si>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</si>
  <si>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</si>
  <si>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</si>
  <si>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</si>
  <si>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</si>
  <si>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</si>
  <si>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</si>
  <si>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</si>
  <si>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</si>
  <si>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</si>
  <si>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</si>
  <si>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</si>
  <si>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</si>
  <si>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</si>
  <si>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</si>
  <si>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</si>
  <si>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</si>
  <si>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</si>
  <si>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</si>
  <si>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</si>
  <si>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</si>
  <si>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</si>
  <si>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</si>
  <si>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</si>
  <si>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</si>
  <si>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</si>
  <si>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</si>
  <si>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</si>
  <si>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</si>
  <si>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</si>
  <si>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</si>
  <si>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</si>
  <si>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</si>
  <si>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</si>
  <si>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</si>
  <si>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</si>
  <si>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</si>
  <si>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</si>
  <si>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</si>
  <si>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</si>
  <si>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</si>
  <si>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</si>
  <si>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</si>
  <si>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</si>
  <si>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</si>
  <si>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</si>
  <si>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</si>
  <si>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</si>
  <si>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</si>
  <si>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</si>
  <si>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</si>
  <si>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</si>
  <si>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</si>
  <si>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</si>
  <si>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</si>
  <si>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</si>
  <si>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</si>
  <si>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</si>
  <si>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</si>
  <si>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</si>
  <si>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</si>
  <si>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</si>
  <si>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</si>
  <si>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</si>
  <si>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</si>
  <si>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</si>
  <si>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</si>
  <si>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</si>
  <si>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</si>
  <si>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</si>
  <si>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</si>
  <si>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</si>
  <si>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</si>
  <si>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</si>
  <si>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</si>
  <si>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</si>
  <si>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</si>
  <si>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</si>
  <si>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</si>
  <si>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</si>
  <si>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</si>
  <si>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</si>
  <si>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</si>
  <si>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</si>
  <si>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</si>
  <si>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</si>
  <si>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</si>
  <si>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</si>
  <si>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</si>
  <si>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</si>
  <si>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</si>
  <si>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</si>
  <si>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</si>
  <si>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</si>
  <si>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</si>
  <si>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</si>
  <si>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</si>
  <si>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</si>
  <si>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</si>
  <si>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</si>
  <si>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</si>
  <si>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</si>
  <si>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</si>
  <si>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</si>
  <si>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</si>
  <si>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</si>
  <si>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</si>
  <si>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</si>
  <si>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</si>
  <si>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</si>
  <si>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</si>
  <si>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</si>
  <si>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</si>
  <si>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</si>
  <si>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</si>
  <si>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</si>
  <si>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</si>
  <si>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</si>
  <si>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</si>
  <si>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</si>
  <si>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</si>
  <si>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</si>
  <si>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</si>
  <si>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</si>
  <si>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 xml:space="preserve">2022/03/17  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</si>
  <si>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</si>
  <si>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</si>
  <si>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</si>
  <si>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</si>
  <si>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</si>
  <si>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</si>
  <si>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</si>
  <si>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</si>
  <si>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</si>
  <si>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</si>
  <si>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</si>
  <si>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</si>
  <si>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</si>
  <si>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</si>
  <si>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</si>
  <si>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</si>
  <si>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</si>
  <si>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</si>
  <si>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</si>
  <si>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</si>
  <si>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</si>
  <si>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</si>
  <si>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</si>
  <si>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</si>
  <si>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</si>
  <si>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</si>
  <si>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</si>
  <si>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</si>
  <si>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</si>
  <si>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</si>
  <si>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</si>
  <si>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</si>
  <si>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</si>
  <si>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</si>
  <si>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</si>
  <si>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</si>
  <si>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</si>
  <si>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</si>
  <si>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</si>
  <si>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</si>
  <si>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</si>
  <si>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</si>
  <si>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</si>
  <si>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</si>
  <si>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</si>
  <si>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</si>
  <si>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</si>
  <si>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</si>
  <si>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</si>
  <si>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</si>
  <si>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</si>
  <si>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</si>
  <si>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</si>
  <si>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</si>
  <si>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</si>
  <si>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</si>
  <si>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</si>
  <si>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</si>
  <si>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</si>
  <si>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</si>
  <si>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</si>
  <si>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</si>
  <si>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</si>
  <si>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</si>
  <si>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</si>
  <si>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</si>
  <si>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</si>
  <si>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</si>
  <si>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</si>
  <si>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 xml:space="preserve">新規上場  </t>
  </si>
  <si>
    <t xml:space="preserve">New Listing  </t>
  </si>
  <si>
    <t xml:space="preserve">2022/03/22  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</si>
  <si>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</si>
  <si>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</si>
  <si>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</si>
  <si>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</si>
  <si>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</si>
  <si>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</si>
  <si>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</si>
  <si>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</si>
  <si>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</si>
  <si>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</si>
  <si>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</si>
  <si>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</si>
  <si>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</si>
  <si>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</si>
  <si>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</si>
  <si>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</si>
  <si>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</si>
  <si>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</si>
  <si>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</si>
  <si>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</si>
  <si>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</si>
  <si>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</si>
  <si>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</si>
  <si>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</si>
  <si>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</si>
  <si>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</si>
  <si>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</si>
  <si>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</si>
  <si>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</si>
  <si>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</si>
  <si>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</si>
  <si>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</si>
  <si>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</si>
  <si>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</si>
  <si>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</si>
  <si>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</si>
  <si>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</si>
  <si>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</si>
  <si>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</si>
  <si>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</si>
  <si>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</si>
  <si>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</si>
  <si>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</si>
  <si>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</si>
  <si>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</si>
  <si>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</si>
  <si>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</si>
  <si>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</si>
  <si>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</si>
  <si>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</si>
  <si>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</si>
  <si>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</si>
  <si>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</si>
  <si>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</si>
  <si>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</si>
  <si>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</si>
  <si>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</si>
  <si>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</si>
  <si>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</si>
  <si>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</si>
  <si>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</si>
  <si>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</si>
  <si>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</si>
  <si>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</si>
  <si>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</si>
  <si>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</si>
  <si>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</si>
  <si>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</si>
  <si>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</si>
  <si>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</si>
  <si>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</si>
  <si>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</si>
  <si>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</si>
  <si>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</si>
  <si>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</si>
  <si>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</si>
  <si>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</si>
  <si>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</si>
  <si>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</si>
  <si>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</si>
  <si>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</si>
  <si>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</si>
  <si>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</si>
  <si>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</si>
  <si>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</si>
  <si>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</si>
  <si>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</si>
  <si>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</si>
  <si>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</si>
  <si>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</si>
  <si>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</si>
  <si>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</si>
  <si>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</si>
  <si>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</si>
  <si>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</si>
  <si>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</si>
  <si>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</si>
  <si>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</si>
  <si>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</si>
  <si>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</si>
  <si>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</si>
  <si>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</si>
  <si>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</si>
  <si>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</si>
  <si>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</si>
  <si>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</si>
  <si>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</si>
  <si>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</si>
  <si>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</si>
  <si>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</si>
  <si>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</si>
  <si>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</si>
  <si>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</si>
  <si>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</si>
  <si>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</si>
  <si>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</si>
  <si>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</si>
  <si>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</si>
  <si>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</si>
  <si>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</si>
  <si>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</si>
  <si>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</si>
  <si>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</si>
  <si>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</si>
  <si>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</si>
  <si>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</si>
  <si>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</si>
  <si>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</si>
  <si>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</si>
  <si>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</si>
  <si>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</si>
  <si>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</si>
  <si>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</si>
  <si>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</si>
  <si>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</si>
  <si>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</si>
  <si>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</si>
  <si>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</si>
  <si>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</si>
  <si>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</si>
  <si>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</si>
  <si>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</si>
  <si>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</si>
  <si>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</si>
  <si>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</si>
  <si>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</si>
  <si>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</si>
  <si>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</si>
  <si>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</si>
  <si>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</si>
  <si>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</si>
  <si>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</si>
  <si>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</si>
  <si>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</si>
  <si>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</si>
  <si>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</si>
  <si>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</si>
  <si>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</si>
  <si>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</si>
  <si>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</si>
  <si>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</si>
  <si>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</si>
  <si>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</si>
  <si>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</si>
  <si>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</si>
  <si>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</si>
  <si>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</si>
  <si>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</si>
  <si>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</si>
  <si>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</si>
  <si>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</si>
  <si>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</si>
  <si>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</si>
  <si>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</si>
  <si>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</si>
  <si>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</si>
  <si>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</si>
  <si>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</si>
  <si>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</si>
  <si>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</si>
  <si>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</si>
  <si>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</si>
  <si>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</si>
  <si>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</si>
  <si>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</si>
  <si>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</si>
  <si>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</si>
  <si>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</si>
  <si>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</si>
  <si>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</si>
  <si>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</si>
  <si>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</si>
  <si>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</si>
  <si>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</si>
  <si>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</si>
  <si>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</si>
  <si>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</si>
  <si>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</si>
  <si>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</si>
  <si>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</si>
  <si>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</si>
  <si>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</si>
  <si>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</si>
  <si>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</si>
  <si>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</si>
  <si>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</si>
  <si>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</si>
  <si>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</si>
  <si>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</si>
  <si>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</si>
  <si>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</si>
  <si>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</si>
  <si>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</si>
  <si>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</si>
  <si>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</si>
  <si>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</si>
  <si>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</si>
  <si>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</si>
  <si>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</si>
  <si>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</si>
  <si>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</si>
  <si>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</si>
  <si>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</si>
  <si>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</si>
  <si>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</si>
  <si>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</si>
  <si>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</si>
  <si>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</si>
  <si>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</si>
  <si>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</si>
  <si>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</si>
  <si>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</si>
  <si>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</si>
  <si>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</si>
  <si>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</si>
  <si>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</si>
  <si>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</si>
  <si>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 xml:space="preserve">2022/03/18  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</si>
  <si>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</si>
  <si>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</si>
  <si>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</si>
  <si>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</si>
  <si>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</si>
  <si>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</si>
  <si>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 xml:space="preserve">2022/03/24  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</si>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</sst>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6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2007.5</f>
        <v>2007.5</v>
      </c>
      <c r="L7" s="34" t="s">
        <v>48</v>
      </c>
      <c r="M7" s="33" t="n">
        <f>2144.5</f>
        <v>2144.5</v>
      </c>
      <c r="N7" s="34" t="s">
        <v>49</v>
      </c>
      <c r="O7" s="33" t="n">
        <f>1849</f>
        <v>1849.0</v>
      </c>
      <c r="P7" s="34" t="s">
        <v>50</v>
      </c>
      <c r="Q7" s="33" t="n">
        <f>2076</f>
        <v>2076.0</v>
      </c>
      <c r="R7" s="34" t="s">
        <v>49</v>
      </c>
      <c r="S7" s="35" t="n">
        <f>1989.93</f>
        <v>1989.93</v>
      </c>
      <c r="T7" s="32" t="n">
        <f>5663880</f>
        <v>5663880.0</v>
      </c>
      <c r="U7" s="32" t="n">
        <f>362960</f>
        <v>362960.0</v>
      </c>
      <c r="V7" s="32" t="n">
        <f>11240536955</f>
        <v>1.1240536955E10</v>
      </c>
      <c r="W7" s="32" t="n">
        <f>730024565</f>
        <v>7.30024565E8</v>
      </c>
      <c r="X7" s="36" t="n">
        <f>22</f>
        <v>22.0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1988</f>
        <v>1988.0</v>
      </c>
      <c r="L8" s="34" t="s">
        <v>48</v>
      </c>
      <c r="M8" s="33" t="n">
        <f>2090</f>
        <v>2090.0</v>
      </c>
      <c r="N8" s="34" t="s">
        <v>54</v>
      </c>
      <c r="O8" s="33" t="n">
        <f>1828</f>
        <v>1828.0</v>
      </c>
      <c r="P8" s="34" t="s">
        <v>50</v>
      </c>
      <c r="Q8" s="33" t="n">
        <f>2049</f>
        <v>2049.0</v>
      </c>
      <c r="R8" s="34" t="s">
        <v>49</v>
      </c>
      <c r="S8" s="35" t="n">
        <f>1966.36</f>
        <v>1966.36</v>
      </c>
      <c r="T8" s="32" t="n">
        <f>60181530</f>
        <v>6.018153E7</v>
      </c>
      <c r="U8" s="32" t="n">
        <f>8506580</f>
        <v>8506580.0</v>
      </c>
      <c r="V8" s="32" t="n">
        <f>117780437024</f>
        <v>1.17780437024E11</v>
      </c>
      <c r="W8" s="32" t="n">
        <f>16712343214</f>
        <v>1.6712343214E10</v>
      </c>
      <c r="X8" s="36" t="n">
        <f>22</f>
        <v>22.0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1963</f>
        <v>1963.0</v>
      </c>
      <c r="L9" s="34" t="s">
        <v>48</v>
      </c>
      <c r="M9" s="33" t="n">
        <f>2065.5</f>
        <v>2065.5</v>
      </c>
      <c r="N9" s="34" t="s">
        <v>54</v>
      </c>
      <c r="O9" s="33" t="n">
        <f>1808</f>
        <v>1808.0</v>
      </c>
      <c r="P9" s="34" t="s">
        <v>50</v>
      </c>
      <c r="Q9" s="33" t="n">
        <f>2026</f>
        <v>2026.0</v>
      </c>
      <c r="R9" s="34" t="s">
        <v>49</v>
      </c>
      <c r="S9" s="35" t="n">
        <f>1943.75</f>
        <v>1943.75</v>
      </c>
      <c r="T9" s="32" t="n">
        <f>13018900</f>
        <v>1.30189E7</v>
      </c>
      <c r="U9" s="32" t="n">
        <f>787000</f>
        <v>787000.0</v>
      </c>
      <c r="V9" s="32" t="n">
        <f>25248121328</f>
        <v>2.5248121328E10</v>
      </c>
      <c r="W9" s="32" t="n">
        <f>1568478628</f>
        <v>1.568478628E9</v>
      </c>
      <c r="X9" s="36" t="n">
        <f>22</f>
        <v>22.0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42960</f>
        <v>42960.0</v>
      </c>
      <c r="L10" s="34" t="s">
        <v>48</v>
      </c>
      <c r="M10" s="33" t="n">
        <f>43920</f>
        <v>43920.0</v>
      </c>
      <c r="N10" s="34" t="s">
        <v>61</v>
      </c>
      <c r="O10" s="33" t="n">
        <f>38450</f>
        <v>38450.0</v>
      </c>
      <c r="P10" s="34" t="s">
        <v>62</v>
      </c>
      <c r="Q10" s="33" t="n">
        <f>42110</f>
        <v>42110.0</v>
      </c>
      <c r="R10" s="34" t="s">
        <v>49</v>
      </c>
      <c r="S10" s="35" t="n">
        <f>41201.82</f>
        <v>41201.82</v>
      </c>
      <c r="T10" s="32" t="n">
        <f>6815</f>
        <v>6815.0</v>
      </c>
      <c r="U10" s="32" t="n">
        <f>2</f>
        <v>2.0</v>
      </c>
      <c r="V10" s="32" t="n">
        <f>280516450</f>
        <v>2.8051645E8</v>
      </c>
      <c r="W10" s="32" t="n">
        <f>83760</f>
        <v>83760.0</v>
      </c>
      <c r="X10" s="36" t="n">
        <f>22</f>
        <v>22.0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920</f>
        <v>920.0</v>
      </c>
      <c r="L11" s="34" t="s">
        <v>48</v>
      </c>
      <c r="M11" s="33" t="n">
        <f>986.5</f>
        <v>986.5</v>
      </c>
      <c r="N11" s="34" t="s">
        <v>54</v>
      </c>
      <c r="O11" s="33" t="n">
        <f>843</f>
        <v>843.0</v>
      </c>
      <c r="P11" s="34" t="s">
        <v>66</v>
      </c>
      <c r="Q11" s="33" t="n">
        <f>970.5</f>
        <v>970.5</v>
      </c>
      <c r="R11" s="34" t="s">
        <v>49</v>
      </c>
      <c r="S11" s="35" t="n">
        <f>916.76</f>
        <v>916.76</v>
      </c>
      <c r="T11" s="32" t="n">
        <f>246950</f>
        <v>246950.0</v>
      </c>
      <c r="U11" s="32" t="n">
        <f>30</f>
        <v>30.0</v>
      </c>
      <c r="V11" s="32" t="n">
        <f>228738014</f>
        <v>2.28738014E8</v>
      </c>
      <c r="W11" s="32" t="n">
        <f>26015</f>
        <v>26015.0</v>
      </c>
      <c r="X11" s="36" t="n">
        <f>22</f>
        <v>22.0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19705</f>
        <v>19705.0</v>
      </c>
      <c r="L12" s="34" t="s">
        <v>48</v>
      </c>
      <c r="M12" s="33" t="n">
        <f>20250</f>
        <v>20250.0</v>
      </c>
      <c r="N12" s="34" t="s">
        <v>70</v>
      </c>
      <c r="O12" s="33" t="n">
        <f>18500</f>
        <v>18500.0</v>
      </c>
      <c r="P12" s="34" t="s">
        <v>71</v>
      </c>
      <c r="Q12" s="33" t="n">
        <f>19655</f>
        <v>19655.0</v>
      </c>
      <c r="R12" s="34" t="s">
        <v>49</v>
      </c>
      <c r="S12" s="35" t="n">
        <f>19387.95</f>
        <v>19387.95</v>
      </c>
      <c r="T12" s="32" t="n">
        <f>671</f>
        <v>671.0</v>
      </c>
      <c r="U12" s="32" t="n">
        <f>5</f>
        <v>5.0</v>
      </c>
      <c r="V12" s="32" t="n">
        <f>13017100</f>
        <v>1.30171E7</v>
      </c>
      <c r="W12" s="32" t="n">
        <f>97675</f>
        <v>97675.0</v>
      </c>
      <c r="X12" s="36" t="n">
        <f>22</f>
        <v>22.0</v>
      </c>
    </row>
    <row r="13">
      <c r="A13" s="27" t="s">
        <v>42</v>
      </c>
      <c r="B13" s="27" t="s">
        <v>72</v>
      </c>
      <c r="C13" s="27" t="s">
        <v>73</v>
      </c>
      <c r="D13" s="27" t="s">
        <v>74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3948</f>
        <v>3948.0</v>
      </c>
      <c r="L13" s="34" t="s">
        <v>48</v>
      </c>
      <c r="M13" s="33" t="n">
        <f>3948</f>
        <v>3948.0</v>
      </c>
      <c r="N13" s="34" t="s">
        <v>48</v>
      </c>
      <c r="O13" s="33" t="n">
        <f>3502</f>
        <v>3502.0</v>
      </c>
      <c r="P13" s="34" t="s">
        <v>61</v>
      </c>
      <c r="Q13" s="33" t="n">
        <f>3565</f>
        <v>3565.0</v>
      </c>
      <c r="R13" s="34" t="s">
        <v>54</v>
      </c>
      <c r="S13" s="35" t="n">
        <f>3581</f>
        <v>3581.0</v>
      </c>
      <c r="T13" s="32" t="n">
        <f>1360</f>
        <v>1360.0</v>
      </c>
      <c r="U13" s="32" t="n">
        <f>30</f>
        <v>30.0</v>
      </c>
      <c r="V13" s="32" t="n">
        <f>4879130</f>
        <v>4879130.0</v>
      </c>
      <c r="W13" s="32" t="n">
        <f>107190</f>
        <v>107190.0</v>
      </c>
      <c r="X13" s="36" t="n">
        <f>19</f>
        <v>19.0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345.7</f>
        <v>345.7</v>
      </c>
      <c r="L14" s="34" t="s">
        <v>48</v>
      </c>
      <c r="M14" s="33" t="n">
        <f>369.9</f>
        <v>369.9</v>
      </c>
      <c r="N14" s="34" t="s">
        <v>70</v>
      </c>
      <c r="O14" s="33" t="n">
        <f>334</f>
        <v>334.0</v>
      </c>
      <c r="P14" s="34" t="s">
        <v>71</v>
      </c>
      <c r="Q14" s="33" t="n">
        <f>362</f>
        <v>362.0</v>
      </c>
      <c r="R14" s="34" t="s">
        <v>78</v>
      </c>
      <c r="S14" s="35" t="n">
        <f>347.04</f>
        <v>347.04</v>
      </c>
      <c r="T14" s="32" t="n">
        <f>190000</f>
        <v>190000.0</v>
      </c>
      <c r="U14" s="32" t="str">
        <f>"－"</f>
        <v>－</v>
      </c>
      <c r="V14" s="32" t="n">
        <f>66749100</f>
        <v>6.67491E7</v>
      </c>
      <c r="W14" s="32" t="str">
        <f>"－"</f>
        <v>－</v>
      </c>
      <c r="X14" s="36" t="n">
        <f>17</f>
        <v>17.0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27685</f>
        <v>27685.0</v>
      </c>
      <c r="L15" s="34" t="s">
        <v>48</v>
      </c>
      <c r="M15" s="33" t="n">
        <f>29395</f>
        <v>29395.0</v>
      </c>
      <c r="N15" s="34" t="s">
        <v>54</v>
      </c>
      <c r="O15" s="33" t="n">
        <f>25460</f>
        <v>25460.0</v>
      </c>
      <c r="P15" s="34" t="s">
        <v>50</v>
      </c>
      <c r="Q15" s="33" t="n">
        <f>28905</f>
        <v>28905.0</v>
      </c>
      <c r="R15" s="34" t="s">
        <v>49</v>
      </c>
      <c r="S15" s="35" t="n">
        <f>27422.27</f>
        <v>27422.27</v>
      </c>
      <c r="T15" s="32" t="n">
        <f>2313166</f>
        <v>2313166.0</v>
      </c>
      <c r="U15" s="32" t="n">
        <f>111213</f>
        <v>111213.0</v>
      </c>
      <c r="V15" s="32" t="n">
        <f>63225097816</f>
        <v>6.3225097816E10</v>
      </c>
      <c r="W15" s="32" t="n">
        <f>3143330096</f>
        <v>3.143330096E9</v>
      </c>
      <c r="X15" s="36" t="n">
        <f>22</f>
        <v>22.0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27730</f>
        <v>27730.0</v>
      </c>
      <c r="L16" s="34" t="s">
        <v>48</v>
      </c>
      <c r="M16" s="33" t="n">
        <f>29450</f>
        <v>29450.0</v>
      </c>
      <c r="N16" s="34" t="s">
        <v>54</v>
      </c>
      <c r="O16" s="33" t="n">
        <f>25500</f>
        <v>25500.0</v>
      </c>
      <c r="P16" s="34" t="s">
        <v>50</v>
      </c>
      <c r="Q16" s="33" t="n">
        <f>29000</f>
        <v>29000.0</v>
      </c>
      <c r="R16" s="34" t="s">
        <v>49</v>
      </c>
      <c r="S16" s="35" t="n">
        <f>27480.91</f>
        <v>27480.91</v>
      </c>
      <c r="T16" s="32" t="n">
        <f>9024913</f>
        <v>9024913.0</v>
      </c>
      <c r="U16" s="32" t="n">
        <f>602014</f>
        <v>602014.0</v>
      </c>
      <c r="V16" s="32" t="n">
        <f>248399384933</f>
        <v>2.48399384933E11</v>
      </c>
      <c r="W16" s="32" t="n">
        <f>17085117308</f>
        <v>1.7085117308E10</v>
      </c>
      <c r="X16" s="36" t="n">
        <f>22</f>
        <v>22.0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8070</f>
        <v>8070.0</v>
      </c>
      <c r="L17" s="34" t="s">
        <v>48</v>
      </c>
      <c r="M17" s="33" t="n">
        <f>8090</f>
        <v>8090.0</v>
      </c>
      <c r="N17" s="34" t="s">
        <v>61</v>
      </c>
      <c r="O17" s="33" t="n">
        <f>7110</f>
        <v>7110.0</v>
      </c>
      <c r="P17" s="34" t="s">
        <v>50</v>
      </c>
      <c r="Q17" s="33" t="n">
        <f>7731</f>
        <v>7731.0</v>
      </c>
      <c r="R17" s="34" t="s">
        <v>49</v>
      </c>
      <c r="S17" s="35" t="n">
        <f>7670.68</f>
        <v>7670.68</v>
      </c>
      <c r="T17" s="32" t="n">
        <f>7390</f>
        <v>7390.0</v>
      </c>
      <c r="U17" s="32" t="str">
        <f>"－"</f>
        <v>－</v>
      </c>
      <c r="V17" s="32" t="n">
        <f>56540220</f>
        <v>5.654022E7</v>
      </c>
      <c r="W17" s="32" t="str">
        <f>"－"</f>
        <v>－</v>
      </c>
      <c r="X17" s="36" t="n">
        <f>22</f>
        <v>22.0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 t="s">
        <v>91</v>
      </c>
      <c r="I18" s="31" t="s">
        <v>47</v>
      </c>
      <c r="J18" s="32" t="n">
        <v>100.0</v>
      </c>
      <c r="K18" s="33" t="n">
        <f>499.1</f>
        <v>499.1</v>
      </c>
      <c r="L18" s="34" t="s">
        <v>48</v>
      </c>
      <c r="M18" s="33" t="n">
        <f>576.9</f>
        <v>576.9</v>
      </c>
      <c r="N18" s="34" t="s">
        <v>54</v>
      </c>
      <c r="O18" s="33" t="n">
        <f>491</f>
        <v>491.0</v>
      </c>
      <c r="P18" s="34" t="s">
        <v>50</v>
      </c>
      <c r="Q18" s="33" t="n">
        <f>552.3</f>
        <v>552.3</v>
      </c>
      <c r="R18" s="34" t="s">
        <v>49</v>
      </c>
      <c r="S18" s="35" t="n">
        <f>521.21</f>
        <v>521.21</v>
      </c>
      <c r="T18" s="32" t="n">
        <f>187300</f>
        <v>187300.0</v>
      </c>
      <c r="U18" s="32" t="str">
        <f>"－"</f>
        <v>－</v>
      </c>
      <c r="V18" s="32" t="n">
        <f>98918550</f>
        <v>9.891855E7</v>
      </c>
      <c r="W18" s="32" t="str">
        <f>"－"</f>
        <v>－</v>
      </c>
      <c r="X18" s="36" t="n">
        <f>22</f>
        <v>22.0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123</f>
        <v>123.0</v>
      </c>
      <c r="L19" s="34" t="s">
        <v>48</v>
      </c>
      <c r="M19" s="33" t="n">
        <f>128</f>
        <v>128.0</v>
      </c>
      <c r="N19" s="34" t="s">
        <v>95</v>
      </c>
      <c r="O19" s="33" t="n">
        <f>81</f>
        <v>81.0</v>
      </c>
      <c r="P19" s="34" t="s">
        <v>96</v>
      </c>
      <c r="Q19" s="33" t="n">
        <f>88.6</f>
        <v>88.6</v>
      </c>
      <c r="R19" s="34" t="s">
        <v>62</v>
      </c>
      <c r="S19" s="35" t="n">
        <f>105.23</f>
        <v>105.23</v>
      </c>
      <c r="T19" s="32" t="n">
        <f>4983500</f>
        <v>4983500.0</v>
      </c>
      <c r="U19" s="32" t="n">
        <f>800</f>
        <v>800.0</v>
      </c>
      <c r="V19" s="32" t="n">
        <f>531289250</f>
        <v>5.3128925E8</v>
      </c>
      <c r="W19" s="32" t="n">
        <f>96840</f>
        <v>96840.0</v>
      </c>
      <c r="X19" s="36" t="n">
        <f>12</f>
        <v>12.0</v>
      </c>
    </row>
    <row r="20">
      <c r="A20" s="27" t="s">
        <v>42</v>
      </c>
      <c r="B20" s="27" t="s">
        <v>97</v>
      </c>
      <c r="C20" s="27" t="s">
        <v>98</v>
      </c>
      <c r="D20" s="27" t="s">
        <v>99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179.8</f>
        <v>179.8</v>
      </c>
      <c r="L20" s="34" t="s">
        <v>48</v>
      </c>
      <c r="M20" s="33" t="n">
        <f>231.6</f>
        <v>231.6</v>
      </c>
      <c r="N20" s="34" t="s">
        <v>100</v>
      </c>
      <c r="O20" s="33" t="n">
        <f>175.1</f>
        <v>175.1</v>
      </c>
      <c r="P20" s="34" t="s">
        <v>48</v>
      </c>
      <c r="Q20" s="33" t="n">
        <f>216.8</f>
        <v>216.8</v>
      </c>
      <c r="R20" s="34" t="s">
        <v>49</v>
      </c>
      <c r="S20" s="35" t="n">
        <f>193.57</f>
        <v>193.57</v>
      </c>
      <c r="T20" s="32" t="n">
        <f>1899200</f>
        <v>1899200.0</v>
      </c>
      <c r="U20" s="32" t="n">
        <f>900</f>
        <v>900.0</v>
      </c>
      <c r="V20" s="32" t="n">
        <f>384155170</f>
        <v>3.8415517E8</v>
      </c>
      <c r="W20" s="32" t="n">
        <f>165730</f>
        <v>165730.0</v>
      </c>
      <c r="X20" s="36" t="n">
        <f>22</f>
        <v>22.0</v>
      </c>
    </row>
    <row r="21">
      <c r="A21" s="27" t="s">
        <v>42</v>
      </c>
      <c r="B21" s="27" t="s">
        <v>101</v>
      </c>
      <c r="C21" s="27" t="s">
        <v>102</v>
      </c>
      <c r="D21" s="27" t="s">
        <v>103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20475</f>
        <v>20475.0</v>
      </c>
      <c r="L21" s="34" t="s">
        <v>48</v>
      </c>
      <c r="M21" s="33" t="n">
        <f>22385</f>
        <v>22385.0</v>
      </c>
      <c r="N21" s="34" t="s">
        <v>78</v>
      </c>
      <c r="O21" s="33" t="n">
        <f>20450</f>
        <v>20450.0</v>
      </c>
      <c r="P21" s="34" t="s">
        <v>48</v>
      </c>
      <c r="Q21" s="33" t="n">
        <f>21900</f>
        <v>21900.0</v>
      </c>
      <c r="R21" s="34" t="s">
        <v>49</v>
      </c>
      <c r="S21" s="35" t="n">
        <f>21541.82</f>
        <v>21541.82</v>
      </c>
      <c r="T21" s="32" t="n">
        <f>411575</f>
        <v>411575.0</v>
      </c>
      <c r="U21" s="32" t="n">
        <f>56</f>
        <v>56.0</v>
      </c>
      <c r="V21" s="32" t="n">
        <f>8896528380</f>
        <v>8.89652838E9</v>
      </c>
      <c r="W21" s="32" t="n">
        <f>1197305</f>
        <v>1197305.0</v>
      </c>
      <c r="X21" s="36" t="n">
        <f>22</f>
        <v>22.0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5537</f>
        <v>5537.0</v>
      </c>
      <c r="L22" s="34" t="s">
        <v>48</v>
      </c>
      <c r="M22" s="33" t="n">
        <f>6044</f>
        <v>6044.0</v>
      </c>
      <c r="N22" s="34" t="s">
        <v>78</v>
      </c>
      <c r="O22" s="33" t="n">
        <f>5523</f>
        <v>5523.0</v>
      </c>
      <c r="P22" s="34" t="s">
        <v>48</v>
      </c>
      <c r="Q22" s="33" t="n">
        <f>5909</f>
        <v>5909.0</v>
      </c>
      <c r="R22" s="34" t="s">
        <v>49</v>
      </c>
      <c r="S22" s="35" t="n">
        <f>5821.18</f>
        <v>5821.18</v>
      </c>
      <c r="T22" s="32" t="n">
        <f>691120</f>
        <v>691120.0</v>
      </c>
      <c r="U22" s="32" t="n">
        <f>150</f>
        <v>150.0</v>
      </c>
      <c r="V22" s="32" t="n">
        <f>4032343370</f>
        <v>4.03234337E9</v>
      </c>
      <c r="W22" s="32" t="n">
        <f>858100</f>
        <v>858100.0</v>
      </c>
      <c r="X22" s="36" t="n">
        <f>22</f>
        <v>22.0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27665</f>
        <v>27665.0</v>
      </c>
      <c r="L23" s="34" t="s">
        <v>48</v>
      </c>
      <c r="M23" s="33" t="n">
        <f>29365</f>
        <v>29365.0</v>
      </c>
      <c r="N23" s="34" t="s">
        <v>54</v>
      </c>
      <c r="O23" s="33" t="n">
        <f>25435</f>
        <v>25435.0</v>
      </c>
      <c r="P23" s="34" t="s">
        <v>50</v>
      </c>
      <c r="Q23" s="33" t="n">
        <f>28915</f>
        <v>28915.0</v>
      </c>
      <c r="R23" s="34" t="s">
        <v>49</v>
      </c>
      <c r="S23" s="35" t="n">
        <f>27401.59</f>
        <v>27401.59</v>
      </c>
      <c r="T23" s="32" t="n">
        <f>985783</f>
        <v>985783.0</v>
      </c>
      <c r="U23" s="32" t="n">
        <f>135895</f>
        <v>135895.0</v>
      </c>
      <c r="V23" s="32" t="n">
        <f>26983019430</f>
        <v>2.698301943E10</v>
      </c>
      <c r="W23" s="32" t="n">
        <f>3758171250</f>
        <v>3.75817125E9</v>
      </c>
      <c r="X23" s="36" t="n">
        <f>22</f>
        <v>22.0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27760</f>
        <v>27760.0</v>
      </c>
      <c r="L24" s="34" t="s">
        <v>48</v>
      </c>
      <c r="M24" s="33" t="n">
        <f>29480</f>
        <v>29480.0</v>
      </c>
      <c r="N24" s="34" t="s">
        <v>54</v>
      </c>
      <c r="O24" s="33" t="n">
        <f>25535</f>
        <v>25535.0</v>
      </c>
      <c r="P24" s="34" t="s">
        <v>50</v>
      </c>
      <c r="Q24" s="33" t="n">
        <f>29000</f>
        <v>29000.0</v>
      </c>
      <c r="R24" s="34" t="s">
        <v>49</v>
      </c>
      <c r="S24" s="35" t="n">
        <f>27520.68</f>
        <v>27520.68</v>
      </c>
      <c r="T24" s="32" t="n">
        <f>1335260</f>
        <v>1335260.0</v>
      </c>
      <c r="U24" s="32" t="n">
        <f>104460</f>
        <v>104460.0</v>
      </c>
      <c r="V24" s="32" t="n">
        <f>36609429616</f>
        <v>3.6609429616E10</v>
      </c>
      <c r="W24" s="32" t="n">
        <f>2866355066</f>
        <v>2.866355066E9</v>
      </c>
      <c r="X24" s="36" t="n">
        <f>22</f>
        <v>22.0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2025</f>
        <v>2025.0</v>
      </c>
      <c r="L25" s="34" t="s">
        <v>48</v>
      </c>
      <c r="M25" s="33" t="n">
        <f>2206</f>
        <v>2206.0</v>
      </c>
      <c r="N25" s="34" t="s">
        <v>54</v>
      </c>
      <c r="O25" s="33" t="n">
        <f>1986</f>
        <v>1986.0</v>
      </c>
      <c r="P25" s="34" t="s">
        <v>50</v>
      </c>
      <c r="Q25" s="33" t="n">
        <f>2158.5</f>
        <v>2158.5</v>
      </c>
      <c r="R25" s="34" t="s">
        <v>49</v>
      </c>
      <c r="S25" s="35" t="n">
        <f>2067.59</f>
        <v>2067.59</v>
      </c>
      <c r="T25" s="32" t="n">
        <f>6765410</f>
        <v>6765410.0</v>
      </c>
      <c r="U25" s="32" t="n">
        <f>398780</f>
        <v>398780.0</v>
      </c>
      <c r="V25" s="32" t="n">
        <f>14002970556</f>
        <v>1.4002970556E10</v>
      </c>
      <c r="W25" s="32" t="n">
        <f>828156641</f>
        <v>8.28156641E8</v>
      </c>
      <c r="X25" s="36" t="n">
        <f>22</f>
        <v>22.0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1917.5</f>
        <v>1917.5</v>
      </c>
      <c r="L26" s="34" t="s">
        <v>48</v>
      </c>
      <c r="M26" s="33" t="n">
        <f>2068</f>
        <v>2068.0</v>
      </c>
      <c r="N26" s="34" t="s">
        <v>54</v>
      </c>
      <c r="O26" s="33" t="n">
        <f>1865</f>
        <v>1865.0</v>
      </c>
      <c r="P26" s="34" t="s">
        <v>50</v>
      </c>
      <c r="Q26" s="33" t="n">
        <f>2031.5</f>
        <v>2031.5</v>
      </c>
      <c r="R26" s="34" t="s">
        <v>49</v>
      </c>
      <c r="S26" s="35" t="n">
        <f>1943.7</f>
        <v>1943.7</v>
      </c>
      <c r="T26" s="32" t="n">
        <f>1516700</f>
        <v>1516700.0</v>
      </c>
      <c r="U26" s="32" t="n">
        <f>82900</f>
        <v>82900.0</v>
      </c>
      <c r="V26" s="32" t="n">
        <f>2969178070</f>
        <v>2.96917807E9</v>
      </c>
      <c r="W26" s="32" t="n">
        <f>158840970</f>
        <v>1.5884097E8</v>
      </c>
      <c r="X26" s="36" t="n">
        <f>22</f>
        <v>22.0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27650</f>
        <v>27650.0</v>
      </c>
      <c r="L27" s="34" t="s">
        <v>48</v>
      </c>
      <c r="M27" s="33" t="n">
        <f>29380</f>
        <v>29380.0</v>
      </c>
      <c r="N27" s="34" t="s">
        <v>54</v>
      </c>
      <c r="O27" s="33" t="n">
        <f>25510</f>
        <v>25510.0</v>
      </c>
      <c r="P27" s="34" t="s">
        <v>66</v>
      </c>
      <c r="Q27" s="33" t="n">
        <f>28880</f>
        <v>28880.0</v>
      </c>
      <c r="R27" s="34" t="s">
        <v>49</v>
      </c>
      <c r="S27" s="35" t="n">
        <f>27422.73</f>
        <v>27422.73</v>
      </c>
      <c r="T27" s="32" t="n">
        <f>702554</f>
        <v>702554.0</v>
      </c>
      <c r="U27" s="32" t="n">
        <f>96162</f>
        <v>96162.0</v>
      </c>
      <c r="V27" s="32" t="n">
        <f>19169233945</f>
        <v>1.9169233945E10</v>
      </c>
      <c r="W27" s="32" t="n">
        <f>2608253235</f>
        <v>2.608253235E9</v>
      </c>
      <c r="X27" s="36" t="n">
        <f>22</f>
        <v>22.0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1967</f>
        <v>1967.0</v>
      </c>
      <c r="L28" s="34" t="s">
        <v>48</v>
      </c>
      <c r="M28" s="33" t="n">
        <f>2070</f>
        <v>2070.0</v>
      </c>
      <c r="N28" s="34" t="s">
        <v>54</v>
      </c>
      <c r="O28" s="33" t="n">
        <f>1812</f>
        <v>1812.0</v>
      </c>
      <c r="P28" s="34" t="s">
        <v>50</v>
      </c>
      <c r="Q28" s="33" t="n">
        <f>2030</f>
        <v>2030.0</v>
      </c>
      <c r="R28" s="34" t="s">
        <v>49</v>
      </c>
      <c r="S28" s="35" t="n">
        <f>1944.75</f>
        <v>1944.75</v>
      </c>
      <c r="T28" s="32" t="n">
        <f>2963800</f>
        <v>2963800.0</v>
      </c>
      <c r="U28" s="32" t="n">
        <f>491030</f>
        <v>491030.0</v>
      </c>
      <c r="V28" s="32" t="n">
        <f>5739247195</f>
        <v>5.739247195E9</v>
      </c>
      <c r="W28" s="32" t="n">
        <f>954396485</f>
        <v>9.54396485E8</v>
      </c>
      <c r="X28" s="36" t="n">
        <f>22</f>
        <v>22.0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13590</f>
        <v>13590.0</v>
      </c>
      <c r="L29" s="34" t="s">
        <v>48</v>
      </c>
      <c r="M29" s="33" t="n">
        <f>14200</f>
        <v>14200.0</v>
      </c>
      <c r="N29" s="34" t="s">
        <v>100</v>
      </c>
      <c r="O29" s="33" t="n">
        <f>13455</f>
        <v>13455.0</v>
      </c>
      <c r="P29" s="34" t="s">
        <v>50</v>
      </c>
      <c r="Q29" s="33" t="n">
        <f>14100</f>
        <v>14100.0</v>
      </c>
      <c r="R29" s="34" t="s">
        <v>49</v>
      </c>
      <c r="S29" s="35" t="n">
        <f>13788.57</f>
        <v>13788.57</v>
      </c>
      <c r="T29" s="32" t="n">
        <f>2159</f>
        <v>2159.0</v>
      </c>
      <c r="U29" s="32" t="str">
        <f>"－"</f>
        <v>－</v>
      </c>
      <c r="V29" s="32" t="n">
        <f>29750750</f>
        <v>2.975075E7</v>
      </c>
      <c r="W29" s="32" t="str">
        <f>"－"</f>
        <v>－</v>
      </c>
      <c r="X29" s="36" t="n">
        <f>21</f>
        <v>21.0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1092</f>
        <v>1092.0</v>
      </c>
      <c r="L30" s="34" t="s">
        <v>48</v>
      </c>
      <c r="M30" s="33" t="n">
        <f>1279.5</f>
        <v>1279.5</v>
      </c>
      <c r="N30" s="34" t="s">
        <v>50</v>
      </c>
      <c r="O30" s="33" t="n">
        <f>963</f>
        <v>963.0</v>
      </c>
      <c r="P30" s="34" t="s">
        <v>54</v>
      </c>
      <c r="Q30" s="33" t="n">
        <f>1000</f>
        <v>1000.0</v>
      </c>
      <c r="R30" s="34" t="s">
        <v>49</v>
      </c>
      <c r="S30" s="35" t="n">
        <f>1102.81</f>
        <v>1102.81</v>
      </c>
      <c r="T30" s="32" t="n">
        <f>12324830</f>
        <v>1.232483E7</v>
      </c>
      <c r="U30" s="32" t="n">
        <f>210</f>
        <v>210.0</v>
      </c>
      <c r="V30" s="32" t="n">
        <f>13730296883</f>
        <v>1.3730296883E10</v>
      </c>
      <c r="W30" s="32" t="n">
        <f>239465</f>
        <v>239465.0</v>
      </c>
      <c r="X30" s="36" t="n">
        <f>22</f>
        <v>22.0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431</f>
        <v>431.0</v>
      </c>
      <c r="L31" s="34" t="s">
        <v>48</v>
      </c>
      <c r="M31" s="33" t="n">
        <f>507</f>
        <v>507.0</v>
      </c>
      <c r="N31" s="34" t="s">
        <v>50</v>
      </c>
      <c r="O31" s="33" t="n">
        <f>372</f>
        <v>372.0</v>
      </c>
      <c r="P31" s="34" t="s">
        <v>54</v>
      </c>
      <c r="Q31" s="33" t="n">
        <f>386</f>
        <v>386.0</v>
      </c>
      <c r="R31" s="34" t="s">
        <v>49</v>
      </c>
      <c r="S31" s="35" t="n">
        <f>436.05</f>
        <v>436.05</v>
      </c>
      <c r="T31" s="32" t="n">
        <f>1692541109</f>
        <v>1.692541109E9</v>
      </c>
      <c r="U31" s="32" t="n">
        <f>9456874</f>
        <v>9456874.0</v>
      </c>
      <c r="V31" s="32" t="n">
        <f>744931696945</f>
        <v>7.44931696945E11</v>
      </c>
      <c r="W31" s="32" t="n">
        <f>4158073658</f>
        <v>4.158073658E9</v>
      </c>
      <c r="X31" s="36" t="n">
        <f>22</f>
        <v>22.0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25075</f>
        <v>25075.0</v>
      </c>
      <c r="L32" s="34" t="s">
        <v>48</v>
      </c>
      <c r="M32" s="33" t="n">
        <f>28130</f>
        <v>28130.0</v>
      </c>
      <c r="N32" s="34" t="s">
        <v>54</v>
      </c>
      <c r="O32" s="33" t="n">
        <f>21160</f>
        <v>21160.0</v>
      </c>
      <c r="P32" s="34" t="s">
        <v>50</v>
      </c>
      <c r="Q32" s="33" t="n">
        <f>27280</f>
        <v>27280.0</v>
      </c>
      <c r="R32" s="34" t="s">
        <v>49</v>
      </c>
      <c r="S32" s="35" t="n">
        <f>24587.73</f>
        <v>24587.73</v>
      </c>
      <c r="T32" s="32" t="n">
        <f>791297</f>
        <v>791297.0</v>
      </c>
      <c r="U32" s="32" t="n">
        <f>10</f>
        <v>10.0</v>
      </c>
      <c r="V32" s="32" t="n">
        <f>19314049960</f>
        <v>1.931404996E10</v>
      </c>
      <c r="W32" s="32" t="n">
        <f>250195</f>
        <v>250195.0</v>
      </c>
      <c r="X32" s="36" t="n">
        <f>22</f>
        <v>22.0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1056</f>
        <v>1056.0</v>
      </c>
      <c r="L33" s="34" t="s">
        <v>48</v>
      </c>
      <c r="M33" s="33" t="n">
        <f>1239</f>
        <v>1239.0</v>
      </c>
      <c r="N33" s="34" t="s">
        <v>50</v>
      </c>
      <c r="O33" s="33" t="n">
        <f>912.3</f>
        <v>912.3</v>
      </c>
      <c r="P33" s="34" t="s">
        <v>54</v>
      </c>
      <c r="Q33" s="33" t="n">
        <f>940</f>
        <v>940.0</v>
      </c>
      <c r="R33" s="34" t="s">
        <v>49</v>
      </c>
      <c r="S33" s="35" t="n">
        <f>1065.07</f>
        <v>1065.07</v>
      </c>
      <c r="T33" s="32" t="n">
        <f>315008390</f>
        <v>3.1500839E8</v>
      </c>
      <c r="U33" s="32" t="n">
        <f>220</f>
        <v>220.0</v>
      </c>
      <c r="V33" s="32" t="n">
        <f>339098743440</f>
        <v>3.3909874344E11</v>
      </c>
      <c r="W33" s="32" t="n">
        <f>236857</f>
        <v>236857.0</v>
      </c>
      <c r="X33" s="36" t="n">
        <f>22</f>
        <v>22.0</v>
      </c>
    </row>
    <row r="34">
      <c r="A34" s="27" t="s">
        <v>42</v>
      </c>
      <c r="B34" s="27" t="s">
        <v>140</v>
      </c>
      <c r="C34" s="27" t="s">
        <v>141</v>
      </c>
      <c r="D34" s="27" t="s">
        <v>142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17340</f>
        <v>17340.0</v>
      </c>
      <c r="L34" s="34" t="s">
        <v>48</v>
      </c>
      <c r="M34" s="33" t="n">
        <f>18350</f>
        <v>18350.0</v>
      </c>
      <c r="N34" s="34" t="s">
        <v>54</v>
      </c>
      <c r="O34" s="33" t="n">
        <f>16000</f>
        <v>16000.0</v>
      </c>
      <c r="P34" s="34" t="s">
        <v>143</v>
      </c>
      <c r="Q34" s="33" t="n">
        <f>18235</f>
        <v>18235.0</v>
      </c>
      <c r="R34" s="34" t="s">
        <v>49</v>
      </c>
      <c r="S34" s="35" t="n">
        <f>17296.59</f>
        <v>17296.59</v>
      </c>
      <c r="T34" s="32" t="n">
        <f>244461</f>
        <v>244461.0</v>
      </c>
      <c r="U34" s="32" t="n">
        <f>239600</f>
        <v>239600.0</v>
      </c>
      <c r="V34" s="32" t="n">
        <f>4163681065</f>
        <v>4.163681065E9</v>
      </c>
      <c r="W34" s="32" t="n">
        <f>4082369920</f>
        <v>4.08236992E9</v>
      </c>
      <c r="X34" s="36" t="n">
        <f>22</f>
        <v>22.0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20820</f>
        <v>20820.0</v>
      </c>
      <c r="L35" s="34" t="s">
        <v>48</v>
      </c>
      <c r="M35" s="33" t="n">
        <f>23390</f>
        <v>23390.0</v>
      </c>
      <c r="N35" s="34" t="s">
        <v>54</v>
      </c>
      <c r="O35" s="33" t="n">
        <f>17565</f>
        <v>17565.0</v>
      </c>
      <c r="P35" s="34" t="s">
        <v>50</v>
      </c>
      <c r="Q35" s="33" t="n">
        <f>22620</f>
        <v>22620.0</v>
      </c>
      <c r="R35" s="34" t="s">
        <v>49</v>
      </c>
      <c r="S35" s="35" t="n">
        <f>20434.32</f>
        <v>20434.32</v>
      </c>
      <c r="T35" s="32" t="n">
        <f>1644929</f>
        <v>1644929.0</v>
      </c>
      <c r="U35" s="32" t="n">
        <f>6</f>
        <v>6.0</v>
      </c>
      <c r="V35" s="32" t="n">
        <f>33735452440</f>
        <v>3.373545244E10</v>
      </c>
      <c r="W35" s="32" t="n">
        <f>115770</f>
        <v>115770.0</v>
      </c>
      <c r="X35" s="36" t="n">
        <f>22</f>
        <v>22.0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1130</f>
        <v>1130.0</v>
      </c>
      <c r="L36" s="34" t="s">
        <v>48</v>
      </c>
      <c r="M36" s="33" t="n">
        <f>1324</f>
        <v>1324.0</v>
      </c>
      <c r="N36" s="34" t="s">
        <v>50</v>
      </c>
      <c r="O36" s="33" t="n">
        <f>976</f>
        <v>976.0</v>
      </c>
      <c r="P36" s="34" t="s">
        <v>54</v>
      </c>
      <c r="Q36" s="33" t="n">
        <f>1006</f>
        <v>1006.0</v>
      </c>
      <c r="R36" s="34" t="s">
        <v>49</v>
      </c>
      <c r="S36" s="35" t="n">
        <f>1138.09</f>
        <v>1138.09</v>
      </c>
      <c r="T36" s="32" t="n">
        <f>37116150</f>
        <v>3.711615E7</v>
      </c>
      <c r="U36" s="32" t="n">
        <f>460</f>
        <v>460.0</v>
      </c>
      <c r="V36" s="32" t="n">
        <f>42487618477</f>
        <v>4.2487618477E10</v>
      </c>
      <c r="W36" s="32" t="n">
        <f>467990</f>
        <v>467990.0</v>
      </c>
      <c r="X36" s="36" t="n">
        <f>22</f>
        <v>22.0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17745</f>
        <v>17745.0</v>
      </c>
      <c r="L37" s="34" t="s">
        <v>48</v>
      </c>
      <c r="M37" s="33" t="n">
        <f>19590</f>
        <v>19590.0</v>
      </c>
      <c r="N37" s="34" t="s">
        <v>54</v>
      </c>
      <c r="O37" s="33" t="n">
        <f>14985</f>
        <v>14985.0</v>
      </c>
      <c r="P37" s="34" t="s">
        <v>50</v>
      </c>
      <c r="Q37" s="33" t="n">
        <f>18880</f>
        <v>18880.0</v>
      </c>
      <c r="R37" s="34" t="s">
        <v>49</v>
      </c>
      <c r="S37" s="35" t="n">
        <f>17395</f>
        <v>17395.0</v>
      </c>
      <c r="T37" s="32" t="n">
        <f>295743</f>
        <v>295743.0</v>
      </c>
      <c r="U37" s="32" t="n">
        <f>4</f>
        <v>4.0</v>
      </c>
      <c r="V37" s="32" t="n">
        <f>5057055595</f>
        <v>5.057055595E9</v>
      </c>
      <c r="W37" s="32" t="n">
        <f>69685</f>
        <v>69685.0</v>
      </c>
      <c r="X37" s="36" t="n">
        <f>22</f>
        <v>22.0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1580</f>
        <v>1580.0</v>
      </c>
      <c r="L38" s="34" t="s">
        <v>48</v>
      </c>
      <c r="M38" s="33" t="n">
        <f>1855</f>
        <v>1855.0</v>
      </c>
      <c r="N38" s="34" t="s">
        <v>50</v>
      </c>
      <c r="O38" s="33" t="n">
        <f>1394</f>
        <v>1394.0</v>
      </c>
      <c r="P38" s="34" t="s">
        <v>54</v>
      </c>
      <c r="Q38" s="33" t="n">
        <f>1448</f>
        <v>1448.0</v>
      </c>
      <c r="R38" s="34" t="s">
        <v>49</v>
      </c>
      <c r="S38" s="35" t="n">
        <f>1599</f>
        <v>1599.0</v>
      </c>
      <c r="T38" s="32" t="n">
        <f>1752460</f>
        <v>1752460.0</v>
      </c>
      <c r="U38" s="32" t="str">
        <f>"－"</f>
        <v>－</v>
      </c>
      <c r="V38" s="32" t="n">
        <f>2844698035</f>
        <v>2.844698035E9</v>
      </c>
      <c r="W38" s="32" t="str">
        <f>"－"</f>
        <v>－</v>
      </c>
      <c r="X38" s="36" t="n">
        <f>22</f>
        <v>22.0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26835</f>
        <v>26835.0</v>
      </c>
      <c r="L39" s="34" t="s">
        <v>48</v>
      </c>
      <c r="M39" s="33" t="n">
        <f>28500</f>
        <v>28500.0</v>
      </c>
      <c r="N39" s="34" t="s">
        <v>54</v>
      </c>
      <c r="O39" s="33" t="n">
        <f>24700</f>
        <v>24700.0</v>
      </c>
      <c r="P39" s="34" t="s">
        <v>50</v>
      </c>
      <c r="Q39" s="33" t="n">
        <f>28030</f>
        <v>28030.0</v>
      </c>
      <c r="R39" s="34" t="s">
        <v>49</v>
      </c>
      <c r="S39" s="35" t="n">
        <f>26596.59</f>
        <v>26596.59</v>
      </c>
      <c r="T39" s="32" t="n">
        <f>250854</f>
        <v>250854.0</v>
      </c>
      <c r="U39" s="32" t="n">
        <f>17303</f>
        <v>17303.0</v>
      </c>
      <c r="V39" s="32" t="n">
        <f>6707576835</f>
        <v>6.707576835E9</v>
      </c>
      <c r="W39" s="32" t="n">
        <f>482200150</f>
        <v>4.8220015E8</v>
      </c>
      <c r="X39" s="36" t="n">
        <f>22</f>
        <v>22.0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5048</f>
        <v>5048.0</v>
      </c>
      <c r="L40" s="34" t="s">
        <v>48</v>
      </c>
      <c r="M40" s="33" t="n">
        <f>5740</f>
        <v>5740.0</v>
      </c>
      <c r="N40" s="34" t="s">
        <v>100</v>
      </c>
      <c r="O40" s="33" t="n">
        <f>4445</f>
        <v>4445.0</v>
      </c>
      <c r="P40" s="34" t="s">
        <v>66</v>
      </c>
      <c r="Q40" s="33" t="n">
        <f>5480</f>
        <v>5480.0</v>
      </c>
      <c r="R40" s="34" t="s">
        <v>49</v>
      </c>
      <c r="S40" s="35" t="n">
        <f>5093.27</f>
        <v>5093.27</v>
      </c>
      <c r="T40" s="32" t="n">
        <f>27731</f>
        <v>27731.0</v>
      </c>
      <c r="U40" s="32" t="n">
        <f>2680</f>
        <v>2680.0</v>
      </c>
      <c r="V40" s="32" t="n">
        <f>138438088</f>
        <v>1.38438088E8</v>
      </c>
      <c r="W40" s="32" t="n">
        <f>12435736</f>
        <v>1.2435736E7</v>
      </c>
      <c r="X40" s="36" t="n">
        <f>22</f>
        <v>22.0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9440</f>
        <v>9440.0</v>
      </c>
      <c r="L41" s="34" t="s">
        <v>48</v>
      </c>
      <c r="M41" s="33" t="n">
        <f>10490</f>
        <v>10490.0</v>
      </c>
      <c r="N41" s="34" t="s">
        <v>54</v>
      </c>
      <c r="O41" s="33" t="n">
        <f>8322</f>
        <v>8322.0</v>
      </c>
      <c r="P41" s="34" t="s">
        <v>71</v>
      </c>
      <c r="Q41" s="33" t="n">
        <f>10280</f>
        <v>10280.0</v>
      </c>
      <c r="R41" s="34" t="s">
        <v>49</v>
      </c>
      <c r="S41" s="35" t="n">
        <f>9509.36</f>
        <v>9509.36</v>
      </c>
      <c r="T41" s="32" t="n">
        <f>4470</f>
        <v>4470.0</v>
      </c>
      <c r="U41" s="32" t="str">
        <f>"－"</f>
        <v>－</v>
      </c>
      <c r="V41" s="32" t="n">
        <f>41799628</f>
        <v>4.1799628E7</v>
      </c>
      <c r="W41" s="32" t="str">
        <f>"－"</f>
        <v>－</v>
      </c>
      <c r="X41" s="36" t="n">
        <f>22</f>
        <v>22.0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18065</f>
        <v>18065.0</v>
      </c>
      <c r="L42" s="34" t="s">
        <v>48</v>
      </c>
      <c r="M42" s="33" t="n">
        <f>19240</f>
        <v>19240.0</v>
      </c>
      <c r="N42" s="34" t="s">
        <v>54</v>
      </c>
      <c r="O42" s="33" t="n">
        <f>15195</f>
        <v>15195.0</v>
      </c>
      <c r="P42" s="34" t="s">
        <v>71</v>
      </c>
      <c r="Q42" s="33" t="n">
        <f>18950</f>
        <v>18950.0</v>
      </c>
      <c r="R42" s="34" t="s">
        <v>54</v>
      </c>
      <c r="S42" s="35" t="n">
        <f>17516</f>
        <v>17516.0</v>
      </c>
      <c r="T42" s="32" t="n">
        <f>1592</f>
        <v>1592.0</v>
      </c>
      <c r="U42" s="32" t="str">
        <f>"－"</f>
        <v>－</v>
      </c>
      <c r="V42" s="32" t="n">
        <f>27332925</f>
        <v>2.7332925E7</v>
      </c>
      <c r="W42" s="32" t="str">
        <f>"－"</f>
        <v>－</v>
      </c>
      <c r="X42" s="36" t="n">
        <f>20</f>
        <v>20.0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15445</f>
        <v>15445.0</v>
      </c>
      <c r="L43" s="34" t="s">
        <v>61</v>
      </c>
      <c r="M43" s="33" t="n">
        <f>17070</f>
        <v>17070.0</v>
      </c>
      <c r="N43" s="34" t="s">
        <v>54</v>
      </c>
      <c r="O43" s="33" t="n">
        <f>13500</f>
        <v>13500.0</v>
      </c>
      <c r="P43" s="34" t="s">
        <v>71</v>
      </c>
      <c r="Q43" s="33" t="n">
        <f>17070</f>
        <v>17070.0</v>
      </c>
      <c r="R43" s="34" t="s">
        <v>54</v>
      </c>
      <c r="S43" s="35" t="n">
        <f>14966</f>
        <v>14966.0</v>
      </c>
      <c r="T43" s="32" t="n">
        <f>99</f>
        <v>99.0</v>
      </c>
      <c r="U43" s="32" t="str">
        <f>"－"</f>
        <v>－</v>
      </c>
      <c r="V43" s="32" t="n">
        <f>1423910</f>
        <v>1423910.0</v>
      </c>
      <c r="W43" s="32" t="str">
        <f>"－"</f>
        <v>－</v>
      </c>
      <c r="X43" s="36" t="n">
        <f>10</f>
        <v>10.0</v>
      </c>
    </row>
    <row r="44">
      <c r="A44" s="27" t="s">
        <v>42</v>
      </c>
      <c r="B44" s="27" t="s">
        <v>171</v>
      </c>
      <c r="C44" s="27" t="s">
        <v>172</v>
      </c>
      <c r="D44" s="27" t="s">
        <v>173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10475</f>
        <v>10475.0</v>
      </c>
      <c r="L44" s="34" t="s">
        <v>48</v>
      </c>
      <c r="M44" s="33" t="n">
        <f>11360</f>
        <v>11360.0</v>
      </c>
      <c r="N44" s="34" t="s">
        <v>100</v>
      </c>
      <c r="O44" s="33" t="n">
        <f>9500</f>
        <v>9500.0</v>
      </c>
      <c r="P44" s="34" t="s">
        <v>71</v>
      </c>
      <c r="Q44" s="33" t="n">
        <f>11145</f>
        <v>11145.0</v>
      </c>
      <c r="R44" s="34" t="s">
        <v>49</v>
      </c>
      <c r="S44" s="35" t="n">
        <f>10560.86</f>
        <v>10560.86</v>
      </c>
      <c r="T44" s="32" t="n">
        <f>1871</f>
        <v>1871.0</v>
      </c>
      <c r="U44" s="32" t="str">
        <f>"－"</f>
        <v>－</v>
      </c>
      <c r="V44" s="32" t="n">
        <f>19431683</f>
        <v>1.9431683E7</v>
      </c>
      <c r="W44" s="32" t="str">
        <f>"－"</f>
        <v>－</v>
      </c>
      <c r="X44" s="36" t="n">
        <f>22</f>
        <v>22.0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5150</f>
        <v>5150.0</v>
      </c>
      <c r="L45" s="34" t="s">
        <v>48</v>
      </c>
      <c r="M45" s="33" t="n">
        <f>5940</f>
        <v>5940.0</v>
      </c>
      <c r="N45" s="34" t="s">
        <v>100</v>
      </c>
      <c r="O45" s="33" t="n">
        <f>5010</f>
        <v>5010.0</v>
      </c>
      <c r="P45" s="34" t="s">
        <v>50</v>
      </c>
      <c r="Q45" s="33" t="n">
        <f>5870</f>
        <v>5870.0</v>
      </c>
      <c r="R45" s="34" t="s">
        <v>49</v>
      </c>
      <c r="S45" s="35" t="n">
        <f>5404.55</f>
        <v>5404.55</v>
      </c>
      <c r="T45" s="32" t="n">
        <f>3202</f>
        <v>3202.0</v>
      </c>
      <c r="U45" s="32" t="str">
        <f>"－"</f>
        <v>－</v>
      </c>
      <c r="V45" s="32" t="n">
        <f>17404690</f>
        <v>1.740469E7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177</v>
      </c>
      <c r="C46" s="27" t="s">
        <v>178</v>
      </c>
      <c r="D46" s="27" t="s">
        <v>179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2866</f>
        <v>2866.0</v>
      </c>
      <c r="L46" s="34" t="s">
        <v>48</v>
      </c>
      <c r="M46" s="33" t="n">
        <f>3175</f>
        <v>3175.0</v>
      </c>
      <c r="N46" s="34" t="s">
        <v>54</v>
      </c>
      <c r="O46" s="33" t="n">
        <f>2610</f>
        <v>2610.0</v>
      </c>
      <c r="P46" s="34" t="s">
        <v>71</v>
      </c>
      <c r="Q46" s="33" t="n">
        <f>3130</f>
        <v>3130.0</v>
      </c>
      <c r="R46" s="34" t="s">
        <v>49</v>
      </c>
      <c r="S46" s="35" t="n">
        <f>2924.73</f>
        <v>2924.73</v>
      </c>
      <c r="T46" s="32" t="n">
        <f>5947</f>
        <v>5947.0</v>
      </c>
      <c r="U46" s="32" t="str">
        <f>"－"</f>
        <v>－</v>
      </c>
      <c r="V46" s="32" t="n">
        <f>17256135</f>
        <v>1.7256135E7</v>
      </c>
      <c r="W46" s="32" t="str">
        <f>"－"</f>
        <v>－</v>
      </c>
      <c r="X46" s="36" t="n">
        <f>22</f>
        <v>22.0</v>
      </c>
    </row>
    <row r="47">
      <c r="A47" s="27" t="s">
        <v>42</v>
      </c>
      <c r="B47" s="27" t="s">
        <v>180</v>
      </c>
      <c r="C47" s="27" t="s">
        <v>181</v>
      </c>
      <c r="D47" s="27" t="s">
        <v>182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2877</f>
        <v>2877.0</v>
      </c>
      <c r="L47" s="34" t="s">
        <v>48</v>
      </c>
      <c r="M47" s="33" t="n">
        <f>3080</f>
        <v>3080.0</v>
      </c>
      <c r="N47" s="34" t="s">
        <v>49</v>
      </c>
      <c r="O47" s="33" t="n">
        <f>2570</f>
        <v>2570.0</v>
      </c>
      <c r="P47" s="34" t="s">
        <v>71</v>
      </c>
      <c r="Q47" s="33" t="n">
        <f>3070</f>
        <v>3070.0</v>
      </c>
      <c r="R47" s="34" t="s">
        <v>49</v>
      </c>
      <c r="S47" s="35" t="n">
        <f>2862.91</f>
        <v>2862.91</v>
      </c>
      <c r="T47" s="32" t="n">
        <f>3084</f>
        <v>3084.0</v>
      </c>
      <c r="U47" s="32" t="str">
        <f>"－"</f>
        <v>－</v>
      </c>
      <c r="V47" s="32" t="n">
        <f>8673225</f>
        <v>8673225.0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183</v>
      </c>
      <c r="C48" s="27" t="s">
        <v>184</v>
      </c>
      <c r="D48" s="27" t="s">
        <v>185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49720</f>
        <v>49720.0</v>
      </c>
      <c r="L48" s="34" t="s">
        <v>48</v>
      </c>
      <c r="M48" s="33" t="n">
        <f>56230</f>
        <v>56230.0</v>
      </c>
      <c r="N48" s="34" t="s">
        <v>54</v>
      </c>
      <c r="O48" s="33" t="n">
        <f>47010</f>
        <v>47010.0</v>
      </c>
      <c r="P48" s="34" t="s">
        <v>66</v>
      </c>
      <c r="Q48" s="33" t="n">
        <f>54680</f>
        <v>54680.0</v>
      </c>
      <c r="R48" s="34" t="s">
        <v>49</v>
      </c>
      <c r="S48" s="35" t="n">
        <f>50881.82</f>
        <v>50881.82</v>
      </c>
      <c r="T48" s="32" t="n">
        <f>1626</f>
        <v>1626.0</v>
      </c>
      <c r="U48" s="32" t="n">
        <f>4</f>
        <v>4.0</v>
      </c>
      <c r="V48" s="32" t="n">
        <f>84527940</f>
        <v>8.452794E7</v>
      </c>
      <c r="W48" s="32" t="n">
        <f>196790</f>
        <v>196790.0</v>
      </c>
      <c r="X48" s="36" t="n">
        <f>22</f>
        <v>22.0</v>
      </c>
    </row>
    <row r="49">
      <c r="A49" s="27" t="s">
        <v>42</v>
      </c>
      <c r="B49" s="27" t="s">
        <v>186</v>
      </c>
      <c r="C49" s="27" t="s">
        <v>187</v>
      </c>
      <c r="D49" s="27" t="s">
        <v>188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34790</f>
        <v>34790.0</v>
      </c>
      <c r="L49" s="34" t="s">
        <v>48</v>
      </c>
      <c r="M49" s="33" t="n">
        <f>39050</f>
        <v>39050.0</v>
      </c>
      <c r="N49" s="34" t="s">
        <v>49</v>
      </c>
      <c r="O49" s="33" t="n">
        <f>32580</f>
        <v>32580.0</v>
      </c>
      <c r="P49" s="34" t="s">
        <v>66</v>
      </c>
      <c r="Q49" s="33" t="n">
        <f>39050</f>
        <v>39050.0</v>
      </c>
      <c r="R49" s="34" t="s">
        <v>49</v>
      </c>
      <c r="S49" s="35" t="n">
        <f>35607.5</f>
        <v>35607.5</v>
      </c>
      <c r="T49" s="32" t="n">
        <f>928</f>
        <v>928.0</v>
      </c>
      <c r="U49" s="32" t="n">
        <f>292</f>
        <v>292.0</v>
      </c>
      <c r="V49" s="32" t="n">
        <f>34822812</f>
        <v>3.4822812E7</v>
      </c>
      <c r="W49" s="32" t="n">
        <f>11292032</f>
        <v>1.1292032E7</v>
      </c>
      <c r="X49" s="36" t="n">
        <f>16</f>
        <v>16.0</v>
      </c>
    </row>
    <row r="50">
      <c r="A50" s="27" t="s">
        <v>42</v>
      </c>
      <c r="B50" s="27" t="s">
        <v>189</v>
      </c>
      <c r="C50" s="27" t="s">
        <v>190</v>
      </c>
      <c r="D50" s="27" t="s">
        <v>191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27250</f>
        <v>27250.0</v>
      </c>
      <c r="L50" s="34" t="s">
        <v>48</v>
      </c>
      <c r="M50" s="33" t="n">
        <f>28795</f>
        <v>28795.0</v>
      </c>
      <c r="N50" s="34" t="s">
        <v>54</v>
      </c>
      <c r="O50" s="33" t="n">
        <f>24990</f>
        <v>24990.0</v>
      </c>
      <c r="P50" s="34" t="s">
        <v>50</v>
      </c>
      <c r="Q50" s="33" t="n">
        <f>28360</f>
        <v>28360.0</v>
      </c>
      <c r="R50" s="34" t="s">
        <v>49</v>
      </c>
      <c r="S50" s="35" t="n">
        <f>26866.59</f>
        <v>26866.59</v>
      </c>
      <c r="T50" s="32" t="n">
        <f>28770</f>
        <v>28770.0</v>
      </c>
      <c r="U50" s="32" t="n">
        <f>605</f>
        <v>605.0</v>
      </c>
      <c r="V50" s="32" t="n">
        <f>755420894</f>
        <v>7.55420894E8</v>
      </c>
      <c r="W50" s="32" t="n">
        <f>15746244</f>
        <v>1.5746244E7</v>
      </c>
      <c r="X50" s="36" t="n">
        <f>22</f>
        <v>22.0</v>
      </c>
    </row>
    <row r="51">
      <c r="A51" s="27" t="s">
        <v>42</v>
      </c>
      <c r="B51" s="27" t="s">
        <v>192</v>
      </c>
      <c r="C51" s="27" t="s">
        <v>193</v>
      </c>
      <c r="D51" s="27" t="s">
        <v>194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1936</f>
        <v>1936.0</v>
      </c>
      <c r="L51" s="34" t="s">
        <v>48</v>
      </c>
      <c r="M51" s="33" t="n">
        <f>2087</f>
        <v>2087.0</v>
      </c>
      <c r="N51" s="34" t="s">
        <v>54</v>
      </c>
      <c r="O51" s="33" t="n">
        <f>1888</f>
        <v>1888.0</v>
      </c>
      <c r="P51" s="34" t="s">
        <v>50</v>
      </c>
      <c r="Q51" s="33" t="n">
        <f>2050.5</f>
        <v>2050.5</v>
      </c>
      <c r="R51" s="34" t="s">
        <v>49</v>
      </c>
      <c r="S51" s="35" t="n">
        <f>1964.89</f>
        <v>1964.89</v>
      </c>
      <c r="T51" s="32" t="n">
        <f>927020</f>
        <v>927020.0</v>
      </c>
      <c r="U51" s="32" t="n">
        <f>798250</f>
        <v>798250.0</v>
      </c>
      <c r="V51" s="32" t="n">
        <f>1820697717</f>
        <v>1.820697717E9</v>
      </c>
      <c r="W51" s="32" t="n">
        <f>1566723177</f>
        <v>1.566723177E9</v>
      </c>
      <c r="X51" s="36" t="n">
        <f>22</f>
        <v>22.0</v>
      </c>
    </row>
    <row r="52">
      <c r="A52" s="27" t="s">
        <v>42</v>
      </c>
      <c r="B52" s="27" t="s">
        <v>195</v>
      </c>
      <c r="C52" s="27" t="s">
        <v>196</v>
      </c>
      <c r="D52" s="27" t="s">
        <v>197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1571.5</f>
        <v>1571.5</v>
      </c>
      <c r="L52" s="34" t="s">
        <v>48</v>
      </c>
      <c r="M52" s="33" t="n">
        <f>1657</f>
        <v>1657.0</v>
      </c>
      <c r="N52" s="34" t="s">
        <v>198</v>
      </c>
      <c r="O52" s="33" t="n">
        <f>1475.5</f>
        <v>1475.5</v>
      </c>
      <c r="P52" s="34" t="s">
        <v>50</v>
      </c>
      <c r="Q52" s="33" t="n">
        <f>1609</f>
        <v>1609.0</v>
      </c>
      <c r="R52" s="34" t="s">
        <v>49</v>
      </c>
      <c r="S52" s="35" t="n">
        <f>1552.83</f>
        <v>1552.83</v>
      </c>
      <c r="T52" s="32" t="n">
        <f>10000</f>
        <v>10000.0</v>
      </c>
      <c r="U52" s="32" t="str">
        <f>"－"</f>
        <v>－</v>
      </c>
      <c r="V52" s="32" t="n">
        <f>15370915</f>
        <v>1.5370915E7</v>
      </c>
      <c r="W52" s="32" t="str">
        <f>"－"</f>
        <v>－</v>
      </c>
      <c r="X52" s="36" t="n">
        <f>18</f>
        <v>18.0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4480</f>
        <v>4480.0</v>
      </c>
      <c r="L53" s="34" t="s">
        <v>48</v>
      </c>
      <c r="M53" s="33" t="n">
        <f>4865</f>
        <v>4865.0</v>
      </c>
      <c r="N53" s="34" t="s">
        <v>50</v>
      </c>
      <c r="O53" s="33" t="n">
        <f>4175</f>
        <v>4175.0</v>
      </c>
      <c r="P53" s="34" t="s">
        <v>54</v>
      </c>
      <c r="Q53" s="33" t="n">
        <f>4240</f>
        <v>4240.0</v>
      </c>
      <c r="R53" s="34" t="s">
        <v>49</v>
      </c>
      <c r="S53" s="35" t="n">
        <f>4507.05</f>
        <v>4507.05</v>
      </c>
      <c r="T53" s="32" t="n">
        <f>2050331</f>
        <v>2050331.0</v>
      </c>
      <c r="U53" s="32" t="n">
        <f>1314000</f>
        <v>1314000.0</v>
      </c>
      <c r="V53" s="32" t="n">
        <f>9256121160</f>
        <v>9.25612116E9</v>
      </c>
      <c r="W53" s="32" t="n">
        <f>5910584400</f>
        <v>5.9105844E9</v>
      </c>
      <c r="X53" s="36" t="n">
        <f>22</f>
        <v>22.0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5230</f>
        <v>5230.0</v>
      </c>
      <c r="L54" s="34" t="s">
        <v>48</v>
      </c>
      <c r="M54" s="33" t="n">
        <f>5660</f>
        <v>5660.0</v>
      </c>
      <c r="N54" s="34" t="s">
        <v>66</v>
      </c>
      <c r="O54" s="33" t="n">
        <f>4930</f>
        <v>4930.0</v>
      </c>
      <c r="P54" s="34" t="s">
        <v>54</v>
      </c>
      <c r="Q54" s="33" t="n">
        <f>5010</f>
        <v>5010.0</v>
      </c>
      <c r="R54" s="34" t="s">
        <v>49</v>
      </c>
      <c r="S54" s="35" t="n">
        <f>5258.41</f>
        <v>5258.41</v>
      </c>
      <c r="T54" s="32" t="n">
        <f>1342749</f>
        <v>1342749.0</v>
      </c>
      <c r="U54" s="32" t="n">
        <f>765000</f>
        <v>765000.0</v>
      </c>
      <c r="V54" s="32" t="n">
        <f>7069200175</f>
        <v>7.069200175E9</v>
      </c>
      <c r="W54" s="32" t="n">
        <f>4127791500</f>
        <v>4.1277915E9</v>
      </c>
      <c r="X54" s="36" t="n">
        <f>22</f>
        <v>22.0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15815</f>
        <v>15815.0</v>
      </c>
      <c r="L55" s="34" t="s">
        <v>48</v>
      </c>
      <c r="M55" s="33" t="n">
        <f>17775</f>
        <v>17775.0</v>
      </c>
      <c r="N55" s="34" t="s">
        <v>54</v>
      </c>
      <c r="O55" s="33" t="n">
        <f>13345</f>
        <v>13345.0</v>
      </c>
      <c r="P55" s="34" t="s">
        <v>50</v>
      </c>
      <c r="Q55" s="33" t="n">
        <f>17195</f>
        <v>17195.0</v>
      </c>
      <c r="R55" s="34" t="s">
        <v>49</v>
      </c>
      <c r="S55" s="35" t="n">
        <f>15529.55</f>
        <v>15529.55</v>
      </c>
      <c r="T55" s="32" t="n">
        <f>21086110</f>
        <v>2.108611E7</v>
      </c>
      <c r="U55" s="32" t="n">
        <f>4</f>
        <v>4.0</v>
      </c>
      <c r="V55" s="32" t="n">
        <f>322369867620</f>
        <v>3.2236986762E11</v>
      </c>
      <c r="W55" s="32" t="n">
        <f>63135</f>
        <v>63135.0</v>
      </c>
      <c r="X55" s="36" t="n">
        <f>22</f>
        <v>22.0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1728</f>
        <v>1728.0</v>
      </c>
      <c r="L56" s="34" t="s">
        <v>48</v>
      </c>
      <c r="M56" s="33" t="n">
        <f>2030</f>
        <v>2030.0</v>
      </c>
      <c r="N56" s="34" t="s">
        <v>50</v>
      </c>
      <c r="O56" s="33" t="n">
        <f>1492</f>
        <v>1492.0</v>
      </c>
      <c r="P56" s="34" t="s">
        <v>54</v>
      </c>
      <c r="Q56" s="33" t="n">
        <f>1543</f>
        <v>1543.0</v>
      </c>
      <c r="R56" s="34" t="s">
        <v>49</v>
      </c>
      <c r="S56" s="35" t="n">
        <f>1745.27</f>
        <v>1745.27</v>
      </c>
      <c r="T56" s="32" t="n">
        <f>185739915</f>
        <v>1.85739915E8</v>
      </c>
      <c r="U56" s="32" t="n">
        <f>142720</f>
        <v>142720.0</v>
      </c>
      <c r="V56" s="32" t="n">
        <f>329116537706</f>
        <v>3.29116537706E11</v>
      </c>
      <c r="W56" s="32" t="n">
        <f>287861289</f>
        <v>2.87861289E8</v>
      </c>
      <c r="X56" s="36" t="n">
        <f>22</f>
        <v>22.0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14035</f>
        <v>14035.0</v>
      </c>
      <c r="L57" s="34" t="s">
        <v>48</v>
      </c>
      <c r="M57" s="33" t="n">
        <f>15615</f>
        <v>15615.0</v>
      </c>
      <c r="N57" s="34" t="s">
        <v>54</v>
      </c>
      <c r="O57" s="33" t="n">
        <f>11900</f>
        <v>11900.0</v>
      </c>
      <c r="P57" s="34" t="s">
        <v>143</v>
      </c>
      <c r="Q57" s="33" t="n">
        <f>15025</f>
        <v>15025.0</v>
      </c>
      <c r="R57" s="34" t="s">
        <v>49</v>
      </c>
      <c r="S57" s="35" t="n">
        <f>13811.82</f>
        <v>13811.82</v>
      </c>
      <c r="T57" s="32" t="n">
        <f>14460</f>
        <v>14460.0</v>
      </c>
      <c r="U57" s="32" t="str">
        <f>"－"</f>
        <v>－</v>
      </c>
      <c r="V57" s="32" t="n">
        <f>195569695</f>
        <v>1.95569695E8</v>
      </c>
      <c r="W57" s="32" t="str">
        <f>"－"</f>
        <v>－</v>
      </c>
      <c r="X57" s="36" t="n">
        <f>22</f>
        <v>22.0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5210</f>
        <v>5210.0</v>
      </c>
      <c r="L58" s="34" t="s">
        <v>61</v>
      </c>
      <c r="M58" s="33" t="n">
        <f>5440</f>
        <v>5440.0</v>
      </c>
      <c r="N58" s="34" t="s">
        <v>50</v>
      </c>
      <c r="O58" s="33" t="n">
        <f>4795</f>
        <v>4795.0</v>
      </c>
      <c r="P58" s="34" t="s">
        <v>49</v>
      </c>
      <c r="Q58" s="33" t="n">
        <f>4900</f>
        <v>4900.0</v>
      </c>
      <c r="R58" s="34" t="s">
        <v>49</v>
      </c>
      <c r="S58" s="35" t="n">
        <f>5082.06</f>
        <v>5082.06</v>
      </c>
      <c r="T58" s="32" t="n">
        <f>2471</f>
        <v>2471.0</v>
      </c>
      <c r="U58" s="32" t="str">
        <f>"－"</f>
        <v>－</v>
      </c>
      <c r="V58" s="32" t="n">
        <f>12940780</f>
        <v>1.294078E7</v>
      </c>
      <c r="W58" s="32" t="str">
        <f>"－"</f>
        <v>－</v>
      </c>
      <c r="X58" s="36" t="n">
        <f>17</f>
        <v>17.0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2048</f>
        <v>2048.0</v>
      </c>
      <c r="L59" s="34" t="s">
        <v>48</v>
      </c>
      <c r="M59" s="33" t="n">
        <f>2388</f>
        <v>2388.0</v>
      </c>
      <c r="N59" s="34" t="s">
        <v>66</v>
      </c>
      <c r="O59" s="33" t="n">
        <f>1802</f>
        <v>1802.0</v>
      </c>
      <c r="P59" s="34" t="s">
        <v>54</v>
      </c>
      <c r="Q59" s="33" t="n">
        <f>1874</f>
        <v>1874.0</v>
      </c>
      <c r="R59" s="34" t="s">
        <v>49</v>
      </c>
      <c r="S59" s="35" t="n">
        <f>2073.23</f>
        <v>2073.23</v>
      </c>
      <c r="T59" s="32" t="n">
        <f>53223</f>
        <v>53223.0</v>
      </c>
      <c r="U59" s="32" t="str">
        <f>"－"</f>
        <v>－</v>
      </c>
      <c r="V59" s="32" t="n">
        <f>112639254</f>
        <v>1.12639254E8</v>
      </c>
      <c r="W59" s="32" t="str">
        <f>"－"</f>
        <v>－</v>
      </c>
      <c r="X59" s="36" t="n">
        <f>22</f>
        <v>22.0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13200</f>
        <v>13200.0</v>
      </c>
      <c r="L60" s="34" t="s">
        <v>48</v>
      </c>
      <c r="M60" s="33" t="n">
        <f>14930</f>
        <v>14930.0</v>
      </c>
      <c r="N60" s="34" t="s">
        <v>54</v>
      </c>
      <c r="O60" s="33" t="n">
        <f>11170</f>
        <v>11170.0</v>
      </c>
      <c r="P60" s="34" t="s">
        <v>50</v>
      </c>
      <c r="Q60" s="33" t="n">
        <f>14330</f>
        <v>14330.0</v>
      </c>
      <c r="R60" s="34" t="s">
        <v>49</v>
      </c>
      <c r="S60" s="35" t="n">
        <f>13039.32</f>
        <v>13039.32</v>
      </c>
      <c r="T60" s="32" t="n">
        <f>11510</f>
        <v>11510.0</v>
      </c>
      <c r="U60" s="32" t="str">
        <f>"－"</f>
        <v>－</v>
      </c>
      <c r="V60" s="32" t="n">
        <f>152378800</f>
        <v>1.523788E8</v>
      </c>
      <c r="W60" s="32" t="str">
        <f>"－"</f>
        <v>－</v>
      </c>
      <c r="X60" s="36" t="n">
        <f>22</f>
        <v>22.0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4731</f>
        <v>4731.0</v>
      </c>
      <c r="L61" s="34" t="s">
        <v>48</v>
      </c>
      <c r="M61" s="33" t="n">
        <f>5111</f>
        <v>5111.0</v>
      </c>
      <c r="N61" s="34" t="s">
        <v>66</v>
      </c>
      <c r="O61" s="33" t="n">
        <f>4493</f>
        <v>4493.0</v>
      </c>
      <c r="P61" s="34" t="s">
        <v>226</v>
      </c>
      <c r="Q61" s="33" t="n">
        <f>4555</f>
        <v>4555.0</v>
      </c>
      <c r="R61" s="34" t="s">
        <v>227</v>
      </c>
      <c r="S61" s="35" t="n">
        <f>4810</f>
        <v>4810.0</v>
      </c>
      <c r="T61" s="32" t="n">
        <f>2140</f>
        <v>2140.0</v>
      </c>
      <c r="U61" s="32" t="str">
        <f>"－"</f>
        <v>－</v>
      </c>
      <c r="V61" s="32" t="n">
        <f>10583280</f>
        <v>1.058328E7</v>
      </c>
      <c r="W61" s="32" t="str">
        <f>"－"</f>
        <v>－</v>
      </c>
      <c r="X61" s="36" t="n">
        <f>12</f>
        <v>12.0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2035</f>
        <v>2035.0</v>
      </c>
      <c r="L62" s="34" t="s">
        <v>48</v>
      </c>
      <c r="M62" s="33" t="n">
        <f>2450</f>
        <v>2450.0</v>
      </c>
      <c r="N62" s="34" t="s">
        <v>50</v>
      </c>
      <c r="O62" s="33" t="n">
        <f>1800.5</f>
        <v>1800.5</v>
      </c>
      <c r="P62" s="34" t="s">
        <v>54</v>
      </c>
      <c r="Q62" s="33" t="n">
        <f>1857</f>
        <v>1857.0</v>
      </c>
      <c r="R62" s="34" t="s">
        <v>49</v>
      </c>
      <c r="S62" s="35" t="n">
        <f>2040.2</f>
        <v>2040.2</v>
      </c>
      <c r="T62" s="32" t="n">
        <f>145100</f>
        <v>145100.0</v>
      </c>
      <c r="U62" s="32" t="str">
        <f>"－"</f>
        <v>－</v>
      </c>
      <c r="V62" s="32" t="n">
        <f>313596155</f>
        <v>3.13596155E8</v>
      </c>
      <c r="W62" s="32" t="str">
        <f>"－"</f>
        <v>－</v>
      </c>
      <c r="X62" s="36" t="n">
        <f>22</f>
        <v>22.0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234</v>
      </c>
      <c r="F63" s="29" t="s">
        <v>235</v>
      </c>
      <c r="G63" s="30" t="s">
        <v>236</v>
      </c>
      <c r="H63" s="31" t="s">
        <v>237</v>
      </c>
      <c r="I63" s="31"/>
      <c r="J63" s="32" t="n">
        <v>1.0</v>
      </c>
      <c r="K63" s="33" t="n">
        <f>3400</f>
        <v>3400.0</v>
      </c>
      <c r="L63" s="34" t="s">
        <v>48</v>
      </c>
      <c r="M63" s="33" t="n">
        <f>3545</f>
        <v>3545.0</v>
      </c>
      <c r="N63" s="34" t="s">
        <v>61</v>
      </c>
      <c r="O63" s="33" t="n">
        <f>3205</f>
        <v>3205.0</v>
      </c>
      <c r="P63" s="34" t="s">
        <v>95</v>
      </c>
      <c r="Q63" s="33" t="n">
        <f>3335</f>
        <v>3335.0</v>
      </c>
      <c r="R63" s="34" t="s">
        <v>238</v>
      </c>
      <c r="S63" s="35" t="n">
        <f>3323.46</f>
        <v>3323.46</v>
      </c>
      <c r="T63" s="32" t="n">
        <f>4313</f>
        <v>4313.0</v>
      </c>
      <c r="U63" s="32" t="str">
        <f>"－"</f>
        <v>－</v>
      </c>
      <c r="V63" s="32" t="n">
        <f>14441540</f>
        <v>1.444154E7</v>
      </c>
      <c r="W63" s="32" t="str">
        <f>"－"</f>
        <v>－</v>
      </c>
      <c r="X63" s="36" t="n">
        <f>13</f>
        <v>13.0</v>
      </c>
    </row>
    <row r="64">
      <c r="A64" s="27" t="s">
        <v>42</v>
      </c>
      <c r="B64" s="27" t="s">
        <v>239</v>
      </c>
      <c r="C64" s="27" t="s">
        <v>240</v>
      </c>
      <c r="D64" s="27" t="s">
        <v>241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817</f>
        <v>817.0</v>
      </c>
      <c r="L64" s="34" t="s">
        <v>48</v>
      </c>
      <c r="M64" s="33" t="n">
        <f>957</f>
        <v>957.0</v>
      </c>
      <c r="N64" s="34" t="s">
        <v>66</v>
      </c>
      <c r="O64" s="33" t="n">
        <f>735</f>
        <v>735.0</v>
      </c>
      <c r="P64" s="34" t="s">
        <v>54</v>
      </c>
      <c r="Q64" s="33" t="n">
        <f>753</f>
        <v>753.0</v>
      </c>
      <c r="R64" s="34" t="s">
        <v>49</v>
      </c>
      <c r="S64" s="35" t="n">
        <f>831</f>
        <v>831.0</v>
      </c>
      <c r="T64" s="32" t="n">
        <f>152772</f>
        <v>152772.0</v>
      </c>
      <c r="U64" s="32" t="str">
        <f>"－"</f>
        <v>－</v>
      </c>
      <c r="V64" s="32" t="n">
        <f>125048281</f>
        <v>1.25048281E8</v>
      </c>
      <c r="W64" s="32" t="str">
        <f>"－"</f>
        <v>－</v>
      </c>
      <c r="X64" s="36" t="n">
        <f>22</f>
        <v>22.0</v>
      </c>
    </row>
    <row r="65">
      <c r="A65" s="27" t="s">
        <v>42</v>
      </c>
      <c r="B65" s="27" t="s">
        <v>242</v>
      </c>
      <c r="C65" s="27" t="s">
        <v>243</v>
      </c>
      <c r="D65" s="27" t="s">
        <v>244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1932</f>
        <v>1932.0</v>
      </c>
      <c r="L65" s="34" t="s">
        <v>48</v>
      </c>
      <c r="M65" s="33" t="n">
        <f>2025</f>
        <v>2025.0</v>
      </c>
      <c r="N65" s="34" t="s">
        <v>54</v>
      </c>
      <c r="O65" s="33" t="n">
        <f>1779</f>
        <v>1779.0</v>
      </c>
      <c r="P65" s="34" t="s">
        <v>66</v>
      </c>
      <c r="Q65" s="33" t="n">
        <f>1995.5</f>
        <v>1995.5</v>
      </c>
      <c r="R65" s="34" t="s">
        <v>49</v>
      </c>
      <c r="S65" s="35" t="n">
        <f>1912.77</f>
        <v>1912.77</v>
      </c>
      <c r="T65" s="32" t="n">
        <f>933590</f>
        <v>933590.0</v>
      </c>
      <c r="U65" s="32" t="str">
        <f>"－"</f>
        <v>－</v>
      </c>
      <c r="V65" s="32" t="n">
        <f>1789814030</f>
        <v>1.78981403E9</v>
      </c>
      <c r="W65" s="32" t="str">
        <f>"－"</f>
        <v>－</v>
      </c>
      <c r="X65" s="36" t="n">
        <f>22</f>
        <v>22.0</v>
      </c>
    </row>
    <row r="66">
      <c r="A66" s="27" t="s">
        <v>42</v>
      </c>
      <c r="B66" s="27" t="s">
        <v>245</v>
      </c>
      <c r="C66" s="27" t="s">
        <v>246</v>
      </c>
      <c r="D66" s="27" t="s">
        <v>247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17165</f>
        <v>17165.0</v>
      </c>
      <c r="L66" s="34" t="s">
        <v>48</v>
      </c>
      <c r="M66" s="33" t="n">
        <f>18180</f>
        <v>18180.0</v>
      </c>
      <c r="N66" s="34" t="s">
        <v>54</v>
      </c>
      <c r="O66" s="33" t="n">
        <f>15945</f>
        <v>15945.0</v>
      </c>
      <c r="P66" s="34" t="s">
        <v>50</v>
      </c>
      <c r="Q66" s="33" t="n">
        <f>17945</f>
        <v>17945.0</v>
      </c>
      <c r="R66" s="34" t="s">
        <v>49</v>
      </c>
      <c r="S66" s="35" t="n">
        <f>17141.82</f>
        <v>17141.82</v>
      </c>
      <c r="T66" s="32" t="n">
        <f>15815</f>
        <v>15815.0</v>
      </c>
      <c r="U66" s="32" t="str">
        <f>"－"</f>
        <v>－</v>
      </c>
      <c r="V66" s="32" t="n">
        <f>267991145</f>
        <v>2.67991145E8</v>
      </c>
      <c r="W66" s="32" t="str">
        <f>"－"</f>
        <v>－</v>
      </c>
      <c r="X66" s="36" t="n">
        <f>22</f>
        <v>22.0</v>
      </c>
    </row>
    <row r="67">
      <c r="A67" s="27" t="s">
        <v>42</v>
      </c>
      <c r="B67" s="27" t="s">
        <v>248</v>
      </c>
      <c r="C67" s="27" t="s">
        <v>249</v>
      </c>
      <c r="D67" s="27" t="s">
        <v>250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1942</f>
        <v>1942.0</v>
      </c>
      <c r="L67" s="34" t="s">
        <v>48</v>
      </c>
      <c r="M67" s="33" t="n">
        <f>2044</f>
        <v>2044.0</v>
      </c>
      <c r="N67" s="34" t="s">
        <v>54</v>
      </c>
      <c r="O67" s="33" t="n">
        <f>1787</f>
        <v>1787.0</v>
      </c>
      <c r="P67" s="34" t="s">
        <v>66</v>
      </c>
      <c r="Q67" s="33" t="n">
        <f>2007</f>
        <v>2007.0</v>
      </c>
      <c r="R67" s="34" t="s">
        <v>49</v>
      </c>
      <c r="S67" s="35" t="n">
        <f>1923.64</f>
        <v>1923.64</v>
      </c>
      <c r="T67" s="32" t="n">
        <f>15939072</f>
        <v>1.5939072E7</v>
      </c>
      <c r="U67" s="32" t="n">
        <f>6004303</f>
        <v>6004303.0</v>
      </c>
      <c r="V67" s="32" t="n">
        <f>30714564515</f>
        <v>3.0714564515E10</v>
      </c>
      <c r="W67" s="32" t="n">
        <f>11689691171</f>
        <v>1.1689691171E10</v>
      </c>
      <c r="X67" s="36" t="n">
        <f>22</f>
        <v>22.0</v>
      </c>
    </row>
    <row r="68">
      <c r="A68" s="27" t="s">
        <v>42</v>
      </c>
      <c r="B68" s="27" t="s">
        <v>251</v>
      </c>
      <c r="C68" s="27" t="s">
        <v>252</v>
      </c>
      <c r="D68" s="27" t="s">
        <v>253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1942</f>
        <v>1942.0</v>
      </c>
      <c r="L68" s="34" t="s">
        <v>48</v>
      </c>
      <c r="M68" s="33" t="n">
        <f>2116</f>
        <v>2116.0</v>
      </c>
      <c r="N68" s="34" t="s">
        <v>54</v>
      </c>
      <c r="O68" s="33" t="n">
        <f>1904</f>
        <v>1904.0</v>
      </c>
      <c r="P68" s="34" t="s">
        <v>50</v>
      </c>
      <c r="Q68" s="33" t="n">
        <f>2075</f>
        <v>2075.0</v>
      </c>
      <c r="R68" s="34" t="s">
        <v>49</v>
      </c>
      <c r="S68" s="35" t="n">
        <f>1984.59</f>
        <v>1984.59</v>
      </c>
      <c r="T68" s="32" t="n">
        <f>4207279</f>
        <v>4207279.0</v>
      </c>
      <c r="U68" s="32" t="n">
        <f>636951</f>
        <v>636951.0</v>
      </c>
      <c r="V68" s="32" t="n">
        <f>8385945138</f>
        <v>8.385945138E9</v>
      </c>
      <c r="W68" s="32" t="n">
        <f>1273637479</f>
        <v>1.273637479E9</v>
      </c>
      <c r="X68" s="36" t="n">
        <f>22</f>
        <v>22.0</v>
      </c>
    </row>
    <row r="69">
      <c r="A69" s="27" t="s">
        <v>42</v>
      </c>
      <c r="B69" s="27" t="s">
        <v>254</v>
      </c>
      <c r="C69" s="27" t="s">
        <v>255</v>
      </c>
      <c r="D69" s="27" t="s">
        <v>256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1808</f>
        <v>1808.0</v>
      </c>
      <c r="L69" s="34" t="s">
        <v>48</v>
      </c>
      <c r="M69" s="33" t="n">
        <f>1909</f>
        <v>1909.0</v>
      </c>
      <c r="N69" s="34" t="s">
        <v>54</v>
      </c>
      <c r="O69" s="33" t="n">
        <f>1717</f>
        <v>1717.0</v>
      </c>
      <c r="P69" s="34" t="s">
        <v>66</v>
      </c>
      <c r="Q69" s="33" t="n">
        <f>1872</f>
        <v>1872.0</v>
      </c>
      <c r="R69" s="34" t="s">
        <v>49</v>
      </c>
      <c r="S69" s="35" t="n">
        <f>1811.95</f>
        <v>1811.95</v>
      </c>
      <c r="T69" s="32" t="n">
        <f>69405</f>
        <v>69405.0</v>
      </c>
      <c r="U69" s="32" t="n">
        <f>6</f>
        <v>6.0</v>
      </c>
      <c r="V69" s="32" t="n">
        <f>124906874</f>
        <v>1.24906874E8</v>
      </c>
      <c r="W69" s="32" t="n">
        <f>10649</f>
        <v>10649.0</v>
      </c>
      <c r="X69" s="36" t="n">
        <f>22</f>
        <v>22.0</v>
      </c>
    </row>
    <row r="70">
      <c r="A70" s="27" t="s">
        <v>42</v>
      </c>
      <c r="B70" s="27" t="s">
        <v>257</v>
      </c>
      <c r="C70" s="27" t="s">
        <v>258</v>
      </c>
      <c r="D70" s="27" t="s">
        <v>259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2260</f>
        <v>2260.0</v>
      </c>
      <c r="L70" s="34" t="s">
        <v>48</v>
      </c>
      <c r="M70" s="33" t="n">
        <f>2420</f>
        <v>2420.0</v>
      </c>
      <c r="N70" s="34" t="s">
        <v>54</v>
      </c>
      <c r="O70" s="33" t="n">
        <f>2126</f>
        <v>2126.0</v>
      </c>
      <c r="P70" s="34" t="s">
        <v>66</v>
      </c>
      <c r="Q70" s="33" t="n">
        <f>2376</f>
        <v>2376.0</v>
      </c>
      <c r="R70" s="34" t="s">
        <v>49</v>
      </c>
      <c r="S70" s="35" t="n">
        <f>2278.86</f>
        <v>2278.86</v>
      </c>
      <c r="T70" s="32" t="n">
        <f>724598</f>
        <v>724598.0</v>
      </c>
      <c r="U70" s="32" t="n">
        <f>181006</f>
        <v>181006.0</v>
      </c>
      <c r="V70" s="32" t="n">
        <f>1636238445</f>
        <v>1.636238445E9</v>
      </c>
      <c r="W70" s="32" t="n">
        <f>404535216</f>
        <v>4.04535216E8</v>
      </c>
      <c r="X70" s="36" t="n">
        <f>22</f>
        <v>22.0</v>
      </c>
    </row>
    <row r="71">
      <c r="A71" s="27" t="s">
        <v>42</v>
      </c>
      <c r="B71" s="27" t="s">
        <v>260</v>
      </c>
      <c r="C71" s="27" t="s">
        <v>261</v>
      </c>
      <c r="D71" s="27" t="s">
        <v>262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23110</f>
        <v>23110.0</v>
      </c>
      <c r="L71" s="34" t="s">
        <v>61</v>
      </c>
      <c r="M71" s="33" t="n">
        <f>24625</f>
        <v>24625.0</v>
      </c>
      <c r="N71" s="34" t="s">
        <v>70</v>
      </c>
      <c r="O71" s="33" t="n">
        <f>21700</f>
        <v>21700.0</v>
      </c>
      <c r="P71" s="34" t="s">
        <v>50</v>
      </c>
      <c r="Q71" s="33" t="n">
        <f>24560</f>
        <v>24560.0</v>
      </c>
      <c r="R71" s="34" t="s">
        <v>70</v>
      </c>
      <c r="S71" s="35" t="n">
        <f>22816.67</f>
        <v>22816.67</v>
      </c>
      <c r="T71" s="32" t="n">
        <f>47</f>
        <v>47.0</v>
      </c>
      <c r="U71" s="32" t="str">
        <f>"－"</f>
        <v>－</v>
      </c>
      <c r="V71" s="32" t="n">
        <f>1094770</f>
        <v>1094770.0</v>
      </c>
      <c r="W71" s="32" t="str">
        <f>"－"</f>
        <v>－</v>
      </c>
      <c r="X71" s="36" t="n">
        <f>12</f>
        <v>12.0</v>
      </c>
    </row>
    <row r="72">
      <c r="A72" s="27" t="s">
        <v>42</v>
      </c>
      <c r="B72" s="27" t="s">
        <v>263</v>
      </c>
      <c r="C72" s="27" t="s">
        <v>264</v>
      </c>
      <c r="D72" s="27" t="s">
        <v>265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18980</f>
        <v>18980.0</v>
      </c>
      <c r="L72" s="34" t="s">
        <v>61</v>
      </c>
      <c r="M72" s="33" t="n">
        <f>20040</f>
        <v>20040.0</v>
      </c>
      <c r="N72" s="34" t="s">
        <v>49</v>
      </c>
      <c r="O72" s="33" t="n">
        <f>17710</f>
        <v>17710.0</v>
      </c>
      <c r="P72" s="34" t="s">
        <v>50</v>
      </c>
      <c r="Q72" s="33" t="n">
        <f>20020</f>
        <v>20020.0</v>
      </c>
      <c r="R72" s="34" t="s">
        <v>49</v>
      </c>
      <c r="S72" s="35" t="n">
        <f>19001.43</f>
        <v>19001.43</v>
      </c>
      <c r="T72" s="32" t="n">
        <f>421</f>
        <v>421.0</v>
      </c>
      <c r="U72" s="32" t="str">
        <f>"－"</f>
        <v>－</v>
      </c>
      <c r="V72" s="32" t="n">
        <f>8220995</f>
        <v>8220995.0</v>
      </c>
      <c r="W72" s="32" t="str">
        <f>"－"</f>
        <v>－</v>
      </c>
      <c r="X72" s="36" t="n">
        <f>14</f>
        <v>14.0</v>
      </c>
    </row>
    <row r="73">
      <c r="A73" s="27" t="s">
        <v>42</v>
      </c>
      <c r="B73" s="27" t="s">
        <v>266</v>
      </c>
      <c r="C73" s="27" t="s">
        <v>267</v>
      </c>
      <c r="D73" s="27" t="s">
        <v>268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1924</f>
        <v>1924.0</v>
      </c>
      <c r="L73" s="34" t="s">
        <v>48</v>
      </c>
      <c r="M73" s="33" t="n">
        <f>2054</f>
        <v>2054.0</v>
      </c>
      <c r="N73" s="34" t="s">
        <v>54</v>
      </c>
      <c r="O73" s="33" t="n">
        <f>1826</f>
        <v>1826.0</v>
      </c>
      <c r="P73" s="34" t="s">
        <v>66</v>
      </c>
      <c r="Q73" s="33" t="n">
        <f>2048</f>
        <v>2048.0</v>
      </c>
      <c r="R73" s="34" t="s">
        <v>49</v>
      </c>
      <c r="S73" s="35" t="n">
        <f>1945.55</f>
        <v>1945.55</v>
      </c>
      <c r="T73" s="32" t="n">
        <f>3369</f>
        <v>3369.0</v>
      </c>
      <c r="U73" s="32" t="str">
        <f>"－"</f>
        <v>－</v>
      </c>
      <c r="V73" s="32" t="n">
        <f>6482384</f>
        <v>6482384.0</v>
      </c>
      <c r="W73" s="32" t="str">
        <f>"－"</f>
        <v>－</v>
      </c>
      <c r="X73" s="36" t="n">
        <f>20</f>
        <v>20.0</v>
      </c>
    </row>
    <row r="74">
      <c r="A74" s="27" t="s">
        <v>42</v>
      </c>
      <c r="B74" s="27" t="s">
        <v>269</v>
      </c>
      <c r="C74" s="27" t="s">
        <v>270</v>
      </c>
      <c r="D74" s="27" t="s">
        <v>271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2277</f>
        <v>2277.0</v>
      </c>
      <c r="L74" s="34" t="s">
        <v>48</v>
      </c>
      <c r="M74" s="33" t="n">
        <f>2305</f>
        <v>2305.0</v>
      </c>
      <c r="N74" s="34" t="s">
        <v>71</v>
      </c>
      <c r="O74" s="33" t="n">
        <f>2131</f>
        <v>2131.0</v>
      </c>
      <c r="P74" s="34" t="s">
        <v>227</v>
      </c>
      <c r="Q74" s="33" t="n">
        <f>2171</f>
        <v>2171.0</v>
      </c>
      <c r="R74" s="34" t="s">
        <v>49</v>
      </c>
      <c r="S74" s="35" t="n">
        <f>2220.82</f>
        <v>2220.82</v>
      </c>
      <c r="T74" s="32" t="n">
        <f>4431833</f>
        <v>4431833.0</v>
      </c>
      <c r="U74" s="32" t="n">
        <f>1835267</f>
        <v>1835267.0</v>
      </c>
      <c r="V74" s="32" t="n">
        <f>9656428826</f>
        <v>9.656428826E9</v>
      </c>
      <c r="W74" s="32" t="n">
        <f>3989473392</f>
        <v>3.989473392E9</v>
      </c>
      <c r="X74" s="36" t="n">
        <f>22</f>
        <v>22.0</v>
      </c>
    </row>
    <row r="75">
      <c r="A75" s="27" t="s">
        <v>42</v>
      </c>
      <c r="B75" s="27" t="s">
        <v>272</v>
      </c>
      <c r="C75" s="27" t="s">
        <v>273</v>
      </c>
      <c r="D75" s="27" t="s">
        <v>274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1906</f>
        <v>1906.0</v>
      </c>
      <c r="L75" s="34" t="s">
        <v>48</v>
      </c>
      <c r="M75" s="33" t="n">
        <f>2190</f>
        <v>2190.0</v>
      </c>
      <c r="N75" s="34" t="s">
        <v>198</v>
      </c>
      <c r="O75" s="33" t="n">
        <f>1880</f>
        <v>1880.0</v>
      </c>
      <c r="P75" s="34" t="s">
        <v>50</v>
      </c>
      <c r="Q75" s="33" t="n">
        <f>2076</f>
        <v>2076.0</v>
      </c>
      <c r="R75" s="34" t="s">
        <v>54</v>
      </c>
      <c r="S75" s="35" t="n">
        <f>1964.58</f>
        <v>1964.58</v>
      </c>
      <c r="T75" s="32" t="n">
        <f>4626</f>
        <v>4626.0</v>
      </c>
      <c r="U75" s="32" t="str">
        <f>"－"</f>
        <v>－</v>
      </c>
      <c r="V75" s="32" t="n">
        <f>9474671</f>
        <v>9474671.0</v>
      </c>
      <c r="W75" s="32" t="str">
        <f>"－"</f>
        <v>－</v>
      </c>
      <c r="X75" s="36" t="n">
        <f>19</f>
        <v>19.0</v>
      </c>
    </row>
    <row r="76">
      <c r="A76" s="27" t="s">
        <v>42</v>
      </c>
      <c r="B76" s="27" t="s">
        <v>275</v>
      </c>
      <c r="C76" s="27" t="s">
        <v>276</v>
      </c>
      <c r="D76" s="27" t="s">
        <v>277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1902.5</f>
        <v>1902.5</v>
      </c>
      <c r="L76" s="34" t="s">
        <v>48</v>
      </c>
      <c r="M76" s="33" t="n">
        <f>2021.5</f>
        <v>2021.5</v>
      </c>
      <c r="N76" s="34" t="s">
        <v>100</v>
      </c>
      <c r="O76" s="33" t="n">
        <f>1800</f>
        <v>1800.0</v>
      </c>
      <c r="P76" s="34" t="s">
        <v>66</v>
      </c>
      <c r="Q76" s="33" t="n">
        <f>2005</f>
        <v>2005.0</v>
      </c>
      <c r="R76" s="34" t="s">
        <v>49</v>
      </c>
      <c r="S76" s="35" t="n">
        <f>1915.34</f>
        <v>1915.34</v>
      </c>
      <c r="T76" s="32" t="n">
        <f>11770</f>
        <v>11770.0</v>
      </c>
      <c r="U76" s="32" t="str">
        <f>"－"</f>
        <v>－</v>
      </c>
      <c r="V76" s="32" t="n">
        <f>22053040</f>
        <v>2.205304E7</v>
      </c>
      <c r="W76" s="32" t="str">
        <f>"－"</f>
        <v>－</v>
      </c>
      <c r="X76" s="36" t="n">
        <f>22</f>
        <v>22.0</v>
      </c>
    </row>
    <row r="77">
      <c r="A77" s="27" t="s">
        <v>42</v>
      </c>
      <c r="B77" s="27" t="s">
        <v>278</v>
      </c>
      <c r="C77" s="27" t="s">
        <v>279</v>
      </c>
      <c r="D77" s="27" t="s">
        <v>280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28375</f>
        <v>28375.0</v>
      </c>
      <c r="L77" s="34" t="s">
        <v>71</v>
      </c>
      <c r="M77" s="33" t="n">
        <f>30300</f>
        <v>30300.0</v>
      </c>
      <c r="N77" s="34" t="s">
        <v>78</v>
      </c>
      <c r="O77" s="33" t="n">
        <f>28375</f>
        <v>28375.0</v>
      </c>
      <c r="P77" s="34" t="s">
        <v>71</v>
      </c>
      <c r="Q77" s="33" t="n">
        <f>30210</f>
        <v>30210.0</v>
      </c>
      <c r="R77" s="34" t="s">
        <v>227</v>
      </c>
      <c r="S77" s="35" t="n">
        <f>29628.33</f>
        <v>29628.33</v>
      </c>
      <c r="T77" s="32" t="n">
        <f>6</f>
        <v>6.0</v>
      </c>
      <c r="U77" s="32" t="n">
        <f>1</f>
        <v>1.0</v>
      </c>
      <c r="V77" s="32" t="n">
        <f>174090</f>
        <v>174090.0</v>
      </c>
      <c r="W77" s="32" t="n">
        <f>28000</f>
        <v>28000.0</v>
      </c>
      <c r="X77" s="36" t="n">
        <f>3</f>
        <v>3.0</v>
      </c>
    </row>
    <row r="78">
      <c r="A78" s="27" t="s">
        <v>42</v>
      </c>
      <c r="B78" s="27" t="s">
        <v>281</v>
      </c>
      <c r="C78" s="27" t="s">
        <v>282</v>
      </c>
      <c r="D78" s="27" t="s">
        <v>283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21495</f>
        <v>21495.0</v>
      </c>
      <c r="L78" s="34" t="s">
        <v>48</v>
      </c>
      <c r="M78" s="33" t="n">
        <f>21980</f>
        <v>21980.0</v>
      </c>
      <c r="N78" s="34" t="s">
        <v>100</v>
      </c>
      <c r="O78" s="33" t="n">
        <f>21310</f>
        <v>21310.0</v>
      </c>
      <c r="P78" s="34" t="s">
        <v>226</v>
      </c>
      <c r="Q78" s="33" t="n">
        <f>21825</f>
        <v>21825.0</v>
      </c>
      <c r="R78" s="34" t="s">
        <v>49</v>
      </c>
      <c r="S78" s="35" t="n">
        <f>21610.68</f>
        <v>21610.68</v>
      </c>
      <c r="T78" s="32" t="n">
        <f>140788</f>
        <v>140788.0</v>
      </c>
      <c r="U78" s="32" t="n">
        <f>14302</f>
        <v>14302.0</v>
      </c>
      <c r="V78" s="32" t="n">
        <f>3049557815</f>
        <v>3.049557815E9</v>
      </c>
      <c r="W78" s="32" t="n">
        <f>308805455</f>
        <v>3.08805455E8</v>
      </c>
      <c r="X78" s="36" t="n">
        <f>22</f>
        <v>22.0</v>
      </c>
    </row>
    <row r="79">
      <c r="A79" s="27" t="s">
        <v>42</v>
      </c>
      <c r="B79" s="27" t="s">
        <v>284</v>
      </c>
      <c r="C79" s="27" t="s">
        <v>285</v>
      </c>
      <c r="D79" s="27" t="s">
        <v>286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17650</f>
        <v>17650.0</v>
      </c>
      <c r="L79" s="34" t="s">
        <v>48</v>
      </c>
      <c r="M79" s="33" t="n">
        <f>17870</f>
        <v>17870.0</v>
      </c>
      <c r="N79" s="34" t="s">
        <v>71</v>
      </c>
      <c r="O79" s="33" t="n">
        <f>16540</f>
        <v>16540.0</v>
      </c>
      <c r="P79" s="34" t="s">
        <v>227</v>
      </c>
      <c r="Q79" s="33" t="n">
        <f>16810</f>
        <v>16810.0</v>
      </c>
      <c r="R79" s="34" t="s">
        <v>49</v>
      </c>
      <c r="S79" s="35" t="n">
        <f>17215.68</f>
        <v>17215.68</v>
      </c>
      <c r="T79" s="32" t="n">
        <f>1425971</f>
        <v>1425971.0</v>
      </c>
      <c r="U79" s="32" t="n">
        <f>1029800</f>
        <v>1029800.0</v>
      </c>
      <c r="V79" s="32" t="n">
        <f>24081589384</f>
        <v>2.4081589384E10</v>
      </c>
      <c r="W79" s="32" t="n">
        <f>17394719799</f>
        <v>1.7394719799E10</v>
      </c>
      <c r="X79" s="36" t="n">
        <f>22</f>
        <v>22.0</v>
      </c>
    </row>
    <row r="80">
      <c r="A80" s="27" t="s">
        <v>42</v>
      </c>
      <c r="B80" s="27" t="s">
        <v>287</v>
      </c>
      <c r="C80" s="27" t="s">
        <v>288</v>
      </c>
      <c r="D80" s="27" t="s">
        <v>289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1955.5</f>
        <v>1955.5</v>
      </c>
      <c r="L80" s="34" t="s">
        <v>48</v>
      </c>
      <c r="M80" s="33" t="n">
        <f>2105</f>
        <v>2105.0</v>
      </c>
      <c r="N80" s="34" t="s">
        <v>54</v>
      </c>
      <c r="O80" s="33" t="n">
        <f>1895</f>
        <v>1895.0</v>
      </c>
      <c r="P80" s="34" t="s">
        <v>50</v>
      </c>
      <c r="Q80" s="33" t="n">
        <f>2060</f>
        <v>2060.0</v>
      </c>
      <c r="R80" s="34" t="s">
        <v>49</v>
      </c>
      <c r="S80" s="35" t="n">
        <f>1976.11</f>
        <v>1976.11</v>
      </c>
      <c r="T80" s="32" t="n">
        <f>1465330</f>
        <v>1465330.0</v>
      </c>
      <c r="U80" s="32" t="n">
        <f>280240</f>
        <v>280240.0</v>
      </c>
      <c r="V80" s="32" t="n">
        <f>2903473014</f>
        <v>2.903473014E9</v>
      </c>
      <c r="W80" s="32" t="n">
        <f>551364194</f>
        <v>5.51364194E8</v>
      </c>
      <c r="X80" s="36" t="n">
        <f>22</f>
        <v>22.0</v>
      </c>
    </row>
    <row r="81">
      <c r="A81" s="27" t="s">
        <v>42</v>
      </c>
      <c r="B81" s="27" t="s">
        <v>290</v>
      </c>
      <c r="C81" s="27" t="s">
        <v>291</v>
      </c>
      <c r="D81" s="27" t="s">
        <v>292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38920</f>
        <v>38920.0</v>
      </c>
      <c r="L81" s="34" t="s">
        <v>48</v>
      </c>
      <c r="M81" s="33" t="n">
        <f>41860</f>
        <v>41860.0</v>
      </c>
      <c r="N81" s="34" t="s">
        <v>78</v>
      </c>
      <c r="O81" s="33" t="n">
        <f>37010</f>
        <v>37010.0</v>
      </c>
      <c r="P81" s="34" t="s">
        <v>66</v>
      </c>
      <c r="Q81" s="33" t="n">
        <f>41110</f>
        <v>41110.0</v>
      </c>
      <c r="R81" s="34" t="s">
        <v>49</v>
      </c>
      <c r="S81" s="35" t="n">
        <f>39700.45</f>
        <v>39700.45</v>
      </c>
      <c r="T81" s="32" t="n">
        <f>66726</f>
        <v>66726.0</v>
      </c>
      <c r="U81" s="32" t="n">
        <f>21</f>
        <v>21.0</v>
      </c>
      <c r="V81" s="32" t="n">
        <f>2656714160</f>
        <v>2.65671416E9</v>
      </c>
      <c r="W81" s="32" t="n">
        <f>829860</f>
        <v>829860.0</v>
      </c>
      <c r="X81" s="36" t="n">
        <f>22</f>
        <v>22.0</v>
      </c>
    </row>
    <row r="82">
      <c r="A82" s="27" t="s">
        <v>42</v>
      </c>
      <c r="B82" s="27" t="s">
        <v>293</v>
      </c>
      <c r="C82" s="27" t="s">
        <v>294</v>
      </c>
      <c r="D82" s="27" t="s">
        <v>295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7613</f>
        <v>7613.0</v>
      </c>
      <c r="L82" s="34" t="s">
        <v>296</v>
      </c>
      <c r="M82" s="33" t="n">
        <f>7777</f>
        <v>7777.0</v>
      </c>
      <c r="N82" s="34" t="s">
        <v>71</v>
      </c>
      <c r="O82" s="33" t="n">
        <f>7444</f>
        <v>7444.0</v>
      </c>
      <c r="P82" s="34" t="s">
        <v>297</v>
      </c>
      <c r="Q82" s="33" t="n">
        <f>7738</f>
        <v>7738.0</v>
      </c>
      <c r="R82" s="34" t="s">
        <v>297</v>
      </c>
      <c r="S82" s="35" t="n">
        <f>7750.4</f>
        <v>7750.4</v>
      </c>
      <c r="T82" s="32" t="n">
        <f>34390</f>
        <v>34390.0</v>
      </c>
      <c r="U82" s="32" t="n">
        <f>34000</f>
        <v>34000.0</v>
      </c>
      <c r="V82" s="32" t="n">
        <f>264690763</f>
        <v>2.64690763E8</v>
      </c>
      <c r="W82" s="32" t="n">
        <f>261687833</f>
        <v>2.61687833E8</v>
      </c>
      <c r="X82" s="36" t="n">
        <f>5</f>
        <v>5.0</v>
      </c>
    </row>
    <row r="83">
      <c r="A83" s="27" t="s">
        <v>42</v>
      </c>
      <c r="B83" s="27" t="s">
        <v>298</v>
      </c>
      <c r="C83" s="27" t="s">
        <v>299</v>
      </c>
      <c r="D83" s="27" t="s">
        <v>300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15315</f>
        <v>15315.0</v>
      </c>
      <c r="L83" s="34" t="s">
        <v>48</v>
      </c>
      <c r="M83" s="33" t="n">
        <f>15850</f>
        <v>15850.0</v>
      </c>
      <c r="N83" s="34" t="s">
        <v>49</v>
      </c>
      <c r="O83" s="33" t="n">
        <f>14410</f>
        <v>14410.0</v>
      </c>
      <c r="P83" s="34" t="s">
        <v>50</v>
      </c>
      <c r="Q83" s="33" t="n">
        <f>15795</f>
        <v>15795.0</v>
      </c>
      <c r="R83" s="34" t="s">
        <v>49</v>
      </c>
      <c r="S83" s="35" t="n">
        <f>15133.18</f>
        <v>15133.18</v>
      </c>
      <c r="T83" s="32" t="n">
        <f>1092</f>
        <v>1092.0</v>
      </c>
      <c r="U83" s="32" t="str">
        <f>"－"</f>
        <v>－</v>
      </c>
      <c r="V83" s="32" t="n">
        <f>16463170</f>
        <v>1.646317E7</v>
      </c>
      <c r="W83" s="32" t="str">
        <f>"－"</f>
        <v>－</v>
      </c>
      <c r="X83" s="36" t="n">
        <f>22</f>
        <v>22.0</v>
      </c>
    </row>
    <row r="84">
      <c r="A84" s="27" t="s">
        <v>42</v>
      </c>
      <c r="B84" s="27" t="s">
        <v>301</v>
      </c>
      <c r="C84" s="27" t="s">
        <v>302</v>
      </c>
      <c r="D84" s="27" t="s">
        <v>303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15405</f>
        <v>15405.0</v>
      </c>
      <c r="L84" s="34" t="s">
        <v>48</v>
      </c>
      <c r="M84" s="33" t="n">
        <f>15750</f>
        <v>15750.0</v>
      </c>
      <c r="N84" s="34" t="s">
        <v>54</v>
      </c>
      <c r="O84" s="33" t="n">
        <f>14075</f>
        <v>14075.0</v>
      </c>
      <c r="P84" s="34" t="s">
        <v>66</v>
      </c>
      <c r="Q84" s="33" t="n">
        <f>15665</f>
        <v>15665.0</v>
      </c>
      <c r="R84" s="34" t="s">
        <v>49</v>
      </c>
      <c r="S84" s="35" t="n">
        <f>15036.14</f>
        <v>15036.14</v>
      </c>
      <c r="T84" s="32" t="n">
        <f>946</f>
        <v>946.0</v>
      </c>
      <c r="U84" s="32" t="str">
        <f>"－"</f>
        <v>－</v>
      </c>
      <c r="V84" s="32" t="n">
        <f>14174265</f>
        <v>1.4174265E7</v>
      </c>
      <c r="W84" s="32" t="str">
        <f>"－"</f>
        <v>－</v>
      </c>
      <c r="X84" s="36" t="n">
        <f>22</f>
        <v>22.0</v>
      </c>
    </row>
    <row r="85">
      <c r="A85" s="27" t="s">
        <v>42</v>
      </c>
      <c r="B85" s="27" t="s">
        <v>304</v>
      </c>
      <c r="C85" s="27" t="s">
        <v>305</v>
      </c>
      <c r="D85" s="27" t="s">
        <v>306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19835</f>
        <v>19835.0</v>
      </c>
      <c r="L85" s="34" t="s">
        <v>48</v>
      </c>
      <c r="M85" s="33" t="n">
        <f>20280</f>
        <v>20280.0</v>
      </c>
      <c r="N85" s="34" t="s">
        <v>227</v>
      </c>
      <c r="O85" s="33" t="n">
        <f>18350</f>
        <v>18350.0</v>
      </c>
      <c r="P85" s="34" t="s">
        <v>50</v>
      </c>
      <c r="Q85" s="33" t="n">
        <f>19810</f>
        <v>19810.0</v>
      </c>
      <c r="R85" s="34" t="s">
        <v>49</v>
      </c>
      <c r="S85" s="35" t="n">
        <f>19504.32</f>
        <v>19504.32</v>
      </c>
      <c r="T85" s="32" t="n">
        <f>4011</f>
        <v>4011.0</v>
      </c>
      <c r="U85" s="32" t="str">
        <f>"－"</f>
        <v>－</v>
      </c>
      <c r="V85" s="32" t="n">
        <f>77858805</f>
        <v>7.7858805E7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307</v>
      </c>
      <c r="C86" s="27" t="s">
        <v>308</v>
      </c>
      <c r="D86" s="27" t="s">
        <v>309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10145</f>
        <v>10145.0</v>
      </c>
      <c r="L86" s="34" t="s">
        <v>48</v>
      </c>
      <c r="M86" s="33" t="n">
        <f>11100</f>
        <v>11100.0</v>
      </c>
      <c r="N86" s="34" t="s">
        <v>227</v>
      </c>
      <c r="O86" s="33" t="n">
        <f>10015</f>
        <v>10015.0</v>
      </c>
      <c r="P86" s="34" t="s">
        <v>66</v>
      </c>
      <c r="Q86" s="33" t="n">
        <f>11015</f>
        <v>11015.0</v>
      </c>
      <c r="R86" s="34" t="s">
        <v>49</v>
      </c>
      <c r="S86" s="35" t="n">
        <f>10461.82</f>
        <v>10461.82</v>
      </c>
      <c r="T86" s="32" t="n">
        <f>11030</f>
        <v>11030.0</v>
      </c>
      <c r="U86" s="32" t="str">
        <f>"－"</f>
        <v>－</v>
      </c>
      <c r="V86" s="32" t="n">
        <f>115811400</f>
        <v>1.158114E8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310</v>
      </c>
      <c r="C87" s="27" t="s">
        <v>311</v>
      </c>
      <c r="D87" s="27" t="s">
        <v>312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2416</f>
        <v>2416.0</v>
      </c>
      <c r="L87" s="34" t="s">
        <v>48</v>
      </c>
      <c r="M87" s="33" t="n">
        <f>2420</f>
        <v>2420.0</v>
      </c>
      <c r="N87" s="34" t="s">
        <v>61</v>
      </c>
      <c r="O87" s="33" t="n">
        <f>2284</f>
        <v>2284.0</v>
      </c>
      <c r="P87" s="34" t="s">
        <v>227</v>
      </c>
      <c r="Q87" s="33" t="n">
        <f>2341</f>
        <v>2341.0</v>
      </c>
      <c r="R87" s="34" t="s">
        <v>49</v>
      </c>
      <c r="S87" s="35" t="n">
        <f>2344.86</f>
        <v>2344.86</v>
      </c>
      <c r="T87" s="32" t="n">
        <f>413841</f>
        <v>413841.0</v>
      </c>
      <c r="U87" s="32" t="n">
        <f>233642</f>
        <v>233642.0</v>
      </c>
      <c r="V87" s="32" t="n">
        <f>968366717</f>
        <v>9.68366717E8</v>
      </c>
      <c r="W87" s="32" t="n">
        <f>549261526</f>
        <v>5.49261526E8</v>
      </c>
      <c r="X87" s="36" t="n">
        <f>22</f>
        <v>22.0</v>
      </c>
    </row>
    <row r="88">
      <c r="A88" s="27" t="s">
        <v>42</v>
      </c>
      <c r="B88" s="27" t="s">
        <v>313</v>
      </c>
      <c r="C88" s="27" t="s">
        <v>314</v>
      </c>
      <c r="D88" s="27" t="s">
        <v>315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2250</f>
        <v>2250.0</v>
      </c>
      <c r="L88" s="34" t="s">
        <v>48</v>
      </c>
      <c r="M88" s="33" t="n">
        <f>2264</f>
        <v>2264.0</v>
      </c>
      <c r="N88" s="34" t="s">
        <v>296</v>
      </c>
      <c r="O88" s="33" t="n">
        <f>2163</f>
        <v>2163.0</v>
      </c>
      <c r="P88" s="34" t="s">
        <v>96</v>
      </c>
      <c r="Q88" s="33" t="n">
        <f>2236</f>
        <v>2236.0</v>
      </c>
      <c r="R88" s="34" t="s">
        <v>49</v>
      </c>
      <c r="S88" s="35" t="n">
        <f>2220.23</f>
        <v>2220.23</v>
      </c>
      <c r="T88" s="32" t="n">
        <f>135124</f>
        <v>135124.0</v>
      </c>
      <c r="U88" s="32" t="n">
        <f>3</f>
        <v>3.0</v>
      </c>
      <c r="V88" s="32" t="n">
        <f>299503802</f>
        <v>2.99503802E8</v>
      </c>
      <c r="W88" s="32" t="n">
        <f>6196</f>
        <v>6196.0</v>
      </c>
      <c r="X88" s="36" t="n">
        <f>22</f>
        <v>22.0</v>
      </c>
    </row>
    <row r="89">
      <c r="A89" s="27" t="s">
        <v>42</v>
      </c>
      <c r="B89" s="27" t="s">
        <v>316</v>
      </c>
      <c r="C89" s="27" t="s">
        <v>317</v>
      </c>
      <c r="D89" s="27" t="s">
        <v>318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14460</f>
        <v>14460.0</v>
      </c>
      <c r="L89" s="34" t="s">
        <v>48</v>
      </c>
      <c r="M89" s="33" t="n">
        <f>15225</f>
        <v>15225.0</v>
      </c>
      <c r="N89" s="34" t="s">
        <v>54</v>
      </c>
      <c r="O89" s="33" t="n">
        <f>13250</f>
        <v>13250.0</v>
      </c>
      <c r="P89" s="34" t="s">
        <v>50</v>
      </c>
      <c r="Q89" s="33" t="n">
        <f>15015</f>
        <v>15015.0</v>
      </c>
      <c r="R89" s="34" t="s">
        <v>49</v>
      </c>
      <c r="S89" s="35" t="n">
        <f>14295.91</f>
        <v>14295.91</v>
      </c>
      <c r="T89" s="32" t="n">
        <f>13881</f>
        <v>13881.0</v>
      </c>
      <c r="U89" s="32" t="str">
        <f>"－"</f>
        <v>－</v>
      </c>
      <c r="V89" s="32" t="n">
        <f>191504945</f>
        <v>1.91504945E8</v>
      </c>
      <c r="W89" s="32" t="str">
        <f>"－"</f>
        <v>－</v>
      </c>
      <c r="X89" s="36" t="n">
        <f>22</f>
        <v>22.0</v>
      </c>
    </row>
    <row r="90">
      <c r="A90" s="27" t="s">
        <v>42</v>
      </c>
      <c r="B90" s="27" t="s">
        <v>319</v>
      </c>
      <c r="C90" s="27" t="s">
        <v>320</v>
      </c>
      <c r="D90" s="27" t="s">
        <v>321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8707</f>
        <v>8707.0</v>
      </c>
      <c r="L90" s="34" t="s">
        <v>48</v>
      </c>
      <c r="M90" s="33" t="n">
        <f>8847</f>
        <v>8847.0</v>
      </c>
      <c r="N90" s="34" t="s">
        <v>48</v>
      </c>
      <c r="O90" s="33" t="n">
        <f>8570</f>
        <v>8570.0</v>
      </c>
      <c r="P90" s="34" t="s">
        <v>66</v>
      </c>
      <c r="Q90" s="33" t="n">
        <f>8805</f>
        <v>8805.0</v>
      </c>
      <c r="R90" s="34" t="s">
        <v>49</v>
      </c>
      <c r="S90" s="35" t="n">
        <f>8722.36</f>
        <v>8722.36</v>
      </c>
      <c r="T90" s="32" t="n">
        <f>1444</f>
        <v>1444.0</v>
      </c>
      <c r="U90" s="32" t="str">
        <f>"－"</f>
        <v>－</v>
      </c>
      <c r="V90" s="32" t="n">
        <f>12601237</f>
        <v>1.2601237E7</v>
      </c>
      <c r="W90" s="32" t="str">
        <f>"－"</f>
        <v>－</v>
      </c>
      <c r="X90" s="36" t="n">
        <f>22</f>
        <v>22.0</v>
      </c>
    </row>
    <row r="91">
      <c r="A91" s="27" t="s">
        <v>42</v>
      </c>
      <c r="B91" s="27" t="s">
        <v>322</v>
      </c>
      <c r="C91" s="27" t="s">
        <v>323</v>
      </c>
      <c r="D91" s="27" t="s">
        <v>324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6702</f>
        <v>6702.0</v>
      </c>
      <c r="L91" s="34" t="s">
        <v>48</v>
      </c>
      <c r="M91" s="33" t="n">
        <f>7349</f>
        <v>7349.0</v>
      </c>
      <c r="N91" s="34" t="s">
        <v>50</v>
      </c>
      <c r="O91" s="33" t="n">
        <f>6686</f>
        <v>6686.0</v>
      </c>
      <c r="P91" s="34" t="s">
        <v>48</v>
      </c>
      <c r="Q91" s="33" t="n">
        <f>7172</f>
        <v>7172.0</v>
      </c>
      <c r="R91" s="34" t="s">
        <v>49</v>
      </c>
      <c r="S91" s="35" t="n">
        <f>7059.68</f>
        <v>7059.68</v>
      </c>
      <c r="T91" s="32" t="n">
        <f>3868734</f>
        <v>3868734.0</v>
      </c>
      <c r="U91" s="32" t="n">
        <f>202500</f>
        <v>202500.0</v>
      </c>
      <c r="V91" s="32" t="n">
        <f>27380707314</f>
        <v>2.7380707314E10</v>
      </c>
      <c r="W91" s="32" t="n">
        <f>1446571609</f>
        <v>1.446571609E9</v>
      </c>
      <c r="X91" s="36" t="n">
        <f>22</f>
        <v>22.0</v>
      </c>
    </row>
    <row r="92">
      <c r="A92" s="27" t="s">
        <v>42</v>
      </c>
      <c r="B92" s="27" t="s">
        <v>325</v>
      </c>
      <c r="C92" s="27" t="s">
        <v>326</v>
      </c>
      <c r="D92" s="27" t="s">
        <v>327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3605</f>
        <v>3605.0</v>
      </c>
      <c r="L92" s="34" t="s">
        <v>48</v>
      </c>
      <c r="M92" s="33" t="n">
        <f>4030</f>
        <v>4030.0</v>
      </c>
      <c r="N92" s="34" t="s">
        <v>50</v>
      </c>
      <c r="O92" s="33" t="n">
        <f>3490</f>
        <v>3490.0</v>
      </c>
      <c r="P92" s="34" t="s">
        <v>62</v>
      </c>
      <c r="Q92" s="33" t="n">
        <f>3625</f>
        <v>3625.0</v>
      </c>
      <c r="R92" s="34" t="s">
        <v>49</v>
      </c>
      <c r="S92" s="35" t="n">
        <f>3718.86</f>
        <v>3718.86</v>
      </c>
      <c r="T92" s="32" t="n">
        <f>1363252</f>
        <v>1363252.0</v>
      </c>
      <c r="U92" s="32" t="n">
        <f>48</f>
        <v>48.0</v>
      </c>
      <c r="V92" s="32" t="n">
        <f>5125895865</f>
        <v>5.125895865E9</v>
      </c>
      <c r="W92" s="32" t="n">
        <f>179140</f>
        <v>179140.0</v>
      </c>
      <c r="X92" s="36" t="n">
        <f>22</f>
        <v>22.0</v>
      </c>
    </row>
    <row r="93">
      <c r="A93" s="27" t="s">
        <v>42</v>
      </c>
      <c r="B93" s="27" t="s">
        <v>328</v>
      </c>
      <c r="C93" s="27" t="s">
        <v>329</v>
      </c>
      <c r="D93" s="27" t="s">
        <v>330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8448</f>
        <v>8448.0</v>
      </c>
      <c r="L93" s="34" t="s">
        <v>48</v>
      </c>
      <c r="M93" s="33" t="n">
        <f>9510</f>
        <v>9510.0</v>
      </c>
      <c r="N93" s="34" t="s">
        <v>50</v>
      </c>
      <c r="O93" s="33" t="n">
        <f>8390</f>
        <v>8390.0</v>
      </c>
      <c r="P93" s="34" t="s">
        <v>48</v>
      </c>
      <c r="Q93" s="33" t="n">
        <f>9075</f>
        <v>9075.0</v>
      </c>
      <c r="R93" s="34" t="s">
        <v>49</v>
      </c>
      <c r="S93" s="35" t="n">
        <f>9023.64</f>
        <v>9023.64</v>
      </c>
      <c r="T93" s="32" t="n">
        <f>474293</f>
        <v>474293.0</v>
      </c>
      <c r="U93" s="32" t="n">
        <f>6</f>
        <v>6.0</v>
      </c>
      <c r="V93" s="32" t="n">
        <f>4302472465</f>
        <v>4.302472465E9</v>
      </c>
      <c r="W93" s="32" t="n">
        <f>52893</f>
        <v>52893.0</v>
      </c>
      <c r="X93" s="36" t="n">
        <f>22</f>
        <v>22.0</v>
      </c>
    </row>
    <row r="94">
      <c r="A94" s="27" t="s">
        <v>42</v>
      </c>
      <c r="B94" s="27" t="s">
        <v>331</v>
      </c>
      <c r="C94" s="27" t="s">
        <v>332</v>
      </c>
      <c r="D94" s="27" t="s">
        <v>333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84910</f>
        <v>84910.0</v>
      </c>
      <c r="L94" s="34" t="s">
        <v>48</v>
      </c>
      <c r="M94" s="33" t="n">
        <f>120000</f>
        <v>120000.0</v>
      </c>
      <c r="N94" s="34" t="s">
        <v>50</v>
      </c>
      <c r="O94" s="33" t="n">
        <f>78500</f>
        <v>78500.0</v>
      </c>
      <c r="P94" s="34" t="s">
        <v>54</v>
      </c>
      <c r="Q94" s="33" t="n">
        <f>82920</f>
        <v>82920.0</v>
      </c>
      <c r="R94" s="34" t="s">
        <v>49</v>
      </c>
      <c r="S94" s="35" t="n">
        <f>92815.91</f>
        <v>92815.91</v>
      </c>
      <c r="T94" s="32" t="n">
        <f>46342</f>
        <v>46342.0</v>
      </c>
      <c r="U94" s="32" t="n">
        <f>65</f>
        <v>65.0</v>
      </c>
      <c r="V94" s="32" t="n">
        <f>4541126800</f>
        <v>4.5411268E9</v>
      </c>
      <c r="W94" s="32" t="n">
        <f>6641710</f>
        <v>6641710.0</v>
      </c>
      <c r="X94" s="36" t="n">
        <f>22</f>
        <v>22.0</v>
      </c>
    </row>
    <row r="95">
      <c r="A95" s="27" t="s">
        <v>42</v>
      </c>
      <c r="B95" s="27" t="s">
        <v>334</v>
      </c>
      <c r="C95" s="27" t="s">
        <v>335</v>
      </c>
      <c r="D95" s="27" t="s">
        <v>336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16655</f>
        <v>16655.0</v>
      </c>
      <c r="L95" s="34" t="s">
        <v>48</v>
      </c>
      <c r="M95" s="33" t="n">
        <f>19000</f>
        <v>19000.0</v>
      </c>
      <c r="N95" s="34" t="s">
        <v>54</v>
      </c>
      <c r="O95" s="33" t="n">
        <f>15465</f>
        <v>15465.0</v>
      </c>
      <c r="P95" s="34" t="s">
        <v>66</v>
      </c>
      <c r="Q95" s="33" t="n">
        <f>18725</f>
        <v>18725.0</v>
      </c>
      <c r="R95" s="34" t="s">
        <v>49</v>
      </c>
      <c r="S95" s="35" t="n">
        <f>16966.59</f>
        <v>16966.59</v>
      </c>
      <c r="T95" s="32" t="n">
        <f>2846060</f>
        <v>2846060.0</v>
      </c>
      <c r="U95" s="32" t="n">
        <f>41943</f>
        <v>41943.0</v>
      </c>
      <c r="V95" s="32" t="n">
        <f>48468487765</f>
        <v>4.8468487765E10</v>
      </c>
      <c r="W95" s="32" t="n">
        <f>732221200</f>
        <v>7.322212E8</v>
      </c>
      <c r="X95" s="36" t="n">
        <f>22</f>
        <v>22.0</v>
      </c>
    </row>
    <row r="96">
      <c r="A96" s="27" t="s">
        <v>42</v>
      </c>
      <c r="B96" s="27" t="s">
        <v>337</v>
      </c>
      <c r="C96" s="27" t="s">
        <v>338</v>
      </c>
      <c r="D96" s="27" t="s">
        <v>339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38300</f>
        <v>38300.0</v>
      </c>
      <c r="L96" s="34" t="s">
        <v>48</v>
      </c>
      <c r="M96" s="33" t="n">
        <f>42650</f>
        <v>42650.0</v>
      </c>
      <c r="N96" s="34" t="s">
        <v>54</v>
      </c>
      <c r="O96" s="33" t="n">
        <f>36860</f>
        <v>36860.0</v>
      </c>
      <c r="P96" s="34" t="s">
        <v>66</v>
      </c>
      <c r="Q96" s="33" t="n">
        <f>42180</f>
        <v>42180.0</v>
      </c>
      <c r="R96" s="34" t="s">
        <v>49</v>
      </c>
      <c r="S96" s="35" t="n">
        <f>39467.73</f>
        <v>39467.73</v>
      </c>
      <c r="T96" s="32" t="n">
        <f>286853</f>
        <v>286853.0</v>
      </c>
      <c r="U96" s="32" t="n">
        <f>68637</f>
        <v>68637.0</v>
      </c>
      <c r="V96" s="32" t="n">
        <f>11155652475</f>
        <v>1.1155652475E10</v>
      </c>
      <c r="W96" s="32" t="n">
        <f>2560650185</f>
        <v>2.560650185E9</v>
      </c>
      <c r="X96" s="36" t="n">
        <f>22</f>
        <v>22.0</v>
      </c>
    </row>
    <row r="97">
      <c r="A97" s="27" t="s">
        <v>42</v>
      </c>
      <c r="B97" s="27" t="s">
        <v>340</v>
      </c>
      <c r="C97" s="27" t="s">
        <v>341</v>
      </c>
      <c r="D97" s="27" t="s">
        <v>342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5473</f>
        <v>5473.0</v>
      </c>
      <c r="L97" s="34" t="s">
        <v>48</v>
      </c>
      <c r="M97" s="33" t="n">
        <f>6189</f>
        <v>6189.0</v>
      </c>
      <c r="N97" s="34" t="s">
        <v>54</v>
      </c>
      <c r="O97" s="33" t="n">
        <f>5228</f>
        <v>5228.0</v>
      </c>
      <c r="P97" s="34" t="s">
        <v>66</v>
      </c>
      <c r="Q97" s="33" t="n">
        <f>6110</f>
        <v>6110.0</v>
      </c>
      <c r="R97" s="34" t="s">
        <v>49</v>
      </c>
      <c r="S97" s="35" t="n">
        <f>5638.41</f>
        <v>5638.41</v>
      </c>
      <c r="T97" s="32" t="n">
        <f>2710980</f>
        <v>2710980.0</v>
      </c>
      <c r="U97" s="32" t="n">
        <f>162090</f>
        <v>162090.0</v>
      </c>
      <c r="V97" s="32" t="n">
        <f>15430764786</f>
        <v>1.5430764786E10</v>
      </c>
      <c r="W97" s="32" t="n">
        <f>891604686</f>
        <v>8.91604686E8</v>
      </c>
      <c r="X97" s="36" t="n">
        <f>22</f>
        <v>22.0</v>
      </c>
    </row>
    <row r="98">
      <c r="A98" s="27" t="s">
        <v>42</v>
      </c>
      <c r="B98" s="27" t="s">
        <v>343</v>
      </c>
      <c r="C98" s="27" t="s">
        <v>344</v>
      </c>
      <c r="D98" s="27" t="s">
        <v>345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3544</f>
        <v>3544.0</v>
      </c>
      <c r="L98" s="34" t="s">
        <v>48</v>
      </c>
      <c r="M98" s="33" t="n">
        <f>3961</f>
        <v>3961.0</v>
      </c>
      <c r="N98" s="34" t="s">
        <v>54</v>
      </c>
      <c r="O98" s="33" t="n">
        <f>3338</f>
        <v>3338.0</v>
      </c>
      <c r="P98" s="34" t="s">
        <v>66</v>
      </c>
      <c r="Q98" s="33" t="n">
        <f>3914</f>
        <v>3914.0</v>
      </c>
      <c r="R98" s="34" t="s">
        <v>49</v>
      </c>
      <c r="S98" s="35" t="n">
        <f>3614.09</f>
        <v>3614.09</v>
      </c>
      <c r="T98" s="32" t="n">
        <f>176210</f>
        <v>176210.0</v>
      </c>
      <c r="U98" s="32" t="n">
        <f>10</f>
        <v>10.0</v>
      </c>
      <c r="V98" s="32" t="n">
        <f>633108710</f>
        <v>6.3310871E8</v>
      </c>
      <c r="W98" s="32" t="n">
        <f>35300</f>
        <v>35300.0</v>
      </c>
      <c r="X98" s="36" t="n">
        <f>22</f>
        <v>22.0</v>
      </c>
    </row>
    <row r="99">
      <c r="A99" s="27" t="s">
        <v>42</v>
      </c>
      <c r="B99" s="27" t="s">
        <v>346</v>
      </c>
      <c r="C99" s="27" t="s">
        <v>347</v>
      </c>
      <c r="D99" s="27" t="s">
        <v>348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4563</f>
        <v>4563.0</v>
      </c>
      <c r="L99" s="34" t="s">
        <v>48</v>
      </c>
      <c r="M99" s="33" t="n">
        <f>4776</f>
        <v>4776.0</v>
      </c>
      <c r="N99" s="34" t="s">
        <v>49</v>
      </c>
      <c r="O99" s="33" t="n">
        <f>4186</f>
        <v>4186.0</v>
      </c>
      <c r="P99" s="34" t="s">
        <v>96</v>
      </c>
      <c r="Q99" s="33" t="n">
        <f>4763</f>
        <v>4763.0</v>
      </c>
      <c r="R99" s="34" t="s">
        <v>49</v>
      </c>
      <c r="S99" s="35" t="n">
        <f>4479.73</f>
        <v>4479.73</v>
      </c>
      <c r="T99" s="32" t="n">
        <f>13010</f>
        <v>13010.0</v>
      </c>
      <c r="U99" s="32" t="str">
        <f>"－"</f>
        <v>－</v>
      </c>
      <c r="V99" s="32" t="n">
        <f>58112820</f>
        <v>5.811282E7</v>
      </c>
      <c r="W99" s="32" t="str">
        <f>"－"</f>
        <v>－</v>
      </c>
      <c r="X99" s="36" t="n">
        <f>22</f>
        <v>22.0</v>
      </c>
    </row>
    <row r="100">
      <c r="A100" s="27" t="s">
        <v>42</v>
      </c>
      <c r="B100" s="27" t="s">
        <v>349</v>
      </c>
      <c r="C100" s="27" t="s">
        <v>350</v>
      </c>
      <c r="D100" s="27" t="s">
        <v>351</v>
      </c>
      <c r="E100" s="28" t="s">
        <v>46</v>
      </c>
      <c r="F100" s="29" t="s">
        <v>46</v>
      </c>
      <c r="G100" s="30" t="s">
        <v>46</v>
      </c>
      <c r="H100" s="31" t="s">
        <v>91</v>
      </c>
      <c r="I100" s="31" t="s">
        <v>47</v>
      </c>
      <c r="J100" s="32" t="n">
        <v>1.0</v>
      </c>
      <c r="K100" s="33" t="n">
        <f>2213</f>
        <v>2213.0</v>
      </c>
      <c r="L100" s="34" t="s">
        <v>48</v>
      </c>
      <c r="M100" s="33" t="n">
        <f>2677</f>
        <v>2677.0</v>
      </c>
      <c r="N100" s="34" t="s">
        <v>66</v>
      </c>
      <c r="O100" s="33" t="n">
        <f>1877</f>
        <v>1877.0</v>
      </c>
      <c r="P100" s="34" t="s">
        <v>54</v>
      </c>
      <c r="Q100" s="33" t="n">
        <f>1890</f>
        <v>1890.0</v>
      </c>
      <c r="R100" s="34" t="s">
        <v>49</v>
      </c>
      <c r="S100" s="35" t="n">
        <f>2278.82</f>
        <v>2278.82</v>
      </c>
      <c r="T100" s="32" t="n">
        <f>39959906</f>
        <v>3.9959906E7</v>
      </c>
      <c r="U100" s="32" t="n">
        <f>223967</f>
        <v>223967.0</v>
      </c>
      <c r="V100" s="32" t="n">
        <f>94111425399</f>
        <v>9.4111425399E10</v>
      </c>
      <c r="W100" s="32" t="n">
        <f>473516234</f>
        <v>4.73516234E8</v>
      </c>
      <c r="X100" s="36" t="n">
        <f>22</f>
        <v>22.0</v>
      </c>
    </row>
    <row r="101">
      <c r="A101" s="27" t="s">
        <v>42</v>
      </c>
      <c r="B101" s="27" t="s">
        <v>352</v>
      </c>
      <c r="C101" s="27" t="s">
        <v>353</v>
      </c>
      <c r="D101" s="27" t="s">
        <v>354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3012</f>
        <v>3012.0</v>
      </c>
      <c r="L101" s="34" t="s">
        <v>48</v>
      </c>
      <c r="M101" s="33" t="n">
        <f>3340</f>
        <v>3340.0</v>
      </c>
      <c r="N101" s="34" t="s">
        <v>54</v>
      </c>
      <c r="O101" s="33" t="n">
        <f>2829</f>
        <v>2829.0</v>
      </c>
      <c r="P101" s="34" t="s">
        <v>66</v>
      </c>
      <c r="Q101" s="33" t="n">
        <f>3299</f>
        <v>3299.0</v>
      </c>
      <c r="R101" s="34" t="s">
        <v>49</v>
      </c>
      <c r="S101" s="35" t="n">
        <f>3062.7</f>
        <v>3062.7</v>
      </c>
      <c r="T101" s="32" t="n">
        <f>147060</f>
        <v>147060.0</v>
      </c>
      <c r="U101" s="32" t="n">
        <f>20</f>
        <v>20.0</v>
      </c>
      <c r="V101" s="32" t="n">
        <f>448831555</f>
        <v>4.48831555E8</v>
      </c>
      <c r="W101" s="32" t="n">
        <f>59755</f>
        <v>59755.0</v>
      </c>
      <c r="X101" s="36" t="n">
        <f>22</f>
        <v>22.0</v>
      </c>
    </row>
    <row r="102">
      <c r="A102" s="27" t="s">
        <v>42</v>
      </c>
      <c r="B102" s="27" t="s">
        <v>355</v>
      </c>
      <c r="C102" s="27" t="s">
        <v>356</v>
      </c>
      <c r="D102" s="27" t="s">
        <v>357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1786</f>
        <v>1786.0</v>
      </c>
      <c r="L102" s="34" t="s">
        <v>48</v>
      </c>
      <c r="M102" s="33" t="n">
        <f>2010</f>
        <v>2010.0</v>
      </c>
      <c r="N102" s="34" t="s">
        <v>54</v>
      </c>
      <c r="O102" s="33" t="n">
        <f>1717.5</f>
        <v>1717.5</v>
      </c>
      <c r="P102" s="34" t="s">
        <v>66</v>
      </c>
      <c r="Q102" s="33" t="n">
        <f>1971.5</f>
        <v>1971.5</v>
      </c>
      <c r="R102" s="34" t="s">
        <v>49</v>
      </c>
      <c r="S102" s="35" t="n">
        <f>1836.14</f>
        <v>1836.14</v>
      </c>
      <c r="T102" s="32" t="n">
        <f>143970</f>
        <v>143970.0</v>
      </c>
      <c r="U102" s="32" t="n">
        <f>70</f>
        <v>70.0</v>
      </c>
      <c r="V102" s="32" t="n">
        <f>266226995</f>
        <v>2.66226995E8</v>
      </c>
      <c r="W102" s="32" t="n">
        <f>125475</f>
        <v>125475.0</v>
      </c>
      <c r="X102" s="36" t="n">
        <f>22</f>
        <v>22.0</v>
      </c>
    </row>
    <row r="103">
      <c r="A103" s="27" t="s">
        <v>42</v>
      </c>
      <c r="B103" s="27" t="s">
        <v>358</v>
      </c>
      <c r="C103" s="27" t="s">
        <v>359</v>
      </c>
      <c r="D103" s="27" t="s">
        <v>360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50380</f>
        <v>50380.0</v>
      </c>
      <c r="L103" s="34" t="s">
        <v>48</v>
      </c>
      <c r="M103" s="33" t="n">
        <f>56750</f>
        <v>56750.0</v>
      </c>
      <c r="N103" s="34" t="s">
        <v>54</v>
      </c>
      <c r="O103" s="33" t="n">
        <f>48130</f>
        <v>48130.0</v>
      </c>
      <c r="P103" s="34" t="s">
        <v>66</v>
      </c>
      <c r="Q103" s="33" t="n">
        <f>56070</f>
        <v>56070.0</v>
      </c>
      <c r="R103" s="34" t="s">
        <v>49</v>
      </c>
      <c r="S103" s="35" t="n">
        <f>51811.36</f>
        <v>51811.36</v>
      </c>
      <c r="T103" s="32" t="n">
        <f>155467</f>
        <v>155467.0</v>
      </c>
      <c r="U103" s="32" t="str">
        <f>"－"</f>
        <v>－</v>
      </c>
      <c r="V103" s="32" t="n">
        <f>8085858540</f>
        <v>8.08585854E9</v>
      </c>
      <c r="W103" s="32" t="str">
        <f>"－"</f>
        <v>－</v>
      </c>
      <c r="X103" s="36" t="n">
        <f>22</f>
        <v>22.0</v>
      </c>
    </row>
    <row r="104">
      <c r="A104" s="27" t="s">
        <v>42</v>
      </c>
      <c r="B104" s="27" t="s">
        <v>361</v>
      </c>
      <c r="C104" s="27" t="s">
        <v>362</v>
      </c>
      <c r="D104" s="27" t="s">
        <v>363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3130</f>
        <v>3130.0</v>
      </c>
      <c r="L104" s="34" t="s">
        <v>48</v>
      </c>
      <c r="M104" s="33" t="n">
        <f>3355</f>
        <v>3355.0</v>
      </c>
      <c r="N104" s="34" t="s">
        <v>49</v>
      </c>
      <c r="O104" s="33" t="n">
        <f>3045</f>
        <v>3045.0</v>
      </c>
      <c r="P104" s="34" t="s">
        <v>364</v>
      </c>
      <c r="Q104" s="33" t="n">
        <f>3325</f>
        <v>3325.0</v>
      </c>
      <c r="R104" s="34" t="s">
        <v>49</v>
      </c>
      <c r="S104" s="35" t="n">
        <f>3213.41</f>
        <v>3213.41</v>
      </c>
      <c r="T104" s="32" t="n">
        <f>15989</f>
        <v>15989.0</v>
      </c>
      <c r="U104" s="32" t="str">
        <f>"－"</f>
        <v>－</v>
      </c>
      <c r="V104" s="32" t="n">
        <f>51331720</f>
        <v>5.133172E7</v>
      </c>
      <c r="W104" s="32" t="str">
        <f>"－"</f>
        <v>－</v>
      </c>
      <c r="X104" s="36" t="n">
        <f>22</f>
        <v>22.0</v>
      </c>
    </row>
    <row r="105">
      <c r="A105" s="27" t="s">
        <v>42</v>
      </c>
      <c r="B105" s="27" t="s">
        <v>365</v>
      </c>
      <c r="C105" s="27" t="s">
        <v>366</v>
      </c>
      <c r="D105" s="27" t="s">
        <v>367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4160</f>
        <v>4160.0</v>
      </c>
      <c r="L105" s="34" t="s">
        <v>48</v>
      </c>
      <c r="M105" s="33" t="n">
        <f>4525</f>
        <v>4525.0</v>
      </c>
      <c r="N105" s="34" t="s">
        <v>54</v>
      </c>
      <c r="O105" s="33" t="n">
        <f>4055</f>
        <v>4055.0</v>
      </c>
      <c r="P105" s="34" t="s">
        <v>66</v>
      </c>
      <c r="Q105" s="33" t="n">
        <f>4490</f>
        <v>4490.0</v>
      </c>
      <c r="R105" s="34" t="s">
        <v>49</v>
      </c>
      <c r="S105" s="35" t="n">
        <f>4295.45</f>
        <v>4295.45</v>
      </c>
      <c r="T105" s="32" t="n">
        <f>7131</f>
        <v>7131.0</v>
      </c>
      <c r="U105" s="32" t="str">
        <f>"－"</f>
        <v>－</v>
      </c>
      <c r="V105" s="32" t="n">
        <f>30939170</f>
        <v>3.093917E7</v>
      </c>
      <c r="W105" s="32" t="str">
        <f>"－"</f>
        <v>－</v>
      </c>
      <c r="X105" s="36" t="n">
        <f>22</f>
        <v>22.0</v>
      </c>
    </row>
    <row r="106">
      <c r="A106" s="27" t="s">
        <v>42</v>
      </c>
      <c r="B106" s="27" t="s">
        <v>368</v>
      </c>
      <c r="C106" s="27" t="s">
        <v>369</v>
      </c>
      <c r="D106" s="27" t="s">
        <v>370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2550</f>
        <v>2550.0</v>
      </c>
      <c r="L106" s="34" t="s">
        <v>48</v>
      </c>
      <c r="M106" s="33" t="n">
        <f>2686</f>
        <v>2686.0</v>
      </c>
      <c r="N106" s="34" t="s">
        <v>95</v>
      </c>
      <c r="O106" s="33" t="n">
        <f>2098</f>
        <v>2098.0</v>
      </c>
      <c r="P106" s="34" t="s">
        <v>96</v>
      </c>
      <c r="Q106" s="33" t="n">
        <f>2513</f>
        <v>2513.0</v>
      </c>
      <c r="R106" s="34" t="s">
        <v>49</v>
      </c>
      <c r="S106" s="35" t="n">
        <f>2374.23</f>
        <v>2374.23</v>
      </c>
      <c r="T106" s="32" t="n">
        <f>1577874</f>
        <v>1577874.0</v>
      </c>
      <c r="U106" s="32" t="str">
        <f>"－"</f>
        <v>－</v>
      </c>
      <c r="V106" s="32" t="n">
        <f>3774774673</f>
        <v>3.774774673E9</v>
      </c>
      <c r="W106" s="32" t="str">
        <f>"－"</f>
        <v>－</v>
      </c>
      <c r="X106" s="36" t="n">
        <f>22</f>
        <v>22.0</v>
      </c>
    </row>
    <row r="107">
      <c r="A107" s="27" t="s">
        <v>42</v>
      </c>
      <c r="B107" s="27" t="s">
        <v>371</v>
      </c>
      <c r="C107" s="27" t="s">
        <v>372</v>
      </c>
      <c r="D107" s="27" t="s">
        <v>373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42610</f>
        <v>42610.0</v>
      </c>
      <c r="L107" s="34" t="s">
        <v>48</v>
      </c>
      <c r="M107" s="33" t="n">
        <f>43410</f>
        <v>43410.0</v>
      </c>
      <c r="N107" s="34" t="s">
        <v>54</v>
      </c>
      <c r="O107" s="33" t="n">
        <f>39320</f>
        <v>39320.0</v>
      </c>
      <c r="P107" s="34" t="s">
        <v>71</v>
      </c>
      <c r="Q107" s="33" t="n">
        <f>43250</f>
        <v>43250.0</v>
      </c>
      <c r="R107" s="34" t="s">
        <v>49</v>
      </c>
      <c r="S107" s="35" t="n">
        <f>41821.36</f>
        <v>41821.36</v>
      </c>
      <c r="T107" s="32" t="n">
        <f>56658</f>
        <v>56658.0</v>
      </c>
      <c r="U107" s="32" t="n">
        <f>22010</f>
        <v>22010.0</v>
      </c>
      <c r="V107" s="32" t="n">
        <f>2353927370</f>
        <v>2.35392737E9</v>
      </c>
      <c r="W107" s="32" t="n">
        <f>910074290</f>
        <v>9.1007429E8</v>
      </c>
      <c r="X107" s="36" t="n">
        <f>22</f>
        <v>22.0</v>
      </c>
    </row>
    <row r="108">
      <c r="A108" s="27" t="s">
        <v>42</v>
      </c>
      <c r="B108" s="27" t="s">
        <v>374</v>
      </c>
      <c r="C108" s="27" t="s">
        <v>375</v>
      </c>
      <c r="D108" s="27" t="s">
        <v>376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22845</f>
        <v>22845.0</v>
      </c>
      <c r="L108" s="34" t="s">
        <v>48</v>
      </c>
      <c r="M108" s="33" t="n">
        <f>25200</f>
        <v>25200.0</v>
      </c>
      <c r="N108" s="34" t="s">
        <v>54</v>
      </c>
      <c r="O108" s="33" t="n">
        <f>19300</f>
        <v>19300.0</v>
      </c>
      <c r="P108" s="34" t="s">
        <v>50</v>
      </c>
      <c r="Q108" s="33" t="n">
        <f>24235</f>
        <v>24235.0</v>
      </c>
      <c r="R108" s="34" t="s">
        <v>49</v>
      </c>
      <c r="S108" s="35" t="n">
        <f>22374.32</f>
        <v>22374.32</v>
      </c>
      <c r="T108" s="32" t="n">
        <f>3304540</f>
        <v>3304540.0</v>
      </c>
      <c r="U108" s="32" t="n">
        <f>240</f>
        <v>240.0</v>
      </c>
      <c r="V108" s="32" t="n">
        <f>73539856700</f>
        <v>7.35398567E10</v>
      </c>
      <c r="W108" s="32" t="n">
        <f>5344000</f>
        <v>5344000.0</v>
      </c>
      <c r="X108" s="36" t="n">
        <f>22</f>
        <v>22.0</v>
      </c>
    </row>
    <row r="109">
      <c r="A109" s="27" t="s">
        <v>42</v>
      </c>
      <c r="B109" s="27" t="s">
        <v>377</v>
      </c>
      <c r="C109" s="27" t="s">
        <v>378</v>
      </c>
      <c r="D109" s="27" t="s">
        <v>379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2191</f>
        <v>2191.0</v>
      </c>
      <c r="L109" s="34" t="s">
        <v>48</v>
      </c>
      <c r="M109" s="33" t="n">
        <f>2373</f>
        <v>2373.0</v>
      </c>
      <c r="N109" s="34" t="s">
        <v>50</v>
      </c>
      <c r="O109" s="33" t="n">
        <f>2062</f>
        <v>2062.0</v>
      </c>
      <c r="P109" s="34" t="s">
        <v>54</v>
      </c>
      <c r="Q109" s="33" t="n">
        <f>2100</f>
        <v>2100.0</v>
      </c>
      <c r="R109" s="34" t="s">
        <v>49</v>
      </c>
      <c r="S109" s="35" t="n">
        <f>2204.11</f>
        <v>2204.11</v>
      </c>
      <c r="T109" s="32" t="n">
        <f>238240</f>
        <v>238240.0</v>
      </c>
      <c r="U109" s="32" t="n">
        <f>20</f>
        <v>20.0</v>
      </c>
      <c r="V109" s="32" t="n">
        <f>530000775</f>
        <v>5.30000775E8</v>
      </c>
      <c r="W109" s="32" t="n">
        <f>43390</f>
        <v>43390.0</v>
      </c>
      <c r="X109" s="36" t="n">
        <f>22</f>
        <v>22.0</v>
      </c>
    </row>
    <row r="110">
      <c r="A110" s="27" t="s">
        <v>42</v>
      </c>
      <c r="B110" s="27" t="s">
        <v>380</v>
      </c>
      <c r="C110" s="27" t="s">
        <v>381</v>
      </c>
      <c r="D110" s="27" t="s">
        <v>382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13500</f>
        <v>13500.0</v>
      </c>
      <c r="L110" s="34" t="s">
        <v>48</v>
      </c>
      <c r="M110" s="33" t="n">
        <f>15145</f>
        <v>15145.0</v>
      </c>
      <c r="N110" s="34" t="s">
        <v>54</v>
      </c>
      <c r="O110" s="33" t="n">
        <f>11370</f>
        <v>11370.0</v>
      </c>
      <c r="P110" s="34" t="s">
        <v>50</v>
      </c>
      <c r="Q110" s="33" t="n">
        <f>14660</f>
        <v>14660.0</v>
      </c>
      <c r="R110" s="34" t="s">
        <v>49</v>
      </c>
      <c r="S110" s="35" t="n">
        <f>13229.32</f>
        <v>13229.32</v>
      </c>
      <c r="T110" s="32" t="n">
        <f>273056804</f>
        <v>2.73056804E8</v>
      </c>
      <c r="U110" s="32" t="n">
        <f>560791</f>
        <v>560791.0</v>
      </c>
      <c r="V110" s="32" t="n">
        <f>3592457794356</f>
        <v>3.592457794356E12</v>
      </c>
      <c r="W110" s="32" t="n">
        <f>7057998376</f>
        <v>7.057998376E9</v>
      </c>
      <c r="X110" s="36" t="n">
        <f>22</f>
        <v>22.0</v>
      </c>
    </row>
    <row r="111">
      <c r="A111" s="27" t="s">
        <v>42</v>
      </c>
      <c r="B111" s="27" t="s">
        <v>383</v>
      </c>
      <c r="C111" s="27" t="s">
        <v>384</v>
      </c>
      <c r="D111" s="27" t="s">
        <v>385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1044</f>
        <v>1044.0</v>
      </c>
      <c r="L111" s="34" t="s">
        <v>48</v>
      </c>
      <c r="M111" s="33" t="n">
        <f>1132</f>
        <v>1132.0</v>
      </c>
      <c r="N111" s="34" t="s">
        <v>50</v>
      </c>
      <c r="O111" s="33" t="n">
        <f>972</f>
        <v>972.0</v>
      </c>
      <c r="P111" s="34" t="s">
        <v>54</v>
      </c>
      <c r="Q111" s="33" t="n">
        <f>988</f>
        <v>988.0</v>
      </c>
      <c r="R111" s="34" t="s">
        <v>49</v>
      </c>
      <c r="S111" s="35" t="n">
        <f>1049.18</f>
        <v>1049.18</v>
      </c>
      <c r="T111" s="32" t="n">
        <f>64605043</f>
        <v>6.4605043E7</v>
      </c>
      <c r="U111" s="32" t="n">
        <f>3600007</f>
        <v>3600007.0</v>
      </c>
      <c r="V111" s="32" t="n">
        <f>68810613790</f>
        <v>6.881061379E10</v>
      </c>
      <c r="W111" s="32" t="n">
        <f>3910176917</f>
        <v>3.910176917E9</v>
      </c>
      <c r="X111" s="36" t="n">
        <f>22</f>
        <v>22.0</v>
      </c>
    </row>
    <row r="112">
      <c r="A112" s="27" t="s">
        <v>42</v>
      </c>
      <c r="B112" s="27" t="s">
        <v>386</v>
      </c>
      <c r="C112" s="27" t="s">
        <v>387</v>
      </c>
      <c r="D112" s="27" t="s">
        <v>388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6542</f>
        <v>6542.0</v>
      </c>
      <c r="L112" s="34" t="s">
        <v>48</v>
      </c>
      <c r="M112" s="33" t="n">
        <f>6780</f>
        <v>6780.0</v>
      </c>
      <c r="N112" s="34" t="s">
        <v>48</v>
      </c>
      <c r="O112" s="33" t="n">
        <f>4156</f>
        <v>4156.0</v>
      </c>
      <c r="P112" s="34" t="s">
        <v>62</v>
      </c>
      <c r="Q112" s="33" t="n">
        <f>5830</f>
        <v>5830.0</v>
      </c>
      <c r="R112" s="34" t="s">
        <v>49</v>
      </c>
      <c r="S112" s="35" t="n">
        <f>5630.59</f>
        <v>5630.59</v>
      </c>
      <c r="T112" s="32" t="n">
        <f>202680</f>
        <v>202680.0</v>
      </c>
      <c r="U112" s="32" t="n">
        <f>30</f>
        <v>30.0</v>
      </c>
      <c r="V112" s="32" t="n">
        <f>1086180170</f>
        <v>1.08618017E9</v>
      </c>
      <c r="W112" s="32" t="n">
        <f>176190</f>
        <v>176190.0</v>
      </c>
      <c r="X112" s="36" t="n">
        <f>22</f>
        <v>22.0</v>
      </c>
    </row>
    <row r="113">
      <c r="A113" s="27" t="s">
        <v>42</v>
      </c>
      <c r="B113" s="27" t="s">
        <v>389</v>
      </c>
      <c r="C113" s="27" t="s">
        <v>390</v>
      </c>
      <c r="D113" s="27" t="s">
        <v>391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8777</f>
        <v>8777.0</v>
      </c>
      <c r="L113" s="34" t="s">
        <v>48</v>
      </c>
      <c r="M113" s="33" t="n">
        <f>11590</f>
        <v>11590.0</v>
      </c>
      <c r="N113" s="34" t="s">
        <v>96</v>
      </c>
      <c r="O113" s="33" t="n">
        <f>8589</f>
        <v>8589.0</v>
      </c>
      <c r="P113" s="34" t="s">
        <v>48</v>
      </c>
      <c r="Q113" s="33" t="n">
        <f>9549</f>
        <v>9549.0</v>
      </c>
      <c r="R113" s="34" t="s">
        <v>49</v>
      </c>
      <c r="S113" s="35" t="n">
        <f>9677.09</f>
        <v>9677.09</v>
      </c>
      <c r="T113" s="32" t="n">
        <f>62580</f>
        <v>62580.0</v>
      </c>
      <c r="U113" s="32" t="n">
        <f>30</f>
        <v>30.0</v>
      </c>
      <c r="V113" s="32" t="n">
        <f>629611170</f>
        <v>6.2961117E8</v>
      </c>
      <c r="W113" s="32" t="n">
        <f>296940</f>
        <v>296940.0</v>
      </c>
      <c r="X113" s="36" t="n">
        <f>22</f>
        <v>22.0</v>
      </c>
    </row>
    <row r="114">
      <c r="A114" s="27" t="s">
        <v>42</v>
      </c>
      <c r="B114" s="27" t="s">
        <v>392</v>
      </c>
      <c r="C114" s="27" t="s">
        <v>393</v>
      </c>
      <c r="D114" s="27" t="s">
        <v>394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778</f>
        <v>778.0</v>
      </c>
      <c r="L114" s="34" t="s">
        <v>61</v>
      </c>
      <c r="M114" s="33" t="n">
        <f>787.4</f>
        <v>787.4</v>
      </c>
      <c r="N114" s="34" t="s">
        <v>296</v>
      </c>
      <c r="O114" s="33" t="n">
        <f>686</f>
        <v>686.0</v>
      </c>
      <c r="P114" s="34" t="s">
        <v>395</v>
      </c>
      <c r="Q114" s="33" t="n">
        <f>762.8</f>
        <v>762.8</v>
      </c>
      <c r="R114" s="34" t="s">
        <v>49</v>
      </c>
      <c r="S114" s="35" t="n">
        <f>730.23</f>
        <v>730.23</v>
      </c>
      <c r="T114" s="32" t="n">
        <f>22300</f>
        <v>22300.0</v>
      </c>
      <c r="U114" s="32" t="str">
        <f>"－"</f>
        <v>－</v>
      </c>
      <c r="V114" s="32" t="n">
        <f>16048371</f>
        <v>1.6048371E7</v>
      </c>
      <c r="W114" s="32" t="str">
        <f>"－"</f>
        <v>－</v>
      </c>
      <c r="X114" s="36" t="n">
        <f>21</f>
        <v>21.0</v>
      </c>
    </row>
    <row r="115">
      <c r="A115" s="27" t="s">
        <v>42</v>
      </c>
      <c r="B115" s="27" t="s">
        <v>396</v>
      </c>
      <c r="C115" s="27" t="s">
        <v>397</v>
      </c>
      <c r="D115" s="27" t="s">
        <v>398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23620</f>
        <v>23620.0</v>
      </c>
      <c r="L115" s="34" t="s">
        <v>48</v>
      </c>
      <c r="M115" s="33" t="n">
        <f>24830</f>
        <v>24830.0</v>
      </c>
      <c r="N115" s="34" t="s">
        <v>54</v>
      </c>
      <c r="O115" s="33" t="n">
        <f>21910</f>
        <v>21910.0</v>
      </c>
      <c r="P115" s="34" t="s">
        <v>66</v>
      </c>
      <c r="Q115" s="33" t="n">
        <f>24355</f>
        <v>24355.0</v>
      </c>
      <c r="R115" s="34" t="s">
        <v>49</v>
      </c>
      <c r="S115" s="35" t="n">
        <f>23581.82</f>
        <v>23581.82</v>
      </c>
      <c r="T115" s="32" t="n">
        <f>114814</f>
        <v>114814.0</v>
      </c>
      <c r="U115" s="32" t="n">
        <f>412</f>
        <v>412.0</v>
      </c>
      <c r="V115" s="32" t="n">
        <f>2731953720</f>
        <v>2.73195372E9</v>
      </c>
      <c r="W115" s="32" t="n">
        <f>9630355</f>
        <v>9630355.0</v>
      </c>
      <c r="X115" s="36" t="n">
        <f>22</f>
        <v>22.0</v>
      </c>
    </row>
    <row r="116">
      <c r="A116" s="27" t="s">
        <v>42</v>
      </c>
      <c r="B116" s="27" t="s">
        <v>399</v>
      </c>
      <c r="C116" s="27" t="s">
        <v>400</v>
      </c>
      <c r="D116" s="27" t="s">
        <v>401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2130</f>
        <v>2130.0</v>
      </c>
      <c r="L116" s="34" t="s">
        <v>48</v>
      </c>
      <c r="M116" s="33" t="n">
        <f>2260</f>
        <v>2260.0</v>
      </c>
      <c r="N116" s="34" t="s">
        <v>54</v>
      </c>
      <c r="O116" s="33" t="n">
        <f>1961</f>
        <v>1961.0</v>
      </c>
      <c r="P116" s="34" t="s">
        <v>50</v>
      </c>
      <c r="Q116" s="33" t="n">
        <f>2211</f>
        <v>2211.0</v>
      </c>
      <c r="R116" s="34" t="s">
        <v>49</v>
      </c>
      <c r="S116" s="35" t="n">
        <f>2108.41</f>
        <v>2108.41</v>
      </c>
      <c r="T116" s="32" t="n">
        <f>59156</f>
        <v>59156.0</v>
      </c>
      <c r="U116" s="32" t="str">
        <f>"－"</f>
        <v>－</v>
      </c>
      <c r="V116" s="32" t="n">
        <f>122407104</f>
        <v>1.22407104E8</v>
      </c>
      <c r="W116" s="32" t="str">
        <f>"－"</f>
        <v>－</v>
      </c>
      <c r="X116" s="36" t="n">
        <f>22</f>
        <v>22.0</v>
      </c>
    </row>
    <row r="117">
      <c r="A117" s="27" t="s">
        <v>42</v>
      </c>
      <c r="B117" s="27" t="s">
        <v>402</v>
      </c>
      <c r="C117" s="27" t="s">
        <v>403</v>
      </c>
      <c r="D117" s="27" t="s">
        <v>404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14445</f>
        <v>14445.0</v>
      </c>
      <c r="L117" s="34" t="s">
        <v>48</v>
      </c>
      <c r="M117" s="33" t="n">
        <f>16215</f>
        <v>16215.0</v>
      </c>
      <c r="N117" s="34" t="s">
        <v>54</v>
      </c>
      <c r="O117" s="33" t="n">
        <f>12165</f>
        <v>12165.0</v>
      </c>
      <c r="P117" s="34" t="s">
        <v>50</v>
      </c>
      <c r="Q117" s="33" t="n">
        <f>15670</f>
        <v>15670.0</v>
      </c>
      <c r="R117" s="34" t="s">
        <v>49</v>
      </c>
      <c r="S117" s="35" t="n">
        <f>14159.55</f>
        <v>14159.55</v>
      </c>
      <c r="T117" s="32" t="n">
        <f>21824740</f>
        <v>2.182474E7</v>
      </c>
      <c r="U117" s="32" t="n">
        <f>300</f>
        <v>300.0</v>
      </c>
      <c r="V117" s="32" t="n">
        <f>307565252650</f>
        <v>3.0756525265E11</v>
      </c>
      <c r="W117" s="32" t="n">
        <f>4305700</f>
        <v>4305700.0</v>
      </c>
      <c r="X117" s="36" t="n">
        <f>22</f>
        <v>22.0</v>
      </c>
    </row>
    <row r="118">
      <c r="A118" s="27" t="s">
        <v>42</v>
      </c>
      <c r="B118" s="27" t="s">
        <v>405</v>
      </c>
      <c r="C118" s="27" t="s">
        <v>406</v>
      </c>
      <c r="D118" s="27" t="s">
        <v>407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2776</f>
        <v>2776.0</v>
      </c>
      <c r="L118" s="34" t="s">
        <v>48</v>
      </c>
      <c r="M118" s="33" t="n">
        <f>3010</f>
        <v>3010.0</v>
      </c>
      <c r="N118" s="34" t="s">
        <v>50</v>
      </c>
      <c r="O118" s="33" t="n">
        <f>2586</f>
        <v>2586.0</v>
      </c>
      <c r="P118" s="34" t="s">
        <v>54</v>
      </c>
      <c r="Q118" s="33" t="n">
        <f>2627</f>
        <v>2627.0</v>
      </c>
      <c r="R118" s="34" t="s">
        <v>49</v>
      </c>
      <c r="S118" s="35" t="n">
        <f>2790.59</f>
        <v>2790.59</v>
      </c>
      <c r="T118" s="32" t="n">
        <f>2236640</f>
        <v>2236640.0</v>
      </c>
      <c r="U118" s="32" t="n">
        <f>805130</f>
        <v>805130.0</v>
      </c>
      <c r="V118" s="32" t="n">
        <f>6190694500</f>
        <v>6.1906945E9</v>
      </c>
      <c r="W118" s="32" t="n">
        <f>2190222185</f>
        <v>2.190222185E9</v>
      </c>
      <c r="X118" s="36" t="n">
        <f>22</f>
        <v>22.0</v>
      </c>
    </row>
    <row r="119">
      <c r="A119" s="27" t="s">
        <v>42</v>
      </c>
      <c r="B119" s="27" t="s">
        <v>408</v>
      </c>
      <c r="C119" s="27" t="s">
        <v>409</v>
      </c>
      <c r="D119" s="27" t="s">
        <v>410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851</f>
        <v>851.0</v>
      </c>
      <c r="L119" s="34" t="s">
        <v>296</v>
      </c>
      <c r="M119" s="33" t="n">
        <f>940</f>
        <v>940.0</v>
      </c>
      <c r="N119" s="34" t="s">
        <v>226</v>
      </c>
      <c r="O119" s="33" t="n">
        <f>821</f>
        <v>821.0</v>
      </c>
      <c r="P119" s="34" t="s">
        <v>296</v>
      </c>
      <c r="Q119" s="33" t="n">
        <f>922</f>
        <v>922.0</v>
      </c>
      <c r="R119" s="34" t="s">
        <v>49</v>
      </c>
      <c r="S119" s="35" t="n">
        <f>870.64</f>
        <v>870.64</v>
      </c>
      <c r="T119" s="32" t="n">
        <f>1190</f>
        <v>1190.0</v>
      </c>
      <c r="U119" s="32" t="str">
        <f>"－"</f>
        <v>－</v>
      </c>
      <c r="V119" s="32" t="n">
        <f>1033547</f>
        <v>1033547.0</v>
      </c>
      <c r="W119" s="32" t="str">
        <f>"－"</f>
        <v>－</v>
      </c>
      <c r="X119" s="36" t="n">
        <f>10</f>
        <v>10.0</v>
      </c>
    </row>
    <row r="120">
      <c r="A120" s="27" t="s">
        <v>42</v>
      </c>
      <c r="B120" s="27" t="s">
        <v>411</v>
      </c>
      <c r="C120" s="27" t="s">
        <v>412</v>
      </c>
      <c r="D120" s="27" t="s">
        <v>413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1456</f>
        <v>1456.0</v>
      </c>
      <c r="L120" s="34" t="s">
        <v>296</v>
      </c>
      <c r="M120" s="33" t="n">
        <f>1543</f>
        <v>1543.0</v>
      </c>
      <c r="N120" s="34" t="s">
        <v>198</v>
      </c>
      <c r="O120" s="33" t="n">
        <f>1382</f>
        <v>1382.0</v>
      </c>
      <c r="P120" s="34" t="s">
        <v>66</v>
      </c>
      <c r="Q120" s="33" t="n">
        <f>1543</f>
        <v>1543.0</v>
      </c>
      <c r="R120" s="34" t="s">
        <v>198</v>
      </c>
      <c r="S120" s="35" t="n">
        <f>1464.89</f>
        <v>1464.89</v>
      </c>
      <c r="T120" s="32" t="n">
        <f>260</f>
        <v>260.0</v>
      </c>
      <c r="U120" s="32" t="str">
        <f>"－"</f>
        <v>－</v>
      </c>
      <c r="V120" s="32" t="n">
        <f>384700</f>
        <v>384700.0</v>
      </c>
      <c r="W120" s="32" t="str">
        <f>"－"</f>
        <v>－</v>
      </c>
      <c r="X120" s="36" t="n">
        <f>9</f>
        <v>9.0</v>
      </c>
    </row>
    <row r="121">
      <c r="A121" s="27" t="s">
        <v>42</v>
      </c>
      <c r="B121" s="27" t="s">
        <v>414</v>
      </c>
      <c r="C121" s="27" t="s">
        <v>415</v>
      </c>
      <c r="D121" s="27" t="s">
        <v>416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1640</f>
        <v>1640.0</v>
      </c>
      <c r="L121" s="34" t="s">
        <v>48</v>
      </c>
      <c r="M121" s="33" t="n">
        <f>1710</f>
        <v>1710.0</v>
      </c>
      <c r="N121" s="34" t="s">
        <v>54</v>
      </c>
      <c r="O121" s="33" t="n">
        <f>1507</f>
        <v>1507.0</v>
      </c>
      <c r="P121" s="34" t="s">
        <v>50</v>
      </c>
      <c r="Q121" s="33" t="n">
        <f>1705</f>
        <v>1705.0</v>
      </c>
      <c r="R121" s="34" t="s">
        <v>49</v>
      </c>
      <c r="S121" s="35" t="n">
        <f>1610.09</f>
        <v>1610.09</v>
      </c>
      <c r="T121" s="32" t="n">
        <f>8068</f>
        <v>8068.0</v>
      </c>
      <c r="U121" s="32" t="str">
        <f>"－"</f>
        <v>－</v>
      </c>
      <c r="V121" s="32" t="n">
        <f>12809371</f>
        <v>1.2809371E7</v>
      </c>
      <c r="W121" s="32" t="str">
        <f>"－"</f>
        <v>－</v>
      </c>
      <c r="X121" s="36" t="n">
        <f>22</f>
        <v>22.0</v>
      </c>
    </row>
    <row r="122">
      <c r="A122" s="27" t="s">
        <v>42</v>
      </c>
      <c r="B122" s="27" t="s">
        <v>417</v>
      </c>
      <c r="C122" s="27" t="s">
        <v>418</v>
      </c>
      <c r="D122" s="27" t="s">
        <v>419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17245</f>
        <v>17245.0</v>
      </c>
      <c r="L122" s="34" t="s">
        <v>48</v>
      </c>
      <c r="M122" s="33" t="n">
        <f>18215</f>
        <v>18215.0</v>
      </c>
      <c r="N122" s="34" t="s">
        <v>78</v>
      </c>
      <c r="O122" s="33" t="n">
        <f>15895</f>
        <v>15895.0</v>
      </c>
      <c r="P122" s="34" t="s">
        <v>50</v>
      </c>
      <c r="Q122" s="33" t="n">
        <f>17830</f>
        <v>17830.0</v>
      </c>
      <c r="R122" s="34" t="s">
        <v>49</v>
      </c>
      <c r="S122" s="35" t="n">
        <f>17063.64</f>
        <v>17063.64</v>
      </c>
      <c r="T122" s="32" t="n">
        <f>133373</f>
        <v>133373.0</v>
      </c>
      <c r="U122" s="32" t="n">
        <f>2</f>
        <v>2.0</v>
      </c>
      <c r="V122" s="32" t="n">
        <f>2306486310</f>
        <v>2.30648631E9</v>
      </c>
      <c r="W122" s="32" t="n">
        <f>31975</f>
        <v>31975.0</v>
      </c>
      <c r="X122" s="36" t="n">
        <f>22</f>
        <v>22.0</v>
      </c>
    </row>
    <row r="123">
      <c r="A123" s="27" t="s">
        <v>42</v>
      </c>
      <c r="B123" s="27" t="s">
        <v>420</v>
      </c>
      <c r="C123" s="27" t="s">
        <v>421</v>
      </c>
      <c r="D123" s="27" t="s">
        <v>422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1570</f>
        <v>1570.0</v>
      </c>
      <c r="L123" s="34" t="s">
        <v>48</v>
      </c>
      <c r="M123" s="33" t="n">
        <f>1652</f>
        <v>1652.0</v>
      </c>
      <c r="N123" s="34" t="s">
        <v>49</v>
      </c>
      <c r="O123" s="33" t="n">
        <f>1460</f>
        <v>1460.0</v>
      </c>
      <c r="P123" s="34" t="s">
        <v>66</v>
      </c>
      <c r="Q123" s="33" t="n">
        <f>1628</f>
        <v>1628.0</v>
      </c>
      <c r="R123" s="34" t="s">
        <v>49</v>
      </c>
      <c r="S123" s="35" t="n">
        <f>1560.18</f>
        <v>1560.18</v>
      </c>
      <c r="T123" s="32" t="n">
        <f>167493</f>
        <v>167493.0</v>
      </c>
      <c r="U123" s="32" t="str">
        <f>"－"</f>
        <v>－</v>
      </c>
      <c r="V123" s="32" t="n">
        <f>258326150</f>
        <v>2.5832615E8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423</v>
      </c>
      <c r="C124" s="27" t="s">
        <v>424</v>
      </c>
      <c r="D124" s="27" t="s">
        <v>425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17560</f>
        <v>17560.0</v>
      </c>
      <c r="L124" s="34" t="s">
        <v>48</v>
      </c>
      <c r="M124" s="33" t="n">
        <f>18500</f>
        <v>18500.0</v>
      </c>
      <c r="N124" s="34" t="s">
        <v>54</v>
      </c>
      <c r="O124" s="33" t="n">
        <f>16200</f>
        <v>16200.0</v>
      </c>
      <c r="P124" s="34" t="s">
        <v>50</v>
      </c>
      <c r="Q124" s="33" t="n">
        <f>18360</f>
        <v>18360.0</v>
      </c>
      <c r="R124" s="34" t="s">
        <v>49</v>
      </c>
      <c r="S124" s="35" t="n">
        <f>17418.64</f>
        <v>17418.64</v>
      </c>
      <c r="T124" s="32" t="n">
        <f>33506</f>
        <v>33506.0</v>
      </c>
      <c r="U124" s="32" t="n">
        <f>1</f>
        <v>1.0</v>
      </c>
      <c r="V124" s="32" t="n">
        <f>579799050</f>
        <v>5.7979905E8</v>
      </c>
      <c r="W124" s="32" t="n">
        <f>16880</f>
        <v>16880.0</v>
      </c>
      <c r="X124" s="36" t="n">
        <f>22</f>
        <v>22.0</v>
      </c>
    </row>
    <row r="125">
      <c r="A125" s="27" t="s">
        <v>42</v>
      </c>
      <c r="B125" s="27" t="s">
        <v>426</v>
      </c>
      <c r="C125" s="27" t="s">
        <v>427</v>
      </c>
      <c r="D125" s="27" t="s">
        <v>428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1928</f>
        <v>1928.0</v>
      </c>
      <c r="L125" s="34" t="s">
        <v>48</v>
      </c>
      <c r="M125" s="33" t="n">
        <f>2095.5</f>
        <v>2095.5</v>
      </c>
      <c r="N125" s="34" t="s">
        <v>54</v>
      </c>
      <c r="O125" s="33" t="n">
        <f>1889.5</f>
        <v>1889.5</v>
      </c>
      <c r="P125" s="34" t="s">
        <v>50</v>
      </c>
      <c r="Q125" s="33" t="n">
        <f>2062</f>
        <v>2062.0</v>
      </c>
      <c r="R125" s="34" t="s">
        <v>49</v>
      </c>
      <c r="S125" s="35" t="n">
        <f>1968.05</f>
        <v>1968.05</v>
      </c>
      <c r="T125" s="32" t="n">
        <f>1120730</f>
        <v>1120730.0</v>
      </c>
      <c r="U125" s="32" t="n">
        <f>205010</f>
        <v>205010.0</v>
      </c>
      <c r="V125" s="32" t="n">
        <f>2227431290</f>
        <v>2.22743129E9</v>
      </c>
      <c r="W125" s="32" t="n">
        <f>410509620</f>
        <v>4.1050962E8</v>
      </c>
      <c r="X125" s="36" t="n">
        <f>22</f>
        <v>22.0</v>
      </c>
    </row>
    <row r="126">
      <c r="A126" s="27" t="s">
        <v>42</v>
      </c>
      <c r="B126" s="27" t="s">
        <v>429</v>
      </c>
      <c r="C126" s="27" t="s">
        <v>430</v>
      </c>
      <c r="D126" s="27" t="s">
        <v>431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1645</f>
        <v>1645.0</v>
      </c>
      <c r="L126" s="34" t="s">
        <v>48</v>
      </c>
      <c r="M126" s="33" t="n">
        <f>1723</f>
        <v>1723.0</v>
      </c>
      <c r="N126" s="34" t="s">
        <v>54</v>
      </c>
      <c r="O126" s="33" t="n">
        <f>1534</f>
        <v>1534.0</v>
      </c>
      <c r="P126" s="34" t="s">
        <v>66</v>
      </c>
      <c r="Q126" s="33" t="n">
        <f>1723</f>
        <v>1723.0</v>
      </c>
      <c r="R126" s="34" t="s">
        <v>54</v>
      </c>
      <c r="S126" s="35" t="n">
        <f>1620.92</f>
        <v>1620.92</v>
      </c>
      <c r="T126" s="32" t="n">
        <f>750</f>
        <v>750.0</v>
      </c>
      <c r="U126" s="32" t="str">
        <f>"－"</f>
        <v>－</v>
      </c>
      <c r="V126" s="32" t="n">
        <f>1223990</f>
        <v>1223990.0</v>
      </c>
      <c r="W126" s="32" t="str">
        <f>"－"</f>
        <v>－</v>
      </c>
      <c r="X126" s="36" t="n">
        <f>13</f>
        <v>13.0</v>
      </c>
    </row>
    <row r="127">
      <c r="A127" s="27" t="s">
        <v>42</v>
      </c>
      <c r="B127" s="27" t="s">
        <v>432</v>
      </c>
      <c r="C127" s="27" t="s">
        <v>433</v>
      </c>
      <c r="D127" s="27" t="s">
        <v>434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1940</f>
        <v>1940.0</v>
      </c>
      <c r="L127" s="34" t="s">
        <v>48</v>
      </c>
      <c r="M127" s="33" t="n">
        <f>2096</f>
        <v>2096.0</v>
      </c>
      <c r="N127" s="34" t="s">
        <v>54</v>
      </c>
      <c r="O127" s="33" t="n">
        <f>1885</f>
        <v>1885.0</v>
      </c>
      <c r="P127" s="34" t="s">
        <v>50</v>
      </c>
      <c r="Q127" s="33" t="n">
        <f>2053.5</f>
        <v>2053.5</v>
      </c>
      <c r="R127" s="34" t="s">
        <v>49</v>
      </c>
      <c r="S127" s="35" t="n">
        <f>1967.57</f>
        <v>1967.57</v>
      </c>
      <c r="T127" s="32" t="n">
        <f>847150</f>
        <v>847150.0</v>
      </c>
      <c r="U127" s="32" t="n">
        <f>90</f>
        <v>90.0</v>
      </c>
      <c r="V127" s="32" t="n">
        <f>1660271360</f>
        <v>1.66027136E9</v>
      </c>
      <c r="W127" s="32" t="n">
        <f>172590</f>
        <v>172590.0</v>
      </c>
      <c r="X127" s="36" t="n">
        <f>22</f>
        <v>22.0</v>
      </c>
    </row>
    <row r="128">
      <c r="A128" s="27" t="s">
        <v>42</v>
      </c>
      <c r="B128" s="27" t="s">
        <v>435</v>
      </c>
      <c r="C128" s="27" t="s">
        <v>436</v>
      </c>
      <c r="D128" s="27" t="s">
        <v>437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17370</f>
        <v>17370.0</v>
      </c>
      <c r="L128" s="34" t="s">
        <v>48</v>
      </c>
      <c r="M128" s="33" t="n">
        <f>18180</f>
        <v>18180.0</v>
      </c>
      <c r="N128" s="34" t="s">
        <v>78</v>
      </c>
      <c r="O128" s="33" t="n">
        <f>16025</f>
        <v>16025.0</v>
      </c>
      <c r="P128" s="34" t="s">
        <v>66</v>
      </c>
      <c r="Q128" s="33" t="n">
        <f>18000</f>
        <v>18000.0</v>
      </c>
      <c r="R128" s="34" t="s">
        <v>49</v>
      </c>
      <c r="S128" s="35" t="n">
        <f>17063.68</f>
        <v>17063.68</v>
      </c>
      <c r="T128" s="32" t="n">
        <f>557</f>
        <v>557.0</v>
      </c>
      <c r="U128" s="32" t="n">
        <f>4</f>
        <v>4.0</v>
      </c>
      <c r="V128" s="32" t="n">
        <f>9570270</f>
        <v>9570270.0</v>
      </c>
      <c r="W128" s="32" t="n">
        <f>68675</f>
        <v>68675.0</v>
      </c>
      <c r="X128" s="36" t="n">
        <f>19</f>
        <v>19.0</v>
      </c>
    </row>
    <row r="129">
      <c r="A129" s="27" t="s">
        <v>42</v>
      </c>
      <c r="B129" s="27" t="s">
        <v>438</v>
      </c>
      <c r="C129" s="27" t="s">
        <v>439</v>
      </c>
      <c r="D129" s="27" t="s">
        <v>440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100.0</v>
      </c>
      <c r="K129" s="33" t="n">
        <f>164.8</f>
        <v>164.8</v>
      </c>
      <c r="L129" s="34" t="s">
        <v>48</v>
      </c>
      <c r="M129" s="33" t="n">
        <f>178.2</f>
        <v>178.2</v>
      </c>
      <c r="N129" s="34" t="s">
        <v>70</v>
      </c>
      <c r="O129" s="33" t="n">
        <f>150.7</f>
        <v>150.7</v>
      </c>
      <c r="P129" s="34" t="s">
        <v>50</v>
      </c>
      <c r="Q129" s="33" t="n">
        <f>169</f>
        <v>169.0</v>
      </c>
      <c r="R129" s="34" t="s">
        <v>49</v>
      </c>
      <c r="S129" s="35" t="n">
        <f>165.65</f>
        <v>165.65</v>
      </c>
      <c r="T129" s="32" t="n">
        <f>48737100</f>
        <v>4.87371E7</v>
      </c>
      <c r="U129" s="32" t="n">
        <f>603000</f>
        <v>603000.0</v>
      </c>
      <c r="V129" s="32" t="n">
        <f>8051528500</f>
        <v>8.0515285E9</v>
      </c>
      <c r="W129" s="32" t="n">
        <f>93118900</f>
        <v>9.31189E7</v>
      </c>
      <c r="X129" s="36" t="n">
        <f>22</f>
        <v>22.0</v>
      </c>
    </row>
    <row r="130">
      <c r="A130" s="27" t="s">
        <v>42</v>
      </c>
      <c r="B130" s="27" t="s">
        <v>441</v>
      </c>
      <c r="C130" s="27" t="s">
        <v>442</v>
      </c>
      <c r="D130" s="27" t="s">
        <v>443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28000</f>
        <v>28000.0</v>
      </c>
      <c r="L130" s="34" t="s">
        <v>48</v>
      </c>
      <c r="M130" s="33" t="n">
        <f>28100</f>
        <v>28100.0</v>
      </c>
      <c r="N130" s="34" t="s">
        <v>61</v>
      </c>
      <c r="O130" s="33" t="n">
        <f>26075</f>
        <v>26075.0</v>
      </c>
      <c r="P130" s="34" t="s">
        <v>50</v>
      </c>
      <c r="Q130" s="33" t="n">
        <f>27265</f>
        <v>27265.0</v>
      </c>
      <c r="R130" s="34" t="s">
        <v>49</v>
      </c>
      <c r="S130" s="35" t="n">
        <f>27240.68</f>
        <v>27240.68</v>
      </c>
      <c r="T130" s="32" t="n">
        <f>3151</f>
        <v>3151.0</v>
      </c>
      <c r="U130" s="32" t="str">
        <f>"－"</f>
        <v>－</v>
      </c>
      <c r="V130" s="32" t="n">
        <f>85802260</f>
        <v>8.580226E7</v>
      </c>
      <c r="W130" s="32" t="str">
        <f>"－"</f>
        <v>－</v>
      </c>
      <c r="X130" s="36" t="n">
        <f>22</f>
        <v>22.0</v>
      </c>
    </row>
    <row r="131">
      <c r="A131" s="27" t="s">
        <v>42</v>
      </c>
      <c r="B131" s="27" t="s">
        <v>444</v>
      </c>
      <c r="C131" s="27" t="s">
        <v>445</v>
      </c>
      <c r="D131" s="27" t="s">
        <v>446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11930</f>
        <v>11930.0</v>
      </c>
      <c r="L131" s="34" t="s">
        <v>48</v>
      </c>
      <c r="M131" s="33" t="n">
        <f>13770</f>
        <v>13770.0</v>
      </c>
      <c r="N131" s="34" t="s">
        <v>227</v>
      </c>
      <c r="O131" s="33" t="n">
        <f>11690</f>
        <v>11690.0</v>
      </c>
      <c r="P131" s="34" t="s">
        <v>226</v>
      </c>
      <c r="Q131" s="33" t="n">
        <f>13065</f>
        <v>13065.0</v>
      </c>
      <c r="R131" s="34" t="s">
        <v>49</v>
      </c>
      <c r="S131" s="35" t="n">
        <f>12806.59</f>
        <v>12806.59</v>
      </c>
      <c r="T131" s="32" t="n">
        <f>44834</f>
        <v>44834.0</v>
      </c>
      <c r="U131" s="32" t="n">
        <f>5</f>
        <v>5.0</v>
      </c>
      <c r="V131" s="32" t="n">
        <f>573779250</f>
        <v>5.7377925E8</v>
      </c>
      <c r="W131" s="32" t="n">
        <f>67885</f>
        <v>67885.0</v>
      </c>
      <c r="X131" s="36" t="n">
        <f>22</f>
        <v>22.0</v>
      </c>
    </row>
    <row r="132">
      <c r="A132" s="27" t="s">
        <v>42</v>
      </c>
      <c r="B132" s="27" t="s">
        <v>447</v>
      </c>
      <c r="C132" s="27" t="s">
        <v>448</v>
      </c>
      <c r="D132" s="27" t="s">
        <v>449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21475</f>
        <v>21475.0</v>
      </c>
      <c r="L132" s="34" t="s">
        <v>48</v>
      </c>
      <c r="M132" s="33" t="n">
        <f>22100</f>
        <v>22100.0</v>
      </c>
      <c r="N132" s="34" t="s">
        <v>297</v>
      </c>
      <c r="O132" s="33" t="n">
        <f>19715</f>
        <v>19715.0</v>
      </c>
      <c r="P132" s="34" t="s">
        <v>50</v>
      </c>
      <c r="Q132" s="33" t="n">
        <f>21370</f>
        <v>21370.0</v>
      </c>
      <c r="R132" s="34" t="s">
        <v>49</v>
      </c>
      <c r="S132" s="35" t="n">
        <f>20964.52</f>
        <v>20964.52</v>
      </c>
      <c r="T132" s="32" t="n">
        <f>908</f>
        <v>908.0</v>
      </c>
      <c r="U132" s="32" t="str">
        <f>"－"</f>
        <v>－</v>
      </c>
      <c r="V132" s="32" t="n">
        <f>18935745</f>
        <v>1.8935745E7</v>
      </c>
      <c r="W132" s="32" t="str">
        <f>"－"</f>
        <v>－</v>
      </c>
      <c r="X132" s="36" t="n">
        <f>21</f>
        <v>21.0</v>
      </c>
    </row>
    <row r="133">
      <c r="A133" s="27" t="s">
        <v>42</v>
      </c>
      <c r="B133" s="27" t="s">
        <v>450</v>
      </c>
      <c r="C133" s="27" t="s">
        <v>451</v>
      </c>
      <c r="D133" s="27" t="s">
        <v>452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25335</f>
        <v>25335.0</v>
      </c>
      <c r="L133" s="34" t="s">
        <v>48</v>
      </c>
      <c r="M133" s="33" t="n">
        <f>25875</f>
        <v>25875.0</v>
      </c>
      <c r="N133" s="34" t="s">
        <v>54</v>
      </c>
      <c r="O133" s="33" t="n">
        <f>22500</f>
        <v>22500.0</v>
      </c>
      <c r="P133" s="34" t="s">
        <v>50</v>
      </c>
      <c r="Q133" s="33" t="n">
        <f>25345</f>
        <v>25345.0</v>
      </c>
      <c r="R133" s="34" t="s">
        <v>49</v>
      </c>
      <c r="S133" s="35" t="n">
        <f>24403.18</f>
        <v>24403.18</v>
      </c>
      <c r="T133" s="32" t="n">
        <f>2744</f>
        <v>2744.0</v>
      </c>
      <c r="U133" s="32" t="str">
        <f>"－"</f>
        <v>－</v>
      </c>
      <c r="V133" s="32" t="n">
        <f>66422610</f>
        <v>6.642261E7</v>
      </c>
      <c r="W133" s="32" t="str">
        <f>"－"</f>
        <v>－</v>
      </c>
      <c r="X133" s="36" t="n">
        <f>22</f>
        <v>22.0</v>
      </c>
    </row>
    <row r="134">
      <c r="A134" s="27" t="s">
        <v>42</v>
      </c>
      <c r="B134" s="27" t="s">
        <v>453</v>
      </c>
      <c r="C134" s="27" t="s">
        <v>454</v>
      </c>
      <c r="D134" s="27" t="s">
        <v>455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22355</f>
        <v>22355.0</v>
      </c>
      <c r="L134" s="34" t="s">
        <v>48</v>
      </c>
      <c r="M134" s="33" t="n">
        <f>23200</f>
        <v>23200.0</v>
      </c>
      <c r="N134" s="34" t="s">
        <v>54</v>
      </c>
      <c r="O134" s="33" t="n">
        <f>20870</f>
        <v>20870.0</v>
      </c>
      <c r="P134" s="34" t="s">
        <v>50</v>
      </c>
      <c r="Q134" s="33" t="n">
        <f>22830</f>
        <v>22830.0</v>
      </c>
      <c r="R134" s="34" t="s">
        <v>49</v>
      </c>
      <c r="S134" s="35" t="n">
        <f>22060.68</f>
        <v>22060.68</v>
      </c>
      <c r="T134" s="32" t="n">
        <f>3274</f>
        <v>3274.0</v>
      </c>
      <c r="U134" s="32" t="n">
        <f>1</f>
        <v>1.0</v>
      </c>
      <c r="V134" s="32" t="n">
        <f>73767720</f>
        <v>7.376772E7</v>
      </c>
      <c r="W134" s="32" t="n">
        <f>21960</f>
        <v>21960.0</v>
      </c>
      <c r="X134" s="36" t="n">
        <f>22</f>
        <v>22.0</v>
      </c>
    </row>
    <row r="135">
      <c r="A135" s="27" t="s">
        <v>42</v>
      </c>
      <c r="B135" s="27" t="s">
        <v>456</v>
      </c>
      <c r="C135" s="27" t="s">
        <v>457</v>
      </c>
      <c r="D135" s="27" t="s">
        <v>458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23970</f>
        <v>23970.0</v>
      </c>
      <c r="L135" s="34" t="s">
        <v>48</v>
      </c>
      <c r="M135" s="33" t="n">
        <f>24870</f>
        <v>24870.0</v>
      </c>
      <c r="N135" s="34" t="s">
        <v>54</v>
      </c>
      <c r="O135" s="33" t="n">
        <f>20340</f>
        <v>20340.0</v>
      </c>
      <c r="P135" s="34" t="s">
        <v>66</v>
      </c>
      <c r="Q135" s="33" t="n">
        <f>24575</f>
        <v>24575.0</v>
      </c>
      <c r="R135" s="34" t="s">
        <v>49</v>
      </c>
      <c r="S135" s="35" t="n">
        <f>22770.91</f>
        <v>22770.91</v>
      </c>
      <c r="T135" s="32" t="n">
        <f>6326</f>
        <v>6326.0</v>
      </c>
      <c r="U135" s="32" t="n">
        <f>3</f>
        <v>3.0</v>
      </c>
      <c r="V135" s="32" t="n">
        <f>142991195</f>
        <v>1.42991195E8</v>
      </c>
      <c r="W135" s="32" t="n">
        <f>69710</f>
        <v>69710.0</v>
      </c>
      <c r="X135" s="36" t="n">
        <f>22</f>
        <v>22.0</v>
      </c>
    </row>
    <row r="136">
      <c r="A136" s="27" t="s">
        <v>42</v>
      </c>
      <c r="B136" s="27" t="s">
        <v>459</v>
      </c>
      <c r="C136" s="27" t="s">
        <v>460</v>
      </c>
      <c r="D136" s="27" t="s">
        <v>461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17580</f>
        <v>17580.0</v>
      </c>
      <c r="L136" s="34" t="s">
        <v>48</v>
      </c>
      <c r="M136" s="33" t="n">
        <f>18690</f>
        <v>18690.0</v>
      </c>
      <c r="N136" s="34" t="s">
        <v>49</v>
      </c>
      <c r="O136" s="33" t="n">
        <f>16390</f>
        <v>16390.0</v>
      </c>
      <c r="P136" s="34" t="s">
        <v>66</v>
      </c>
      <c r="Q136" s="33" t="n">
        <f>18140</f>
        <v>18140.0</v>
      </c>
      <c r="R136" s="34" t="s">
        <v>49</v>
      </c>
      <c r="S136" s="35" t="n">
        <f>17547.5</f>
        <v>17547.5</v>
      </c>
      <c r="T136" s="32" t="n">
        <f>7768</f>
        <v>7768.0</v>
      </c>
      <c r="U136" s="32" t="n">
        <f>1</f>
        <v>1.0</v>
      </c>
      <c r="V136" s="32" t="n">
        <f>137091445</f>
        <v>1.37091445E8</v>
      </c>
      <c r="W136" s="32" t="n">
        <f>18405</f>
        <v>18405.0</v>
      </c>
      <c r="X136" s="36" t="n">
        <f>22</f>
        <v>22.0</v>
      </c>
    </row>
    <row r="137">
      <c r="A137" s="27" t="s">
        <v>42</v>
      </c>
      <c r="B137" s="27" t="s">
        <v>462</v>
      </c>
      <c r="C137" s="27" t="s">
        <v>463</v>
      </c>
      <c r="D137" s="27" t="s">
        <v>464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37730</f>
        <v>37730.0</v>
      </c>
      <c r="L137" s="34" t="s">
        <v>48</v>
      </c>
      <c r="M137" s="33" t="n">
        <f>40370</f>
        <v>40370.0</v>
      </c>
      <c r="N137" s="34" t="s">
        <v>78</v>
      </c>
      <c r="O137" s="33" t="n">
        <f>34470</f>
        <v>34470.0</v>
      </c>
      <c r="P137" s="34" t="s">
        <v>66</v>
      </c>
      <c r="Q137" s="33" t="n">
        <f>39600</f>
        <v>39600.0</v>
      </c>
      <c r="R137" s="34" t="s">
        <v>49</v>
      </c>
      <c r="S137" s="35" t="n">
        <f>37527.27</f>
        <v>37527.27</v>
      </c>
      <c r="T137" s="32" t="n">
        <f>3608</f>
        <v>3608.0</v>
      </c>
      <c r="U137" s="32" t="n">
        <f>656</f>
        <v>656.0</v>
      </c>
      <c r="V137" s="32" t="n">
        <f>140060310</f>
        <v>1.4006031E8</v>
      </c>
      <c r="W137" s="32" t="n">
        <f>25649600</f>
        <v>2.56496E7</v>
      </c>
      <c r="X137" s="36" t="n">
        <f>22</f>
        <v>22.0</v>
      </c>
    </row>
    <row r="138">
      <c r="A138" s="27" t="s">
        <v>42</v>
      </c>
      <c r="B138" s="27" t="s">
        <v>465</v>
      </c>
      <c r="C138" s="27" t="s">
        <v>466</v>
      </c>
      <c r="D138" s="27" t="s">
        <v>467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27490</f>
        <v>27490.0</v>
      </c>
      <c r="L138" s="34" t="s">
        <v>48</v>
      </c>
      <c r="M138" s="33" t="n">
        <f>29055</f>
        <v>29055.0</v>
      </c>
      <c r="N138" s="34" t="s">
        <v>54</v>
      </c>
      <c r="O138" s="33" t="n">
        <f>24645</f>
        <v>24645.0</v>
      </c>
      <c r="P138" s="34" t="s">
        <v>66</v>
      </c>
      <c r="Q138" s="33" t="n">
        <f>28630</f>
        <v>28630.0</v>
      </c>
      <c r="R138" s="34" t="s">
        <v>49</v>
      </c>
      <c r="S138" s="35" t="n">
        <f>27041.59</f>
        <v>27041.59</v>
      </c>
      <c r="T138" s="32" t="n">
        <f>4874</f>
        <v>4874.0</v>
      </c>
      <c r="U138" s="32" t="str">
        <f>"－"</f>
        <v>－</v>
      </c>
      <c r="V138" s="32" t="n">
        <f>131636765</f>
        <v>1.31636765E8</v>
      </c>
      <c r="W138" s="32" t="str">
        <f>"－"</f>
        <v>－</v>
      </c>
      <c r="X138" s="36" t="n">
        <f>22</f>
        <v>22.0</v>
      </c>
    </row>
    <row r="139">
      <c r="A139" s="27" t="s">
        <v>42</v>
      </c>
      <c r="B139" s="27" t="s">
        <v>468</v>
      </c>
      <c r="C139" s="27" t="s">
        <v>469</v>
      </c>
      <c r="D139" s="27" t="s">
        <v>470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27850</f>
        <v>27850.0</v>
      </c>
      <c r="L139" s="34" t="s">
        <v>48</v>
      </c>
      <c r="M139" s="33" t="n">
        <f>29675</f>
        <v>29675.0</v>
      </c>
      <c r="N139" s="34" t="s">
        <v>54</v>
      </c>
      <c r="O139" s="33" t="n">
        <f>26160</f>
        <v>26160.0</v>
      </c>
      <c r="P139" s="34" t="s">
        <v>66</v>
      </c>
      <c r="Q139" s="33" t="n">
        <f>29120</f>
        <v>29120.0</v>
      </c>
      <c r="R139" s="34" t="s">
        <v>49</v>
      </c>
      <c r="S139" s="35" t="n">
        <f>27918.41</f>
        <v>27918.41</v>
      </c>
      <c r="T139" s="32" t="n">
        <f>3097</f>
        <v>3097.0</v>
      </c>
      <c r="U139" s="32" t="str">
        <f>"－"</f>
        <v>－</v>
      </c>
      <c r="V139" s="32" t="n">
        <f>86430205</f>
        <v>8.6430205E7</v>
      </c>
      <c r="W139" s="32" t="str">
        <f>"－"</f>
        <v>－</v>
      </c>
      <c r="X139" s="36" t="n">
        <f>22</f>
        <v>22.0</v>
      </c>
    </row>
    <row r="140">
      <c r="A140" s="27" t="s">
        <v>42</v>
      </c>
      <c r="B140" s="27" t="s">
        <v>471</v>
      </c>
      <c r="C140" s="27" t="s">
        <v>472</v>
      </c>
      <c r="D140" s="27" t="s">
        <v>473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5790</f>
        <v>5790.0</v>
      </c>
      <c r="L140" s="34" t="s">
        <v>48</v>
      </c>
      <c r="M140" s="33" t="n">
        <f>5932</f>
        <v>5932.0</v>
      </c>
      <c r="N140" s="34" t="s">
        <v>100</v>
      </c>
      <c r="O140" s="33" t="n">
        <f>5492</f>
        <v>5492.0</v>
      </c>
      <c r="P140" s="34" t="s">
        <v>395</v>
      </c>
      <c r="Q140" s="33" t="n">
        <f>5770</f>
        <v>5770.0</v>
      </c>
      <c r="R140" s="34" t="s">
        <v>49</v>
      </c>
      <c r="S140" s="35" t="n">
        <f>5760.05</f>
        <v>5760.05</v>
      </c>
      <c r="T140" s="32" t="n">
        <f>17513</f>
        <v>17513.0</v>
      </c>
      <c r="U140" s="32" t="n">
        <f>2</f>
        <v>2.0</v>
      </c>
      <c r="V140" s="32" t="n">
        <f>100887940</f>
        <v>1.0088794E8</v>
      </c>
      <c r="W140" s="32" t="n">
        <f>12381</f>
        <v>12381.0</v>
      </c>
      <c r="X140" s="36" t="n">
        <f>22</f>
        <v>22.0</v>
      </c>
    </row>
    <row r="141">
      <c r="A141" s="27" t="s">
        <v>42</v>
      </c>
      <c r="B141" s="27" t="s">
        <v>474</v>
      </c>
      <c r="C141" s="27" t="s">
        <v>475</v>
      </c>
      <c r="D141" s="27" t="s">
        <v>476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14890</f>
        <v>14890.0</v>
      </c>
      <c r="L141" s="34" t="s">
        <v>48</v>
      </c>
      <c r="M141" s="33" t="n">
        <f>15680</f>
        <v>15680.0</v>
      </c>
      <c r="N141" s="34" t="s">
        <v>70</v>
      </c>
      <c r="O141" s="33" t="n">
        <f>14155</f>
        <v>14155.0</v>
      </c>
      <c r="P141" s="34" t="s">
        <v>50</v>
      </c>
      <c r="Q141" s="33" t="n">
        <f>15425</f>
        <v>15425.0</v>
      </c>
      <c r="R141" s="34" t="s">
        <v>49</v>
      </c>
      <c r="S141" s="35" t="n">
        <f>15115.23</f>
        <v>15115.23</v>
      </c>
      <c r="T141" s="32" t="n">
        <f>21633</f>
        <v>21633.0</v>
      </c>
      <c r="U141" s="32" t="n">
        <f>5</f>
        <v>5.0</v>
      </c>
      <c r="V141" s="32" t="n">
        <f>325813165</f>
        <v>3.25813165E8</v>
      </c>
      <c r="W141" s="32" t="n">
        <f>75005</f>
        <v>75005.0</v>
      </c>
      <c r="X141" s="36" t="n">
        <f>22</f>
        <v>22.0</v>
      </c>
    </row>
    <row r="142">
      <c r="A142" s="27" t="s">
        <v>42</v>
      </c>
      <c r="B142" s="27" t="s">
        <v>477</v>
      </c>
      <c r="C142" s="27" t="s">
        <v>478</v>
      </c>
      <c r="D142" s="27" t="s">
        <v>479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43850</f>
        <v>43850.0</v>
      </c>
      <c r="L142" s="34" t="s">
        <v>48</v>
      </c>
      <c r="M142" s="33" t="n">
        <f>48960</f>
        <v>48960.0</v>
      </c>
      <c r="N142" s="34" t="s">
        <v>227</v>
      </c>
      <c r="O142" s="33" t="n">
        <f>42700</f>
        <v>42700.0</v>
      </c>
      <c r="P142" s="34" t="s">
        <v>61</v>
      </c>
      <c r="Q142" s="33" t="n">
        <f>48220</f>
        <v>48220.0</v>
      </c>
      <c r="R142" s="34" t="s">
        <v>49</v>
      </c>
      <c r="S142" s="35" t="n">
        <f>45620.45</f>
        <v>45620.45</v>
      </c>
      <c r="T142" s="32" t="n">
        <f>10287</f>
        <v>10287.0</v>
      </c>
      <c r="U142" s="32" t="str">
        <f>"－"</f>
        <v>－</v>
      </c>
      <c r="V142" s="32" t="n">
        <f>473681440</f>
        <v>4.7368144E8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480</v>
      </c>
      <c r="C143" s="27" t="s">
        <v>481</v>
      </c>
      <c r="D143" s="27" t="s">
        <v>482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21700</f>
        <v>21700.0</v>
      </c>
      <c r="L143" s="34" t="s">
        <v>48</v>
      </c>
      <c r="M143" s="33" t="n">
        <f>21800</f>
        <v>21800.0</v>
      </c>
      <c r="N143" s="34" t="s">
        <v>54</v>
      </c>
      <c r="O143" s="33" t="n">
        <f>20575</f>
        <v>20575.0</v>
      </c>
      <c r="P143" s="34" t="s">
        <v>96</v>
      </c>
      <c r="Q143" s="33" t="n">
        <f>21640</f>
        <v>21640.0</v>
      </c>
      <c r="R143" s="34" t="s">
        <v>49</v>
      </c>
      <c r="S143" s="35" t="n">
        <f>21236</f>
        <v>21236.0</v>
      </c>
      <c r="T143" s="32" t="n">
        <f>365</f>
        <v>365.0</v>
      </c>
      <c r="U143" s="32" t="str">
        <f>"－"</f>
        <v>－</v>
      </c>
      <c r="V143" s="32" t="n">
        <f>7811905</f>
        <v>7811905.0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483</v>
      </c>
      <c r="C144" s="27" t="s">
        <v>484</v>
      </c>
      <c r="D144" s="27" t="s">
        <v>485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8559</f>
        <v>8559.0</v>
      </c>
      <c r="L144" s="34" t="s">
        <v>48</v>
      </c>
      <c r="M144" s="33" t="n">
        <f>9330</f>
        <v>9330.0</v>
      </c>
      <c r="N144" s="34" t="s">
        <v>70</v>
      </c>
      <c r="O144" s="33" t="n">
        <f>7888</f>
        <v>7888.0</v>
      </c>
      <c r="P144" s="34" t="s">
        <v>66</v>
      </c>
      <c r="Q144" s="33" t="n">
        <f>8838</f>
        <v>8838.0</v>
      </c>
      <c r="R144" s="34" t="s">
        <v>49</v>
      </c>
      <c r="S144" s="35" t="n">
        <f>8684.09</f>
        <v>8684.09</v>
      </c>
      <c r="T144" s="32" t="n">
        <f>25791</f>
        <v>25791.0</v>
      </c>
      <c r="U144" s="32" t="n">
        <f>21</f>
        <v>21.0</v>
      </c>
      <c r="V144" s="32" t="n">
        <f>224581986</f>
        <v>2.24581986E8</v>
      </c>
      <c r="W144" s="32" t="n">
        <f>177710</f>
        <v>177710.0</v>
      </c>
      <c r="X144" s="36" t="n">
        <f>22</f>
        <v>22.0</v>
      </c>
    </row>
    <row r="145">
      <c r="A145" s="27" t="s">
        <v>42</v>
      </c>
      <c r="B145" s="27" t="s">
        <v>486</v>
      </c>
      <c r="C145" s="27" t="s">
        <v>487</v>
      </c>
      <c r="D145" s="27" t="s">
        <v>488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14230</f>
        <v>14230.0</v>
      </c>
      <c r="L145" s="34" t="s">
        <v>48</v>
      </c>
      <c r="M145" s="33" t="n">
        <f>15450</f>
        <v>15450.0</v>
      </c>
      <c r="N145" s="34" t="s">
        <v>78</v>
      </c>
      <c r="O145" s="33" t="n">
        <f>12955</f>
        <v>12955.0</v>
      </c>
      <c r="P145" s="34" t="s">
        <v>66</v>
      </c>
      <c r="Q145" s="33" t="n">
        <f>14985</f>
        <v>14985.0</v>
      </c>
      <c r="R145" s="34" t="s">
        <v>49</v>
      </c>
      <c r="S145" s="35" t="n">
        <f>14338.18</f>
        <v>14338.18</v>
      </c>
      <c r="T145" s="32" t="n">
        <f>3914</f>
        <v>3914.0</v>
      </c>
      <c r="U145" s="32" t="str">
        <f>"－"</f>
        <v>－</v>
      </c>
      <c r="V145" s="32" t="n">
        <f>56263440</f>
        <v>5.626344E7</v>
      </c>
      <c r="W145" s="32" t="str">
        <f>"－"</f>
        <v>－</v>
      </c>
      <c r="X145" s="36" t="n">
        <f>22</f>
        <v>22.0</v>
      </c>
    </row>
    <row r="146">
      <c r="A146" s="27" t="s">
        <v>42</v>
      </c>
      <c r="B146" s="27" t="s">
        <v>489</v>
      </c>
      <c r="C146" s="27" t="s">
        <v>490</v>
      </c>
      <c r="D146" s="27" t="s">
        <v>491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28685</f>
        <v>28685.0</v>
      </c>
      <c r="L146" s="34" t="s">
        <v>48</v>
      </c>
      <c r="M146" s="33" t="n">
        <f>30250</f>
        <v>30250.0</v>
      </c>
      <c r="N146" s="34" t="s">
        <v>100</v>
      </c>
      <c r="O146" s="33" t="n">
        <f>26350</f>
        <v>26350.0</v>
      </c>
      <c r="P146" s="34" t="s">
        <v>50</v>
      </c>
      <c r="Q146" s="33" t="n">
        <f>29725</f>
        <v>29725.0</v>
      </c>
      <c r="R146" s="34" t="s">
        <v>49</v>
      </c>
      <c r="S146" s="35" t="n">
        <f>28381.59</f>
        <v>28381.59</v>
      </c>
      <c r="T146" s="32" t="n">
        <f>1599</f>
        <v>1599.0</v>
      </c>
      <c r="U146" s="32" t="str">
        <f>"－"</f>
        <v>－</v>
      </c>
      <c r="V146" s="32" t="n">
        <f>45143825</f>
        <v>4.5143825E7</v>
      </c>
      <c r="W146" s="32" t="str">
        <f>"－"</f>
        <v>－</v>
      </c>
      <c r="X146" s="36" t="n">
        <f>22</f>
        <v>22.0</v>
      </c>
    </row>
    <row r="147">
      <c r="A147" s="27" t="s">
        <v>42</v>
      </c>
      <c r="B147" s="27" t="s">
        <v>492</v>
      </c>
      <c r="C147" s="27" t="s">
        <v>493</v>
      </c>
      <c r="D147" s="27" t="s">
        <v>494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1154.5</f>
        <v>1154.5</v>
      </c>
      <c r="L147" s="34" t="s">
        <v>48</v>
      </c>
      <c r="M147" s="33" t="n">
        <f>1250</f>
        <v>1250.0</v>
      </c>
      <c r="N147" s="34" t="s">
        <v>54</v>
      </c>
      <c r="O147" s="33" t="n">
        <f>1075</f>
        <v>1075.0</v>
      </c>
      <c r="P147" s="34" t="s">
        <v>226</v>
      </c>
      <c r="Q147" s="33" t="n">
        <f>1223.5</f>
        <v>1223.5</v>
      </c>
      <c r="R147" s="34" t="s">
        <v>49</v>
      </c>
      <c r="S147" s="35" t="n">
        <f>1173.07</f>
        <v>1173.07</v>
      </c>
      <c r="T147" s="32" t="n">
        <f>171920</f>
        <v>171920.0</v>
      </c>
      <c r="U147" s="32" t="n">
        <f>20</f>
        <v>20.0</v>
      </c>
      <c r="V147" s="32" t="n">
        <f>200310650</f>
        <v>2.0031065E8</v>
      </c>
      <c r="W147" s="32" t="n">
        <f>22795</f>
        <v>22795.0</v>
      </c>
      <c r="X147" s="36" t="n">
        <f>22</f>
        <v>22.0</v>
      </c>
    </row>
    <row r="148">
      <c r="A148" s="27" t="s">
        <v>42</v>
      </c>
      <c r="B148" s="27" t="s">
        <v>495</v>
      </c>
      <c r="C148" s="27" t="s">
        <v>496</v>
      </c>
      <c r="D148" s="27" t="s">
        <v>497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2228</f>
        <v>2228.0</v>
      </c>
      <c r="L148" s="34" t="s">
        <v>296</v>
      </c>
      <c r="M148" s="33" t="n">
        <f>2430</f>
        <v>2430.0</v>
      </c>
      <c r="N148" s="34" t="s">
        <v>78</v>
      </c>
      <c r="O148" s="33" t="n">
        <f>2129.5</f>
        <v>2129.5</v>
      </c>
      <c r="P148" s="34" t="s">
        <v>50</v>
      </c>
      <c r="Q148" s="33" t="n">
        <f>2399</f>
        <v>2399.0</v>
      </c>
      <c r="R148" s="34" t="s">
        <v>49</v>
      </c>
      <c r="S148" s="35" t="n">
        <f>2300.32</f>
        <v>2300.32</v>
      </c>
      <c r="T148" s="32" t="n">
        <f>8290</f>
        <v>8290.0</v>
      </c>
      <c r="U148" s="32" t="str">
        <f>"－"</f>
        <v>－</v>
      </c>
      <c r="V148" s="32" t="n">
        <f>18884010</f>
        <v>1.888401E7</v>
      </c>
      <c r="W148" s="32" t="str">
        <f>"－"</f>
        <v>－</v>
      </c>
      <c r="X148" s="36" t="n">
        <f>11</f>
        <v>11.0</v>
      </c>
    </row>
    <row r="149">
      <c r="A149" s="27" t="s">
        <v>42</v>
      </c>
      <c r="B149" s="27" t="s">
        <v>498</v>
      </c>
      <c r="C149" s="27" t="s">
        <v>499</v>
      </c>
      <c r="D149" s="27" t="s">
        <v>500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2403</f>
        <v>2403.0</v>
      </c>
      <c r="L149" s="34" t="s">
        <v>61</v>
      </c>
      <c r="M149" s="33" t="n">
        <f>2574</f>
        <v>2574.0</v>
      </c>
      <c r="N149" s="34" t="s">
        <v>78</v>
      </c>
      <c r="O149" s="33" t="n">
        <f>2265</f>
        <v>2265.0</v>
      </c>
      <c r="P149" s="34" t="s">
        <v>50</v>
      </c>
      <c r="Q149" s="33" t="n">
        <f>2539</f>
        <v>2539.0</v>
      </c>
      <c r="R149" s="34" t="s">
        <v>49</v>
      </c>
      <c r="S149" s="35" t="n">
        <f>2422.55</f>
        <v>2422.55</v>
      </c>
      <c r="T149" s="32" t="n">
        <f>301350</f>
        <v>301350.0</v>
      </c>
      <c r="U149" s="32" t="n">
        <f>290000</f>
        <v>290000.0</v>
      </c>
      <c r="V149" s="32" t="n">
        <f>759729850</f>
        <v>7.5972985E8</v>
      </c>
      <c r="W149" s="32" t="n">
        <f>732203000</f>
        <v>7.32203E8</v>
      </c>
      <c r="X149" s="36" t="n">
        <f>20</f>
        <v>20.0</v>
      </c>
    </row>
    <row r="150">
      <c r="A150" s="27" t="s">
        <v>42</v>
      </c>
      <c r="B150" s="27" t="s">
        <v>501</v>
      </c>
      <c r="C150" s="27" t="s">
        <v>502</v>
      </c>
      <c r="D150" s="27" t="s">
        <v>503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1469.5</f>
        <v>1469.5</v>
      </c>
      <c r="L150" s="34" t="s">
        <v>296</v>
      </c>
      <c r="M150" s="33" t="n">
        <f>1568.5</f>
        <v>1568.5</v>
      </c>
      <c r="N150" s="34" t="s">
        <v>78</v>
      </c>
      <c r="O150" s="33" t="n">
        <f>1379.5</f>
        <v>1379.5</v>
      </c>
      <c r="P150" s="34" t="s">
        <v>50</v>
      </c>
      <c r="Q150" s="33" t="n">
        <f>1568.5</f>
        <v>1568.5</v>
      </c>
      <c r="R150" s="34" t="s">
        <v>49</v>
      </c>
      <c r="S150" s="35" t="n">
        <f>1459.95</f>
        <v>1459.95</v>
      </c>
      <c r="T150" s="32" t="n">
        <f>2320</f>
        <v>2320.0</v>
      </c>
      <c r="U150" s="32" t="str">
        <f>"－"</f>
        <v>－</v>
      </c>
      <c r="V150" s="32" t="n">
        <f>3360590</f>
        <v>3360590.0</v>
      </c>
      <c r="W150" s="32" t="str">
        <f>"－"</f>
        <v>－</v>
      </c>
      <c r="X150" s="36" t="n">
        <f>11</f>
        <v>11.0</v>
      </c>
    </row>
    <row r="151">
      <c r="A151" s="27" t="s">
        <v>42</v>
      </c>
      <c r="B151" s="27" t="s">
        <v>504</v>
      </c>
      <c r="C151" s="27" t="s">
        <v>505</v>
      </c>
      <c r="D151" s="27" t="s">
        <v>506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361.9</f>
        <v>361.9</v>
      </c>
      <c r="L151" s="34" t="s">
        <v>48</v>
      </c>
      <c r="M151" s="33" t="n">
        <f>409.4</f>
        <v>409.4</v>
      </c>
      <c r="N151" s="34" t="s">
        <v>54</v>
      </c>
      <c r="O151" s="33" t="n">
        <f>345.8</f>
        <v>345.8</v>
      </c>
      <c r="P151" s="34" t="s">
        <v>66</v>
      </c>
      <c r="Q151" s="33" t="n">
        <f>404.2</f>
        <v>404.2</v>
      </c>
      <c r="R151" s="34" t="s">
        <v>49</v>
      </c>
      <c r="S151" s="35" t="n">
        <f>372.86</f>
        <v>372.86</v>
      </c>
      <c r="T151" s="32" t="n">
        <f>123519110</f>
        <v>1.2351911E8</v>
      </c>
      <c r="U151" s="32" t="n">
        <f>7066920</f>
        <v>7066920.0</v>
      </c>
      <c r="V151" s="32" t="n">
        <f>46638145501</f>
        <v>4.6638145501E10</v>
      </c>
      <c r="W151" s="32" t="n">
        <f>2562682361</f>
        <v>2.562682361E9</v>
      </c>
      <c r="X151" s="36" t="n">
        <f>22</f>
        <v>22.0</v>
      </c>
    </row>
    <row r="152">
      <c r="A152" s="27" t="s">
        <v>42</v>
      </c>
      <c r="B152" s="27" t="s">
        <v>507</v>
      </c>
      <c r="C152" s="27" t="s">
        <v>508</v>
      </c>
      <c r="D152" s="27" t="s">
        <v>509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2655</f>
        <v>2655.0</v>
      </c>
      <c r="L152" s="34" t="s">
        <v>48</v>
      </c>
      <c r="M152" s="33" t="n">
        <f>2714</f>
        <v>2714.0</v>
      </c>
      <c r="N152" s="34" t="s">
        <v>100</v>
      </c>
      <c r="O152" s="33" t="n">
        <f>2647</f>
        <v>2647.0</v>
      </c>
      <c r="P152" s="34" t="s">
        <v>48</v>
      </c>
      <c r="Q152" s="33" t="n">
        <f>2697</f>
        <v>2697.0</v>
      </c>
      <c r="R152" s="34" t="s">
        <v>49</v>
      </c>
      <c r="S152" s="35" t="n">
        <f>2672</f>
        <v>2672.0</v>
      </c>
      <c r="T152" s="32" t="n">
        <f>956942</f>
        <v>956942.0</v>
      </c>
      <c r="U152" s="32" t="n">
        <f>260000</f>
        <v>260000.0</v>
      </c>
      <c r="V152" s="32" t="n">
        <f>2559977326</f>
        <v>2.559977326E9</v>
      </c>
      <c r="W152" s="32" t="n">
        <f>695736678</f>
        <v>6.95736678E8</v>
      </c>
      <c r="X152" s="36" t="n">
        <f>22</f>
        <v>22.0</v>
      </c>
    </row>
    <row r="153">
      <c r="A153" s="27" t="s">
        <v>42</v>
      </c>
      <c r="B153" s="27" t="s">
        <v>510</v>
      </c>
      <c r="C153" s="27" t="s">
        <v>511</v>
      </c>
      <c r="D153" s="27" t="s">
        <v>512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3150</f>
        <v>3150.0</v>
      </c>
      <c r="L153" s="34" t="s">
        <v>48</v>
      </c>
      <c r="M153" s="33" t="n">
        <f>3540</f>
        <v>3540.0</v>
      </c>
      <c r="N153" s="34" t="s">
        <v>54</v>
      </c>
      <c r="O153" s="33" t="n">
        <f>2979</f>
        <v>2979.0</v>
      </c>
      <c r="P153" s="34" t="s">
        <v>66</v>
      </c>
      <c r="Q153" s="33" t="n">
        <f>3505</f>
        <v>3505.0</v>
      </c>
      <c r="R153" s="34" t="s">
        <v>49</v>
      </c>
      <c r="S153" s="35" t="n">
        <f>3232.36</f>
        <v>3232.36</v>
      </c>
      <c r="T153" s="32" t="n">
        <f>96363</f>
        <v>96363.0</v>
      </c>
      <c r="U153" s="32" t="n">
        <f>1642</f>
        <v>1642.0</v>
      </c>
      <c r="V153" s="32" t="n">
        <f>310633857</f>
        <v>3.10633857E8</v>
      </c>
      <c r="W153" s="32" t="n">
        <f>4926436</f>
        <v>4926436.0</v>
      </c>
      <c r="X153" s="36" t="n">
        <f>22</f>
        <v>22.0</v>
      </c>
    </row>
    <row r="154">
      <c r="A154" s="27" t="s">
        <v>42</v>
      </c>
      <c r="B154" s="27" t="s">
        <v>513</v>
      </c>
      <c r="C154" s="27" t="s">
        <v>514</v>
      </c>
      <c r="D154" s="27" t="s">
        <v>515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2218</f>
        <v>2218.0</v>
      </c>
      <c r="L154" s="34" t="s">
        <v>48</v>
      </c>
      <c r="M154" s="33" t="n">
        <f>2319</f>
        <v>2319.0</v>
      </c>
      <c r="N154" s="34" t="s">
        <v>49</v>
      </c>
      <c r="O154" s="33" t="n">
        <f>2007</f>
        <v>2007.0</v>
      </c>
      <c r="P154" s="34" t="s">
        <v>62</v>
      </c>
      <c r="Q154" s="33" t="n">
        <f>2288</f>
        <v>2288.0</v>
      </c>
      <c r="R154" s="34" t="s">
        <v>49</v>
      </c>
      <c r="S154" s="35" t="n">
        <f>2170</f>
        <v>2170.0</v>
      </c>
      <c r="T154" s="32" t="n">
        <f>269553</f>
        <v>269553.0</v>
      </c>
      <c r="U154" s="32" t="n">
        <f>2489</f>
        <v>2489.0</v>
      </c>
      <c r="V154" s="32" t="n">
        <f>575247757</f>
        <v>5.75247757E8</v>
      </c>
      <c r="W154" s="32" t="n">
        <f>4998123</f>
        <v>4998123.0</v>
      </c>
      <c r="X154" s="36" t="n">
        <f>22</f>
        <v>22.0</v>
      </c>
    </row>
    <row r="155">
      <c r="A155" s="27" t="s">
        <v>42</v>
      </c>
      <c r="B155" s="27" t="s">
        <v>516</v>
      </c>
      <c r="C155" s="27" t="s">
        <v>517</v>
      </c>
      <c r="D155" s="27" t="s">
        <v>518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2600</f>
        <v>2600.0</v>
      </c>
      <c r="L155" s="34" t="s">
        <v>48</v>
      </c>
      <c r="M155" s="33" t="n">
        <f>3010</f>
        <v>3010.0</v>
      </c>
      <c r="N155" s="34" t="s">
        <v>54</v>
      </c>
      <c r="O155" s="33" t="n">
        <f>2570</f>
        <v>2570.0</v>
      </c>
      <c r="P155" s="34" t="s">
        <v>61</v>
      </c>
      <c r="Q155" s="33" t="n">
        <f>2970</f>
        <v>2970.0</v>
      </c>
      <c r="R155" s="34" t="s">
        <v>49</v>
      </c>
      <c r="S155" s="35" t="n">
        <f>2739.95</f>
        <v>2739.95</v>
      </c>
      <c r="T155" s="32" t="n">
        <f>491706</f>
        <v>491706.0</v>
      </c>
      <c r="U155" s="32" t="n">
        <f>190058</f>
        <v>190058.0</v>
      </c>
      <c r="V155" s="32" t="n">
        <f>1355939780</f>
        <v>1.35593978E9</v>
      </c>
      <c r="W155" s="32" t="n">
        <f>526724863</f>
        <v>5.26724863E8</v>
      </c>
      <c r="X155" s="36" t="n">
        <f>22</f>
        <v>22.0</v>
      </c>
    </row>
    <row r="156">
      <c r="A156" s="27" t="s">
        <v>42</v>
      </c>
      <c r="B156" s="27" t="s">
        <v>519</v>
      </c>
      <c r="C156" s="27" t="s">
        <v>520</v>
      </c>
      <c r="D156" s="27" t="s">
        <v>521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10615</f>
        <v>10615.0</v>
      </c>
      <c r="L156" s="34" t="s">
        <v>48</v>
      </c>
      <c r="M156" s="33" t="n">
        <f>11590</f>
        <v>11590.0</v>
      </c>
      <c r="N156" s="34" t="s">
        <v>54</v>
      </c>
      <c r="O156" s="33" t="n">
        <f>10385</f>
        <v>10385.0</v>
      </c>
      <c r="P156" s="34" t="s">
        <v>50</v>
      </c>
      <c r="Q156" s="33" t="n">
        <f>11370</f>
        <v>11370.0</v>
      </c>
      <c r="R156" s="34" t="s">
        <v>49</v>
      </c>
      <c r="S156" s="35" t="n">
        <f>10827.95</f>
        <v>10827.95</v>
      </c>
      <c r="T156" s="32" t="n">
        <f>48656</f>
        <v>48656.0</v>
      </c>
      <c r="U156" s="32" t="n">
        <f>14803</f>
        <v>14803.0</v>
      </c>
      <c r="V156" s="32" t="n">
        <f>527136874</f>
        <v>5.27136874E8</v>
      </c>
      <c r="W156" s="32" t="n">
        <f>161440999</f>
        <v>1.61440999E8</v>
      </c>
      <c r="X156" s="36" t="n">
        <f>22</f>
        <v>22.0</v>
      </c>
    </row>
    <row r="157">
      <c r="A157" s="27" t="s">
        <v>42</v>
      </c>
      <c r="B157" s="27" t="s">
        <v>522</v>
      </c>
      <c r="C157" s="27" t="s">
        <v>523</v>
      </c>
      <c r="D157" s="27" t="s">
        <v>524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2244</f>
        <v>2244.0</v>
      </c>
      <c r="L157" s="34" t="s">
        <v>48</v>
      </c>
      <c r="M157" s="33" t="n">
        <f>2950</f>
        <v>2950.0</v>
      </c>
      <c r="N157" s="34" t="s">
        <v>50</v>
      </c>
      <c r="O157" s="33" t="n">
        <f>2240</f>
        <v>2240.0</v>
      </c>
      <c r="P157" s="34" t="s">
        <v>48</v>
      </c>
      <c r="Q157" s="33" t="n">
        <f>2618</f>
        <v>2618.0</v>
      </c>
      <c r="R157" s="34" t="s">
        <v>49</v>
      </c>
      <c r="S157" s="35" t="n">
        <f>2636.05</f>
        <v>2636.05</v>
      </c>
      <c r="T157" s="32" t="n">
        <f>53588743</f>
        <v>5.3588743E7</v>
      </c>
      <c r="U157" s="32" t="n">
        <f>1250</f>
        <v>1250.0</v>
      </c>
      <c r="V157" s="32" t="n">
        <f>142574104587</f>
        <v>1.42574104587E11</v>
      </c>
      <c r="W157" s="32" t="n">
        <f>3169461</f>
        <v>3169461.0</v>
      </c>
      <c r="X157" s="36" t="n">
        <f>22</f>
        <v>22.0</v>
      </c>
    </row>
    <row r="158">
      <c r="A158" s="27" t="s">
        <v>42</v>
      </c>
      <c r="B158" s="27" t="s">
        <v>525</v>
      </c>
      <c r="C158" s="27" t="s">
        <v>526</v>
      </c>
      <c r="D158" s="27" t="s">
        <v>527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20690</f>
        <v>20690.0</v>
      </c>
      <c r="L158" s="34" t="s">
        <v>48</v>
      </c>
      <c r="M158" s="33" t="n">
        <f>22600</f>
        <v>22600.0</v>
      </c>
      <c r="N158" s="34" t="s">
        <v>227</v>
      </c>
      <c r="O158" s="33" t="n">
        <f>20595</f>
        <v>20595.0</v>
      </c>
      <c r="P158" s="34" t="s">
        <v>48</v>
      </c>
      <c r="Q158" s="33" t="n">
        <f>22035</f>
        <v>22035.0</v>
      </c>
      <c r="R158" s="34" t="s">
        <v>49</v>
      </c>
      <c r="S158" s="35" t="n">
        <f>21748.86</f>
        <v>21748.86</v>
      </c>
      <c r="T158" s="32" t="n">
        <f>13140</f>
        <v>13140.0</v>
      </c>
      <c r="U158" s="32" t="n">
        <f>8</f>
        <v>8.0</v>
      </c>
      <c r="V158" s="32" t="n">
        <f>285778405</f>
        <v>2.85778405E8</v>
      </c>
      <c r="W158" s="32" t="n">
        <f>170590</f>
        <v>170590.0</v>
      </c>
      <c r="X158" s="36" t="n">
        <f>22</f>
        <v>22.0</v>
      </c>
    </row>
    <row r="159">
      <c r="A159" s="27" t="s">
        <v>42</v>
      </c>
      <c r="B159" s="27" t="s">
        <v>528</v>
      </c>
      <c r="C159" s="27" t="s">
        <v>529</v>
      </c>
      <c r="D159" s="27" t="s">
        <v>530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2599.5</f>
        <v>2599.5</v>
      </c>
      <c r="L159" s="34" t="s">
        <v>48</v>
      </c>
      <c r="M159" s="33" t="n">
        <f>2941.5</f>
        <v>2941.5</v>
      </c>
      <c r="N159" s="34" t="s">
        <v>50</v>
      </c>
      <c r="O159" s="33" t="n">
        <f>2592</f>
        <v>2592.0</v>
      </c>
      <c r="P159" s="34" t="s">
        <v>48</v>
      </c>
      <c r="Q159" s="33" t="n">
        <f>2791</f>
        <v>2791.0</v>
      </c>
      <c r="R159" s="34" t="s">
        <v>49</v>
      </c>
      <c r="S159" s="35" t="n">
        <f>2786.23</f>
        <v>2786.23</v>
      </c>
      <c r="T159" s="32" t="n">
        <f>95800</f>
        <v>95800.0</v>
      </c>
      <c r="U159" s="32" t="n">
        <f>40</f>
        <v>40.0</v>
      </c>
      <c r="V159" s="32" t="n">
        <f>269427875</f>
        <v>2.69427875E8</v>
      </c>
      <c r="W159" s="32" t="n">
        <f>108160</f>
        <v>108160.0</v>
      </c>
      <c r="X159" s="36" t="n">
        <f>22</f>
        <v>22.0</v>
      </c>
    </row>
    <row r="160">
      <c r="A160" s="27" t="s">
        <v>42</v>
      </c>
      <c r="B160" s="27" t="s">
        <v>531</v>
      </c>
      <c r="C160" s="27" t="s">
        <v>532</v>
      </c>
      <c r="D160" s="27" t="s">
        <v>533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11275</f>
        <v>11275.0</v>
      </c>
      <c r="L160" s="34" t="s">
        <v>48</v>
      </c>
      <c r="M160" s="33" t="n">
        <f>12800</f>
        <v>12800.0</v>
      </c>
      <c r="N160" s="34" t="s">
        <v>50</v>
      </c>
      <c r="O160" s="33" t="n">
        <f>10660</f>
        <v>10660.0</v>
      </c>
      <c r="P160" s="34" t="s">
        <v>62</v>
      </c>
      <c r="Q160" s="33" t="n">
        <f>11155</f>
        <v>11155.0</v>
      </c>
      <c r="R160" s="34" t="s">
        <v>49</v>
      </c>
      <c r="S160" s="35" t="n">
        <f>11575.23</f>
        <v>11575.23</v>
      </c>
      <c r="T160" s="32" t="n">
        <f>17700</f>
        <v>17700.0</v>
      </c>
      <c r="U160" s="32" t="str">
        <f>"－"</f>
        <v>－</v>
      </c>
      <c r="V160" s="32" t="n">
        <f>209864490</f>
        <v>2.0986449E8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534</v>
      </c>
      <c r="C161" s="27" t="s">
        <v>535</v>
      </c>
      <c r="D161" s="27" t="s">
        <v>536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26925</f>
        <v>26925.0</v>
      </c>
      <c r="L161" s="34" t="s">
        <v>48</v>
      </c>
      <c r="M161" s="33" t="n">
        <f>39800</f>
        <v>39800.0</v>
      </c>
      <c r="N161" s="34" t="s">
        <v>66</v>
      </c>
      <c r="O161" s="33" t="n">
        <f>24400</f>
        <v>24400.0</v>
      </c>
      <c r="P161" s="34" t="s">
        <v>54</v>
      </c>
      <c r="Q161" s="33" t="n">
        <f>25380</f>
        <v>25380.0</v>
      </c>
      <c r="R161" s="34" t="s">
        <v>49</v>
      </c>
      <c r="S161" s="35" t="n">
        <f>29151.14</f>
        <v>29151.14</v>
      </c>
      <c r="T161" s="32" t="n">
        <f>33753</f>
        <v>33753.0</v>
      </c>
      <c r="U161" s="32" t="n">
        <f>4</f>
        <v>4.0</v>
      </c>
      <c r="V161" s="32" t="n">
        <f>1043605810</f>
        <v>1.04360581E9</v>
      </c>
      <c r="W161" s="32" t="n">
        <f>113790</f>
        <v>113790.0</v>
      </c>
      <c r="X161" s="36" t="n">
        <f>22</f>
        <v>22.0</v>
      </c>
    </row>
    <row r="162">
      <c r="A162" s="27" t="s">
        <v>42</v>
      </c>
      <c r="B162" s="27" t="s">
        <v>537</v>
      </c>
      <c r="C162" s="27" t="s">
        <v>538</v>
      </c>
      <c r="D162" s="27" t="s">
        <v>539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17995</f>
        <v>17995.0</v>
      </c>
      <c r="L162" s="34" t="s">
        <v>61</v>
      </c>
      <c r="M162" s="33" t="n">
        <f>23020</f>
        <v>23020.0</v>
      </c>
      <c r="N162" s="34" t="s">
        <v>226</v>
      </c>
      <c r="O162" s="33" t="n">
        <f>17800</f>
        <v>17800.0</v>
      </c>
      <c r="P162" s="34" t="s">
        <v>95</v>
      </c>
      <c r="Q162" s="33" t="n">
        <f>18515</f>
        <v>18515.0</v>
      </c>
      <c r="R162" s="34" t="s">
        <v>49</v>
      </c>
      <c r="S162" s="35" t="n">
        <f>19544.05</f>
        <v>19544.05</v>
      </c>
      <c r="T162" s="32" t="n">
        <f>2736</f>
        <v>2736.0</v>
      </c>
      <c r="U162" s="32" t="str">
        <f>"－"</f>
        <v>－</v>
      </c>
      <c r="V162" s="32" t="n">
        <f>55043675</f>
        <v>5.5043675E7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540</v>
      </c>
      <c r="C163" s="27" t="s">
        <v>541</v>
      </c>
      <c r="D163" s="27" t="s">
        <v>542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50550</f>
        <v>50550.0</v>
      </c>
      <c r="L163" s="34" t="s">
        <v>48</v>
      </c>
      <c r="M163" s="33" t="n">
        <f>51700</f>
        <v>51700.0</v>
      </c>
      <c r="N163" s="34" t="s">
        <v>100</v>
      </c>
      <c r="O163" s="33" t="n">
        <f>49630</f>
        <v>49630.0</v>
      </c>
      <c r="P163" s="34" t="s">
        <v>143</v>
      </c>
      <c r="Q163" s="33" t="n">
        <f>51470</f>
        <v>51470.0</v>
      </c>
      <c r="R163" s="34" t="s">
        <v>49</v>
      </c>
      <c r="S163" s="35" t="n">
        <f>50524.55</f>
        <v>50524.55</v>
      </c>
      <c r="T163" s="32" t="n">
        <f>11580</f>
        <v>11580.0</v>
      </c>
      <c r="U163" s="32" t="n">
        <f>5520</f>
        <v>5520.0</v>
      </c>
      <c r="V163" s="32" t="n">
        <f>587637570</f>
        <v>5.8763757E8</v>
      </c>
      <c r="W163" s="32" t="n">
        <f>282114570</f>
        <v>2.8211457E8</v>
      </c>
      <c r="X163" s="36" t="n">
        <f>22</f>
        <v>22.0</v>
      </c>
    </row>
    <row r="164">
      <c r="A164" s="27" t="s">
        <v>42</v>
      </c>
      <c r="B164" s="27" t="s">
        <v>543</v>
      </c>
      <c r="C164" s="27" t="s">
        <v>544</v>
      </c>
      <c r="D164" s="27" t="s">
        <v>545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100.0</v>
      </c>
      <c r="K164" s="33" t="n">
        <f>225.9</f>
        <v>225.9</v>
      </c>
      <c r="L164" s="34" t="s">
        <v>48</v>
      </c>
      <c r="M164" s="33" t="n">
        <f>250.8</f>
        <v>250.8</v>
      </c>
      <c r="N164" s="34" t="s">
        <v>54</v>
      </c>
      <c r="O164" s="33" t="n">
        <f>202.8</f>
        <v>202.8</v>
      </c>
      <c r="P164" s="34" t="s">
        <v>66</v>
      </c>
      <c r="Q164" s="33" t="n">
        <f>249</f>
        <v>249.0</v>
      </c>
      <c r="R164" s="34" t="s">
        <v>49</v>
      </c>
      <c r="S164" s="35" t="n">
        <f>230.75</f>
        <v>230.75</v>
      </c>
      <c r="T164" s="32" t="n">
        <f>18396900</f>
        <v>1.83969E7</v>
      </c>
      <c r="U164" s="32" t="n">
        <f>100</f>
        <v>100.0</v>
      </c>
      <c r="V164" s="32" t="n">
        <f>4230957240</f>
        <v>4.23095724E9</v>
      </c>
      <c r="W164" s="32" t="n">
        <f>22240</f>
        <v>22240.0</v>
      </c>
      <c r="X164" s="36" t="n">
        <f>22</f>
        <v>22.0</v>
      </c>
    </row>
    <row r="165">
      <c r="A165" s="27" t="s">
        <v>42</v>
      </c>
      <c r="B165" s="27" t="s">
        <v>546</v>
      </c>
      <c r="C165" s="27" t="s">
        <v>547</v>
      </c>
      <c r="D165" s="27" t="s">
        <v>548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33650</f>
        <v>33650.0</v>
      </c>
      <c r="L165" s="34" t="s">
        <v>48</v>
      </c>
      <c r="M165" s="33" t="n">
        <f>37670</f>
        <v>37670.0</v>
      </c>
      <c r="N165" s="34" t="s">
        <v>100</v>
      </c>
      <c r="O165" s="33" t="n">
        <f>32510</f>
        <v>32510.0</v>
      </c>
      <c r="P165" s="34" t="s">
        <v>66</v>
      </c>
      <c r="Q165" s="33" t="n">
        <f>37080</f>
        <v>37080.0</v>
      </c>
      <c r="R165" s="34" t="s">
        <v>49</v>
      </c>
      <c r="S165" s="35" t="n">
        <f>34838.64</f>
        <v>34838.64</v>
      </c>
      <c r="T165" s="32" t="n">
        <f>14860</f>
        <v>14860.0</v>
      </c>
      <c r="U165" s="32" t="n">
        <f>90</f>
        <v>90.0</v>
      </c>
      <c r="V165" s="32" t="n">
        <f>518861600</f>
        <v>5.188616E8</v>
      </c>
      <c r="W165" s="32" t="n">
        <f>3199100</f>
        <v>3199100.0</v>
      </c>
      <c r="X165" s="36" t="n">
        <f>22</f>
        <v>22.0</v>
      </c>
    </row>
    <row r="166">
      <c r="A166" s="27" t="s">
        <v>42</v>
      </c>
      <c r="B166" s="27" t="s">
        <v>549</v>
      </c>
      <c r="C166" s="27" t="s">
        <v>550</v>
      </c>
      <c r="D166" s="27" t="s">
        <v>551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3602</f>
        <v>3602.0</v>
      </c>
      <c r="L166" s="34" t="s">
        <v>48</v>
      </c>
      <c r="M166" s="33" t="n">
        <f>4040</f>
        <v>4040.0</v>
      </c>
      <c r="N166" s="34" t="s">
        <v>54</v>
      </c>
      <c r="O166" s="33" t="n">
        <f>3395</f>
        <v>3395.0</v>
      </c>
      <c r="P166" s="34" t="s">
        <v>66</v>
      </c>
      <c r="Q166" s="33" t="n">
        <f>3998</f>
        <v>3998.0</v>
      </c>
      <c r="R166" s="34" t="s">
        <v>49</v>
      </c>
      <c r="S166" s="35" t="n">
        <f>3691.09</f>
        <v>3691.09</v>
      </c>
      <c r="T166" s="32" t="n">
        <f>421410</f>
        <v>421410.0</v>
      </c>
      <c r="U166" s="32" t="n">
        <f>157070</f>
        <v>157070.0</v>
      </c>
      <c r="V166" s="32" t="n">
        <f>1494186860</f>
        <v>1.49418686E9</v>
      </c>
      <c r="W166" s="32" t="n">
        <f>539859170</f>
        <v>5.3985917E8</v>
      </c>
      <c r="X166" s="36" t="n">
        <f>22</f>
        <v>22.0</v>
      </c>
    </row>
    <row r="167">
      <c r="A167" s="27" t="s">
        <v>42</v>
      </c>
      <c r="B167" s="27" t="s">
        <v>552</v>
      </c>
      <c r="C167" s="27" t="s">
        <v>553</v>
      </c>
      <c r="D167" s="27" t="s">
        <v>554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1676</f>
        <v>1676.0</v>
      </c>
      <c r="L167" s="34" t="s">
        <v>48</v>
      </c>
      <c r="M167" s="33" t="n">
        <f>1775</f>
        <v>1775.0</v>
      </c>
      <c r="N167" s="34" t="s">
        <v>54</v>
      </c>
      <c r="O167" s="33" t="n">
        <f>1528.5</f>
        <v>1528.5</v>
      </c>
      <c r="P167" s="34" t="s">
        <v>96</v>
      </c>
      <c r="Q167" s="33" t="n">
        <f>1763</f>
        <v>1763.0</v>
      </c>
      <c r="R167" s="34" t="s">
        <v>49</v>
      </c>
      <c r="S167" s="35" t="n">
        <f>1653.41</f>
        <v>1653.41</v>
      </c>
      <c r="T167" s="32" t="n">
        <f>299710</f>
        <v>299710.0</v>
      </c>
      <c r="U167" s="32" t="n">
        <f>30</f>
        <v>30.0</v>
      </c>
      <c r="V167" s="32" t="n">
        <f>504176420</f>
        <v>5.0417642E8</v>
      </c>
      <c r="W167" s="32" t="n">
        <f>50840</f>
        <v>50840.0</v>
      </c>
      <c r="X167" s="36" t="n">
        <f>22</f>
        <v>22.0</v>
      </c>
    </row>
    <row r="168">
      <c r="A168" s="27" t="s">
        <v>42</v>
      </c>
      <c r="B168" s="27" t="s">
        <v>555</v>
      </c>
      <c r="C168" s="27" t="s">
        <v>556</v>
      </c>
      <c r="D168" s="27" t="s">
        <v>557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100.0</v>
      </c>
      <c r="K168" s="33" t="n">
        <f>207.4</f>
        <v>207.4</v>
      </c>
      <c r="L168" s="34" t="s">
        <v>48</v>
      </c>
      <c r="M168" s="33" t="n">
        <f>234.9</f>
        <v>234.9</v>
      </c>
      <c r="N168" s="34" t="s">
        <v>50</v>
      </c>
      <c r="O168" s="33" t="n">
        <f>191.2</f>
        <v>191.2</v>
      </c>
      <c r="P168" s="34" t="s">
        <v>62</v>
      </c>
      <c r="Q168" s="33" t="n">
        <f>203.3</f>
        <v>203.3</v>
      </c>
      <c r="R168" s="34" t="s">
        <v>49</v>
      </c>
      <c r="S168" s="35" t="n">
        <f>209.98</f>
        <v>209.98</v>
      </c>
      <c r="T168" s="32" t="n">
        <f>940100</f>
        <v>940100.0</v>
      </c>
      <c r="U168" s="32" t="n">
        <f>600</f>
        <v>600.0</v>
      </c>
      <c r="V168" s="32" t="n">
        <f>201033430</f>
        <v>2.0103343E8</v>
      </c>
      <c r="W168" s="32" t="n">
        <f>122400</f>
        <v>122400.0</v>
      </c>
      <c r="X168" s="36" t="n">
        <f>22</f>
        <v>22.0</v>
      </c>
    </row>
    <row r="169">
      <c r="A169" s="27" t="s">
        <v>42</v>
      </c>
      <c r="B169" s="27" t="s">
        <v>558</v>
      </c>
      <c r="C169" s="27" t="s">
        <v>559</v>
      </c>
      <c r="D169" s="27" t="s">
        <v>560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1291</f>
        <v>1291.0</v>
      </c>
      <c r="L169" s="34" t="s">
        <v>48</v>
      </c>
      <c r="M169" s="33" t="n">
        <f>1630.5</f>
        <v>1630.5</v>
      </c>
      <c r="N169" s="34" t="s">
        <v>198</v>
      </c>
      <c r="O169" s="33" t="n">
        <f>1267.5</f>
        <v>1267.5</v>
      </c>
      <c r="P169" s="34" t="s">
        <v>48</v>
      </c>
      <c r="Q169" s="33" t="n">
        <f>1616.5</f>
        <v>1616.5</v>
      </c>
      <c r="R169" s="34" t="s">
        <v>49</v>
      </c>
      <c r="S169" s="35" t="n">
        <f>1506.82</f>
        <v>1506.82</v>
      </c>
      <c r="T169" s="32" t="n">
        <f>16560</f>
        <v>16560.0</v>
      </c>
      <c r="U169" s="32" t="str">
        <f>"－"</f>
        <v>－</v>
      </c>
      <c r="V169" s="32" t="n">
        <f>25113730</f>
        <v>2.511373E7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561</v>
      </c>
      <c r="C170" s="27" t="s">
        <v>562</v>
      </c>
      <c r="D170" s="27" t="s">
        <v>563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489.1</f>
        <v>489.1</v>
      </c>
      <c r="L170" s="34" t="s">
        <v>48</v>
      </c>
      <c r="M170" s="33" t="n">
        <f>633.8</f>
        <v>633.8</v>
      </c>
      <c r="N170" s="34" t="s">
        <v>78</v>
      </c>
      <c r="O170" s="33" t="n">
        <f>482.3</f>
        <v>482.3</v>
      </c>
      <c r="P170" s="34" t="s">
        <v>48</v>
      </c>
      <c r="Q170" s="33" t="n">
        <f>584.5</f>
        <v>584.5</v>
      </c>
      <c r="R170" s="34" t="s">
        <v>49</v>
      </c>
      <c r="S170" s="35" t="n">
        <f>568.88</f>
        <v>568.88</v>
      </c>
      <c r="T170" s="32" t="n">
        <f>486720</f>
        <v>486720.0</v>
      </c>
      <c r="U170" s="32" t="n">
        <f>80</f>
        <v>80.0</v>
      </c>
      <c r="V170" s="32" t="n">
        <f>279885073</f>
        <v>2.79885073E8</v>
      </c>
      <c r="W170" s="32" t="n">
        <f>44360</f>
        <v>44360.0</v>
      </c>
      <c r="X170" s="36" t="n">
        <f>22</f>
        <v>22.0</v>
      </c>
    </row>
    <row r="171">
      <c r="A171" s="27" t="s">
        <v>42</v>
      </c>
      <c r="B171" s="27" t="s">
        <v>564</v>
      </c>
      <c r="C171" s="27" t="s">
        <v>565</v>
      </c>
      <c r="D171" s="27" t="s">
        <v>566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2161</f>
        <v>2161.0</v>
      </c>
      <c r="L171" s="34" t="s">
        <v>48</v>
      </c>
      <c r="M171" s="33" t="n">
        <f>3143</f>
        <v>3143.0</v>
      </c>
      <c r="N171" s="34" t="s">
        <v>296</v>
      </c>
      <c r="O171" s="33" t="n">
        <f>2131.5</f>
        <v>2131.5</v>
      </c>
      <c r="P171" s="34" t="s">
        <v>48</v>
      </c>
      <c r="Q171" s="33" t="n">
        <f>2551.5</f>
        <v>2551.5</v>
      </c>
      <c r="R171" s="34" t="s">
        <v>49</v>
      </c>
      <c r="S171" s="35" t="n">
        <f>2536</f>
        <v>2536.0</v>
      </c>
      <c r="T171" s="32" t="n">
        <f>79430</f>
        <v>79430.0</v>
      </c>
      <c r="U171" s="32" t="str">
        <f>"－"</f>
        <v>－</v>
      </c>
      <c r="V171" s="32" t="n">
        <f>214054310</f>
        <v>2.1405431E8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567</v>
      </c>
      <c r="C172" s="27" t="s">
        <v>568</v>
      </c>
      <c r="D172" s="27" t="s">
        <v>569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780</f>
        <v>780.0</v>
      </c>
      <c r="L172" s="34" t="s">
        <v>48</v>
      </c>
      <c r="M172" s="33" t="n">
        <f>908.9</f>
        <v>908.9</v>
      </c>
      <c r="N172" s="34" t="s">
        <v>227</v>
      </c>
      <c r="O172" s="33" t="n">
        <f>774.9</f>
        <v>774.9</v>
      </c>
      <c r="P172" s="34" t="s">
        <v>48</v>
      </c>
      <c r="Q172" s="33" t="n">
        <f>862.9</f>
        <v>862.9</v>
      </c>
      <c r="R172" s="34" t="s">
        <v>49</v>
      </c>
      <c r="S172" s="35" t="n">
        <f>856.85</f>
        <v>856.85</v>
      </c>
      <c r="T172" s="32" t="n">
        <f>364690</f>
        <v>364690.0</v>
      </c>
      <c r="U172" s="32" t="str">
        <f>"－"</f>
        <v>－</v>
      </c>
      <c r="V172" s="32" t="n">
        <f>310883897</f>
        <v>3.10883897E8</v>
      </c>
      <c r="W172" s="32" t="str">
        <f>"－"</f>
        <v>－</v>
      </c>
      <c r="X172" s="36" t="n">
        <f>22</f>
        <v>22.0</v>
      </c>
    </row>
    <row r="173">
      <c r="A173" s="27" t="s">
        <v>42</v>
      </c>
      <c r="B173" s="27" t="s">
        <v>570</v>
      </c>
      <c r="C173" s="27" t="s">
        <v>571</v>
      </c>
      <c r="D173" s="27" t="s">
        <v>572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581.3</f>
        <v>581.3</v>
      </c>
      <c r="L173" s="34" t="s">
        <v>48</v>
      </c>
      <c r="M173" s="33" t="n">
        <f>728</f>
        <v>728.0</v>
      </c>
      <c r="N173" s="34" t="s">
        <v>71</v>
      </c>
      <c r="O173" s="33" t="n">
        <f>572.9</f>
        <v>572.9</v>
      </c>
      <c r="P173" s="34" t="s">
        <v>48</v>
      </c>
      <c r="Q173" s="33" t="n">
        <f>644.3</f>
        <v>644.3</v>
      </c>
      <c r="R173" s="34" t="s">
        <v>49</v>
      </c>
      <c r="S173" s="35" t="n">
        <f>650.07</f>
        <v>650.07</v>
      </c>
      <c r="T173" s="32" t="n">
        <f>2609450</f>
        <v>2609450.0</v>
      </c>
      <c r="U173" s="32" t="str">
        <f>"－"</f>
        <v>－</v>
      </c>
      <c r="V173" s="32" t="n">
        <f>1722323791</f>
        <v>1.722323791E9</v>
      </c>
      <c r="W173" s="32" t="str">
        <f>"－"</f>
        <v>－</v>
      </c>
      <c r="X173" s="36" t="n">
        <f>22</f>
        <v>22.0</v>
      </c>
    </row>
    <row r="174">
      <c r="A174" s="27" t="s">
        <v>42</v>
      </c>
      <c r="B174" s="27" t="s">
        <v>573</v>
      </c>
      <c r="C174" s="27" t="s">
        <v>574</v>
      </c>
      <c r="D174" s="27" t="s">
        <v>575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2.2</f>
        <v>2.2</v>
      </c>
      <c r="L174" s="34" t="s">
        <v>48</v>
      </c>
      <c r="M174" s="33" t="n">
        <f>3</f>
        <v>3.0</v>
      </c>
      <c r="N174" s="34" t="s">
        <v>227</v>
      </c>
      <c r="O174" s="33" t="n">
        <f>2.1</f>
        <v>2.1</v>
      </c>
      <c r="P174" s="34" t="s">
        <v>48</v>
      </c>
      <c r="Q174" s="33" t="n">
        <f>2.8</f>
        <v>2.8</v>
      </c>
      <c r="R174" s="34" t="s">
        <v>49</v>
      </c>
      <c r="S174" s="35" t="n">
        <f>2.46</f>
        <v>2.46</v>
      </c>
      <c r="T174" s="32" t="n">
        <f>596984100</f>
        <v>5.969841E8</v>
      </c>
      <c r="U174" s="32" t="n">
        <f>1903900</f>
        <v>1903900.0</v>
      </c>
      <c r="V174" s="32" t="n">
        <f>1486089020</f>
        <v>1.48608902E9</v>
      </c>
      <c r="W174" s="32" t="n">
        <f>4959850</f>
        <v>4959850.0</v>
      </c>
      <c r="X174" s="36" t="n">
        <f>22</f>
        <v>22.0</v>
      </c>
    </row>
    <row r="175">
      <c r="A175" s="27" t="s">
        <v>42</v>
      </c>
      <c r="B175" s="27" t="s">
        <v>576</v>
      </c>
      <c r="C175" s="27" t="s">
        <v>577</v>
      </c>
      <c r="D175" s="27" t="s">
        <v>578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1038.5</f>
        <v>1038.5</v>
      </c>
      <c r="L175" s="34" t="s">
        <v>48</v>
      </c>
      <c r="M175" s="33" t="n">
        <f>1355</f>
        <v>1355.0</v>
      </c>
      <c r="N175" s="34" t="s">
        <v>198</v>
      </c>
      <c r="O175" s="33" t="n">
        <f>1029.5</f>
        <v>1029.5</v>
      </c>
      <c r="P175" s="34" t="s">
        <v>48</v>
      </c>
      <c r="Q175" s="33" t="n">
        <f>1220</f>
        <v>1220.0</v>
      </c>
      <c r="R175" s="34" t="s">
        <v>49</v>
      </c>
      <c r="S175" s="35" t="n">
        <f>1213.95</f>
        <v>1213.95</v>
      </c>
      <c r="T175" s="32" t="n">
        <f>1674960</f>
        <v>1674960.0</v>
      </c>
      <c r="U175" s="32" t="str">
        <f>"－"</f>
        <v>－</v>
      </c>
      <c r="V175" s="32" t="n">
        <f>2053281615</f>
        <v>2.053281615E9</v>
      </c>
      <c r="W175" s="32" t="str">
        <f>"－"</f>
        <v>－</v>
      </c>
      <c r="X175" s="36" t="n">
        <f>22</f>
        <v>22.0</v>
      </c>
    </row>
    <row r="176">
      <c r="A176" s="27" t="s">
        <v>42</v>
      </c>
      <c r="B176" s="27" t="s">
        <v>579</v>
      </c>
      <c r="C176" s="27" t="s">
        <v>580</v>
      </c>
      <c r="D176" s="27" t="s">
        <v>581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4880</f>
        <v>4880.0</v>
      </c>
      <c r="L176" s="34" t="s">
        <v>48</v>
      </c>
      <c r="M176" s="33" t="n">
        <f>6150</f>
        <v>6150.0</v>
      </c>
      <c r="N176" s="34" t="s">
        <v>71</v>
      </c>
      <c r="O176" s="33" t="n">
        <f>4700</f>
        <v>4700.0</v>
      </c>
      <c r="P176" s="34" t="s">
        <v>62</v>
      </c>
      <c r="Q176" s="33" t="n">
        <f>5300</f>
        <v>5300.0</v>
      </c>
      <c r="R176" s="34" t="s">
        <v>49</v>
      </c>
      <c r="S176" s="35" t="n">
        <f>5379.55</f>
        <v>5379.55</v>
      </c>
      <c r="T176" s="32" t="n">
        <f>20171</f>
        <v>20171.0</v>
      </c>
      <c r="U176" s="32" t="str">
        <f>"－"</f>
        <v>－</v>
      </c>
      <c r="V176" s="32" t="n">
        <f>111485615</f>
        <v>1.11485615E8</v>
      </c>
      <c r="W176" s="32" t="str">
        <f>"－"</f>
        <v>－</v>
      </c>
      <c r="X176" s="36" t="n">
        <f>22</f>
        <v>22.0</v>
      </c>
    </row>
    <row r="177">
      <c r="A177" s="27" t="s">
        <v>42</v>
      </c>
      <c r="B177" s="27" t="s">
        <v>582</v>
      </c>
      <c r="C177" s="27" t="s">
        <v>583</v>
      </c>
      <c r="D177" s="27" t="s">
        <v>584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557.8</f>
        <v>557.8</v>
      </c>
      <c r="L177" s="34" t="s">
        <v>48</v>
      </c>
      <c r="M177" s="33" t="n">
        <f>875</f>
        <v>875.0</v>
      </c>
      <c r="N177" s="34" t="s">
        <v>71</v>
      </c>
      <c r="O177" s="33" t="n">
        <f>535.2</f>
        <v>535.2</v>
      </c>
      <c r="P177" s="34" t="s">
        <v>364</v>
      </c>
      <c r="Q177" s="33" t="n">
        <f>603.7</f>
        <v>603.7</v>
      </c>
      <c r="R177" s="34" t="s">
        <v>49</v>
      </c>
      <c r="S177" s="35" t="n">
        <f>610.45</f>
        <v>610.45</v>
      </c>
      <c r="T177" s="32" t="n">
        <f>1309000</f>
        <v>1309000.0</v>
      </c>
      <c r="U177" s="32" t="str">
        <f>"－"</f>
        <v>－</v>
      </c>
      <c r="V177" s="32" t="n">
        <f>810505710</f>
        <v>8.1050571E8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585</v>
      </c>
      <c r="C178" s="27" t="s">
        <v>586</v>
      </c>
      <c r="D178" s="27" t="s">
        <v>587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4599</f>
        <v>4599.0</v>
      </c>
      <c r="L178" s="34" t="s">
        <v>48</v>
      </c>
      <c r="M178" s="33" t="n">
        <f>5201</f>
        <v>5201.0</v>
      </c>
      <c r="N178" s="34" t="s">
        <v>71</v>
      </c>
      <c r="O178" s="33" t="n">
        <f>4558</f>
        <v>4558.0</v>
      </c>
      <c r="P178" s="34" t="s">
        <v>48</v>
      </c>
      <c r="Q178" s="33" t="n">
        <f>5089</f>
        <v>5089.0</v>
      </c>
      <c r="R178" s="34" t="s">
        <v>49</v>
      </c>
      <c r="S178" s="35" t="n">
        <f>4934.18</f>
        <v>4934.18</v>
      </c>
      <c r="T178" s="32" t="n">
        <f>68210</f>
        <v>68210.0</v>
      </c>
      <c r="U178" s="32" t="str">
        <f>"－"</f>
        <v>－</v>
      </c>
      <c r="V178" s="32" t="n">
        <f>338089990</f>
        <v>3.3808999E8</v>
      </c>
      <c r="W178" s="32" t="str">
        <f>"－"</f>
        <v>－</v>
      </c>
      <c r="X178" s="36" t="n">
        <f>22</f>
        <v>22.0</v>
      </c>
    </row>
    <row r="179">
      <c r="A179" s="27" t="s">
        <v>42</v>
      </c>
      <c r="B179" s="27" t="s">
        <v>588</v>
      </c>
      <c r="C179" s="27" t="s">
        <v>589</v>
      </c>
      <c r="D179" s="27" t="s">
        <v>590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2699.5</f>
        <v>2699.5</v>
      </c>
      <c r="L179" s="34" t="s">
        <v>48</v>
      </c>
      <c r="M179" s="33" t="n">
        <f>6152</f>
        <v>6152.0</v>
      </c>
      <c r="N179" s="34" t="s">
        <v>66</v>
      </c>
      <c r="O179" s="33" t="n">
        <f>2648</f>
        <v>2648.0</v>
      </c>
      <c r="P179" s="34" t="s">
        <v>48</v>
      </c>
      <c r="Q179" s="33" t="n">
        <f>3710</f>
        <v>3710.0</v>
      </c>
      <c r="R179" s="34" t="s">
        <v>49</v>
      </c>
      <c r="S179" s="35" t="n">
        <f>3694.11</f>
        <v>3694.11</v>
      </c>
      <c r="T179" s="32" t="n">
        <f>486220</f>
        <v>486220.0</v>
      </c>
      <c r="U179" s="32" t="n">
        <f>80</f>
        <v>80.0</v>
      </c>
      <c r="V179" s="32" t="n">
        <f>1933482005</f>
        <v>1.933482005E9</v>
      </c>
      <c r="W179" s="32" t="n">
        <f>233155</f>
        <v>233155.0</v>
      </c>
      <c r="X179" s="36" t="n">
        <f>22</f>
        <v>22.0</v>
      </c>
    </row>
    <row r="180">
      <c r="A180" s="27" t="s">
        <v>42</v>
      </c>
      <c r="B180" s="27" t="s">
        <v>591</v>
      </c>
      <c r="C180" s="27" t="s">
        <v>592</v>
      </c>
      <c r="D180" s="27" t="s">
        <v>593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111.6</f>
        <v>111.6</v>
      </c>
      <c r="L180" s="34" t="s">
        <v>48</v>
      </c>
      <c r="M180" s="33" t="n">
        <f>205</f>
        <v>205.0</v>
      </c>
      <c r="N180" s="34" t="s">
        <v>71</v>
      </c>
      <c r="O180" s="33" t="n">
        <f>111.4</f>
        <v>111.4</v>
      </c>
      <c r="P180" s="34" t="s">
        <v>48</v>
      </c>
      <c r="Q180" s="33" t="n">
        <f>132.8</f>
        <v>132.8</v>
      </c>
      <c r="R180" s="34" t="s">
        <v>49</v>
      </c>
      <c r="S180" s="35" t="n">
        <f>140.78</f>
        <v>140.78</v>
      </c>
      <c r="T180" s="32" t="n">
        <f>76913500</f>
        <v>7.69135E7</v>
      </c>
      <c r="U180" s="32" t="str">
        <f>"－"</f>
        <v>－</v>
      </c>
      <c r="V180" s="32" t="n">
        <f>11719535990</f>
        <v>1.171953599E10</v>
      </c>
      <c r="W180" s="32" t="str">
        <f>"－"</f>
        <v>－</v>
      </c>
      <c r="X180" s="36" t="n">
        <f>22</f>
        <v>22.0</v>
      </c>
    </row>
    <row r="181">
      <c r="A181" s="27" t="s">
        <v>42</v>
      </c>
      <c r="B181" s="27" t="s">
        <v>594</v>
      </c>
      <c r="C181" s="27" t="s">
        <v>595</v>
      </c>
      <c r="D181" s="27" t="s">
        <v>596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100.0</v>
      </c>
      <c r="K181" s="33" t="n">
        <f>150</f>
        <v>150.0</v>
      </c>
      <c r="L181" s="34" t="s">
        <v>48</v>
      </c>
      <c r="M181" s="33" t="n">
        <f>192.2</f>
        <v>192.2</v>
      </c>
      <c r="N181" s="34" t="s">
        <v>71</v>
      </c>
      <c r="O181" s="33" t="n">
        <f>148</f>
        <v>148.0</v>
      </c>
      <c r="P181" s="34" t="s">
        <v>48</v>
      </c>
      <c r="Q181" s="33" t="n">
        <f>169.3</f>
        <v>169.3</v>
      </c>
      <c r="R181" s="34" t="s">
        <v>49</v>
      </c>
      <c r="S181" s="35" t="n">
        <f>165.7</f>
        <v>165.7</v>
      </c>
      <c r="T181" s="32" t="n">
        <f>8040400</f>
        <v>8040400.0</v>
      </c>
      <c r="U181" s="32" t="str">
        <f>"－"</f>
        <v>－</v>
      </c>
      <c r="V181" s="32" t="n">
        <f>1338146980</f>
        <v>1.33814698E9</v>
      </c>
      <c r="W181" s="32" t="str">
        <f>"－"</f>
        <v>－</v>
      </c>
      <c r="X181" s="36" t="n">
        <f>22</f>
        <v>22.0</v>
      </c>
    </row>
    <row r="182">
      <c r="A182" s="27" t="s">
        <v>42</v>
      </c>
      <c r="B182" s="27" t="s">
        <v>597</v>
      </c>
      <c r="C182" s="27" t="s">
        <v>598</v>
      </c>
      <c r="D182" s="27" t="s">
        <v>599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3405</f>
        <v>3405.0</v>
      </c>
      <c r="L182" s="34" t="s">
        <v>48</v>
      </c>
      <c r="M182" s="33" t="n">
        <f>3804</f>
        <v>3804.0</v>
      </c>
      <c r="N182" s="34" t="s">
        <v>227</v>
      </c>
      <c r="O182" s="33" t="n">
        <f>3404</f>
        <v>3404.0</v>
      </c>
      <c r="P182" s="34" t="s">
        <v>48</v>
      </c>
      <c r="Q182" s="33" t="n">
        <f>3692</f>
        <v>3692.0</v>
      </c>
      <c r="R182" s="34" t="s">
        <v>49</v>
      </c>
      <c r="S182" s="35" t="n">
        <f>3625.82</f>
        <v>3625.82</v>
      </c>
      <c r="T182" s="32" t="n">
        <f>115060</f>
        <v>115060.0</v>
      </c>
      <c r="U182" s="32" t="str">
        <f>"－"</f>
        <v>－</v>
      </c>
      <c r="V182" s="32" t="n">
        <f>413372840</f>
        <v>4.1337284E8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600</v>
      </c>
      <c r="C183" s="27" t="s">
        <v>601</v>
      </c>
      <c r="D183" s="27" t="s">
        <v>602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1878.5</f>
        <v>1878.5</v>
      </c>
      <c r="L183" s="34" t="s">
        <v>48</v>
      </c>
      <c r="M183" s="33" t="n">
        <f>1989</f>
        <v>1989.0</v>
      </c>
      <c r="N183" s="34" t="s">
        <v>54</v>
      </c>
      <c r="O183" s="33" t="n">
        <f>1751</f>
        <v>1751.0</v>
      </c>
      <c r="P183" s="34" t="s">
        <v>66</v>
      </c>
      <c r="Q183" s="33" t="n">
        <f>1962.5</f>
        <v>1962.5</v>
      </c>
      <c r="R183" s="34" t="s">
        <v>49</v>
      </c>
      <c r="S183" s="35" t="n">
        <f>1881.09</f>
        <v>1881.09</v>
      </c>
      <c r="T183" s="32" t="n">
        <f>201460</f>
        <v>201460.0</v>
      </c>
      <c r="U183" s="32" t="str">
        <f>"－"</f>
        <v>－</v>
      </c>
      <c r="V183" s="32" t="n">
        <f>372594965</f>
        <v>3.72594965E8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603</v>
      </c>
      <c r="C184" s="27" t="s">
        <v>604</v>
      </c>
      <c r="D184" s="27" t="s">
        <v>605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274.7</f>
        <v>274.7</v>
      </c>
      <c r="L184" s="34" t="s">
        <v>48</v>
      </c>
      <c r="M184" s="33" t="n">
        <f>357</f>
        <v>357.0</v>
      </c>
      <c r="N184" s="34" t="s">
        <v>198</v>
      </c>
      <c r="O184" s="33" t="n">
        <f>274.2</f>
        <v>274.2</v>
      </c>
      <c r="P184" s="34" t="s">
        <v>48</v>
      </c>
      <c r="Q184" s="33" t="n">
        <f>324.5</f>
        <v>324.5</v>
      </c>
      <c r="R184" s="34" t="s">
        <v>49</v>
      </c>
      <c r="S184" s="35" t="n">
        <f>319.89</f>
        <v>319.89</v>
      </c>
      <c r="T184" s="32" t="n">
        <f>157101520</f>
        <v>1.5710152E8</v>
      </c>
      <c r="U184" s="32" t="n">
        <f>98730</f>
        <v>98730.0</v>
      </c>
      <c r="V184" s="32" t="n">
        <f>50273120575</f>
        <v>5.0273120575E10</v>
      </c>
      <c r="W184" s="32" t="n">
        <f>30453668</f>
        <v>3.0453668E7</v>
      </c>
      <c r="X184" s="36" t="n">
        <f>22</f>
        <v>22.0</v>
      </c>
    </row>
    <row r="185">
      <c r="A185" s="27" t="s">
        <v>42</v>
      </c>
      <c r="B185" s="27" t="s">
        <v>606</v>
      </c>
      <c r="C185" s="27" t="s">
        <v>607</v>
      </c>
      <c r="D185" s="27" t="s">
        <v>608</v>
      </c>
      <c r="E185" s="28" t="s">
        <v>46</v>
      </c>
      <c r="F185" s="29" t="s">
        <v>46</v>
      </c>
      <c r="G185" s="30" t="s">
        <v>46</v>
      </c>
      <c r="H185" s="31"/>
      <c r="I185" s="31" t="s">
        <v>609</v>
      </c>
      <c r="J185" s="32" t="n">
        <v>1.0</v>
      </c>
      <c r="K185" s="33" t="n">
        <f>7541</f>
        <v>7541.0</v>
      </c>
      <c r="L185" s="34" t="s">
        <v>48</v>
      </c>
      <c r="M185" s="33" t="n">
        <f>7613</f>
        <v>7613.0</v>
      </c>
      <c r="N185" s="34" t="s">
        <v>48</v>
      </c>
      <c r="O185" s="33" t="n">
        <f>5100</f>
        <v>5100.0</v>
      </c>
      <c r="P185" s="34" t="s">
        <v>96</v>
      </c>
      <c r="Q185" s="33" t="n">
        <f>7180</f>
        <v>7180.0</v>
      </c>
      <c r="R185" s="34" t="s">
        <v>49</v>
      </c>
      <c r="S185" s="35" t="n">
        <f>6705.95</f>
        <v>6705.95</v>
      </c>
      <c r="T185" s="32" t="n">
        <f>79616</f>
        <v>79616.0</v>
      </c>
      <c r="U185" s="32" t="n">
        <f>8</f>
        <v>8.0</v>
      </c>
      <c r="V185" s="32" t="n">
        <f>517205869</f>
        <v>5.17205869E8</v>
      </c>
      <c r="W185" s="32" t="n">
        <f>53270</f>
        <v>53270.0</v>
      </c>
      <c r="X185" s="36" t="n">
        <f>22</f>
        <v>22.0</v>
      </c>
    </row>
    <row r="186">
      <c r="A186" s="27" t="s">
        <v>42</v>
      </c>
      <c r="B186" s="27" t="s">
        <v>610</v>
      </c>
      <c r="C186" s="27" t="s">
        <v>611</v>
      </c>
      <c r="D186" s="27" t="s">
        <v>612</v>
      </c>
      <c r="E186" s="28" t="s">
        <v>46</v>
      </c>
      <c r="F186" s="29" t="s">
        <v>46</v>
      </c>
      <c r="G186" s="30" t="s">
        <v>46</v>
      </c>
      <c r="H186" s="31"/>
      <c r="I186" s="31" t="s">
        <v>609</v>
      </c>
      <c r="J186" s="32" t="n">
        <v>1.0</v>
      </c>
      <c r="K186" s="33" t="n">
        <f>6478</f>
        <v>6478.0</v>
      </c>
      <c r="L186" s="34" t="s">
        <v>48</v>
      </c>
      <c r="M186" s="33" t="n">
        <f>8211</f>
        <v>8211.0</v>
      </c>
      <c r="N186" s="34" t="s">
        <v>96</v>
      </c>
      <c r="O186" s="33" t="n">
        <f>6473</f>
        <v>6473.0</v>
      </c>
      <c r="P186" s="34" t="s">
        <v>61</v>
      </c>
      <c r="Q186" s="33" t="n">
        <f>6881</f>
        <v>6881.0</v>
      </c>
      <c r="R186" s="34" t="s">
        <v>49</v>
      </c>
      <c r="S186" s="35" t="n">
        <f>7053.64</f>
        <v>7053.64</v>
      </c>
      <c r="T186" s="32" t="n">
        <f>17753</f>
        <v>17753.0</v>
      </c>
      <c r="U186" s="32" t="str">
        <f>"－"</f>
        <v>－</v>
      </c>
      <c r="V186" s="32" t="n">
        <f>125619234</f>
        <v>1.25619234E8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613</v>
      </c>
      <c r="C187" s="27" t="s">
        <v>614</v>
      </c>
      <c r="D187" s="27" t="s">
        <v>615</v>
      </c>
      <c r="E187" s="28" t="s">
        <v>46</v>
      </c>
      <c r="F187" s="29" t="s">
        <v>46</v>
      </c>
      <c r="G187" s="30" t="s">
        <v>46</v>
      </c>
      <c r="H187" s="31"/>
      <c r="I187" s="31" t="s">
        <v>609</v>
      </c>
      <c r="J187" s="32" t="n">
        <v>1.0</v>
      </c>
      <c r="K187" s="33" t="n">
        <f>13600</f>
        <v>13600.0</v>
      </c>
      <c r="L187" s="34" t="s">
        <v>48</v>
      </c>
      <c r="M187" s="33" t="n">
        <f>14740</f>
        <v>14740.0</v>
      </c>
      <c r="N187" s="34" t="s">
        <v>54</v>
      </c>
      <c r="O187" s="33" t="n">
        <f>12135</f>
        <v>12135.0</v>
      </c>
      <c r="P187" s="34" t="s">
        <v>50</v>
      </c>
      <c r="Q187" s="33" t="n">
        <f>14420</f>
        <v>14420.0</v>
      </c>
      <c r="R187" s="34" t="s">
        <v>49</v>
      </c>
      <c r="S187" s="35" t="n">
        <f>13470</f>
        <v>13470.0</v>
      </c>
      <c r="T187" s="32" t="n">
        <f>1583</f>
        <v>1583.0</v>
      </c>
      <c r="U187" s="32" t="str">
        <f>"－"</f>
        <v>－</v>
      </c>
      <c r="V187" s="32" t="n">
        <f>20802295</f>
        <v>2.0802295E7</v>
      </c>
      <c r="W187" s="32" t="str">
        <f>"－"</f>
        <v>－</v>
      </c>
      <c r="X187" s="36" t="n">
        <f>19</f>
        <v>19.0</v>
      </c>
    </row>
    <row r="188">
      <c r="A188" s="27" t="s">
        <v>42</v>
      </c>
      <c r="B188" s="27" t="s">
        <v>616</v>
      </c>
      <c r="C188" s="27" t="s">
        <v>617</v>
      </c>
      <c r="D188" s="27" t="s">
        <v>618</v>
      </c>
      <c r="E188" s="28" t="s">
        <v>46</v>
      </c>
      <c r="F188" s="29" t="s">
        <v>46</v>
      </c>
      <c r="G188" s="30" t="s">
        <v>46</v>
      </c>
      <c r="H188" s="31"/>
      <c r="I188" s="31" t="s">
        <v>609</v>
      </c>
      <c r="J188" s="32" t="n">
        <v>1.0</v>
      </c>
      <c r="K188" s="33" t="n">
        <f>6669</f>
        <v>6669.0</v>
      </c>
      <c r="L188" s="34" t="s">
        <v>48</v>
      </c>
      <c r="M188" s="33" t="n">
        <f>6990</f>
        <v>6990.0</v>
      </c>
      <c r="N188" s="34" t="s">
        <v>100</v>
      </c>
      <c r="O188" s="33" t="n">
        <f>6580</f>
        <v>6580.0</v>
      </c>
      <c r="P188" s="34" t="s">
        <v>48</v>
      </c>
      <c r="Q188" s="33" t="n">
        <f>6896</f>
        <v>6896.0</v>
      </c>
      <c r="R188" s="34" t="s">
        <v>49</v>
      </c>
      <c r="S188" s="35" t="n">
        <f>6726.95</f>
        <v>6726.95</v>
      </c>
      <c r="T188" s="32" t="n">
        <f>23030</f>
        <v>23030.0</v>
      </c>
      <c r="U188" s="32" t="str">
        <f>"－"</f>
        <v>－</v>
      </c>
      <c r="V188" s="32" t="n">
        <f>154645422</f>
        <v>1.54645422E8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619</v>
      </c>
      <c r="C189" s="27" t="s">
        <v>620</v>
      </c>
      <c r="D189" s="27" t="s">
        <v>621</v>
      </c>
      <c r="E189" s="28" t="s">
        <v>234</v>
      </c>
      <c r="F189" s="29" t="s">
        <v>235</v>
      </c>
      <c r="G189" s="30" t="s">
        <v>622</v>
      </c>
      <c r="H189" s="31" t="s">
        <v>237</v>
      </c>
      <c r="I189" s="31"/>
      <c r="J189" s="32" t="n">
        <v>1.0</v>
      </c>
      <c r="K189" s="33" t="n">
        <f>103</f>
        <v>103.0</v>
      </c>
      <c r="L189" s="34" t="s">
        <v>48</v>
      </c>
      <c r="M189" s="33" t="n">
        <f>124</f>
        <v>124.0</v>
      </c>
      <c r="N189" s="34" t="s">
        <v>66</v>
      </c>
      <c r="O189" s="33" t="n">
        <f>101</f>
        <v>101.0</v>
      </c>
      <c r="P189" s="34" t="s">
        <v>48</v>
      </c>
      <c r="Q189" s="33" t="n">
        <f>114</f>
        <v>114.0</v>
      </c>
      <c r="R189" s="34" t="s">
        <v>62</v>
      </c>
      <c r="S189" s="35" t="n">
        <f>114.33</f>
        <v>114.33</v>
      </c>
      <c r="T189" s="32" t="n">
        <f>10625754</f>
        <v>1.0625754E7</v>
      </c>
      <c r="U189" s="32" t="str">
        <f>"－"</f>
        <v>－</v>
      </c>
      <c r="V189" s="32" t="n">
        <f>1223928614</f>
        <v>1.223928614E9</v>
      </c>
      <c r="W189" s="32" t="str">
        <f>"－"</f>
        <v>－</v>
      </c>
      <c r="X189" s="36" t="n">
        <f>12</f>
        <v>12.0</v>
      </c>
    </row>
    <row r="190">
      <c r="A190" s="27" t="s">
        <v>42</v>
      </c>
      <c r="B190" s="27" t="s">
        <v>623</v>
      </c>
      <c r="C190" s="27" t="s">
        <v>624</v>
      </c>
      <c r="D190" s="27" t="s">
        <v>625</v>
      </c>
      <c r="E190" s="28" t="s">
        <v>46</v>
      </c>
      <c r="F190" s="29" t="s">
        <v>46</v>
      </c>
      <c r="G190" s="30" t="s">
        <v>46</v>
      </c>
      <c r="H190" s="31"/>
      <c r="I190" s="31" t="s">
        <v>609</v>
      </c>
      <c r="J190" s="32" t="n">
        <v>1.0</v>
      </c>
      <c r="K190" s="33" t="n">
        <f>21525</f>
        <v>21525.0</v>
      </c>
      <c r="L190" s="34" t="s">
        <v>48</v>
      </c>
      <c r="M190" s="33" t="n">
        <f>25575</f>
        <v>25575.0</v>
      </c>
      <c r="N190" s="34" t="s">
        <v>50</v>
      </c>
      <c r="O190" s="33" t="n">
        <f>21220</f>
        <v>21220.0</v>
      </c>
      <c r="P190" s="34" t="s">
        <v>48</v>
      </c>
      <c r="Q190" s="33" t="n">
        <f>24235</f>
        <v>24235.0</v>
      </c>
      <c r="R190" s="34" t="s">
        <v>49</v>
      </c>
      <c r="S190" s="35" t="n">
        <f>23582.05</f>
        <v>23582.05</v>
      </c>
      <c r="T190" s="32" t="n">
        <f>116253</f>
        <v>116253.0</v>
      </c>
      <c r="U190" s="32" t="n">
        <f>6</f>
        <v>6.0</v>
      </c>
      <c r="V190" s="32" t="n">
        <f>2750123430</f>
        <v>2.75012343E9</v>
      </c>
      <c r="W190" s="32" t="n">
        <f>135840</f>
        <v>135840.0</v>
      </c>
      <c r="X190" s="36" t="n">
        <f>22</f>
        <v>22.0</v>
      </c>
    </row>
    <row r="191">
      <c r="A191" s="27" t="s">
        <v>42</v>
      </c>
      <c r="B191" s="27" t="s">
        <v>626</v>
      </c>
      <c r="C191" s="27" t="s">
        <v>627</v>
      </c>
      <c r="D191" s="27" t="s">
        <v>628</v>
      </c>
      <c r="E191" s="28" t="s">
        <v>46</v>
      </c>
      <c r="F191" s="29" t="s">
        <v>46</v>
      </c>
      <c r="G191" s="30" t="s">
        <v>46</v>
      </c>
      <c r="H191" s="31"/>
      <c r="I191" s="31" t="s">
        <v>609</v>
      </c>
      <c r="J191" s="32" t="n">
        <v>1.0</v>
      </c>
      <c r="K191" s="33" t="n">
        <f>4970</f>
        <v>4970.0</v>
      </c>
      <c r="L191" s="34" t="s">
        <v>48</v>
      </c>
      <c r="M191" s="33" t="n">
        <f>4970</f>
        <v>4970.0</v>
      </c>
      <c r="N191" s="34" t="s">
        <v>48</v>
      </c>
      <c r="O191" s="33" t="n">
        <f>4515</f>
        <v>4515.0</v>
      </c>
      <c r="P191" s="34" t="s">
        <v>50</v>
      </c>
      <c r="Q191" s="33" t="n">
        <f>4640</f>
        <v>4640.0</v>
      </c>
      <c r="R191" s="34" t="s">
        <v>49</v>
      </c>
      <c r="S191" s="35" t="n">
        <f>4720</f>
        <v>4720.0</v>
      </c>
      <c r="T191" s="32" t="n">
        <f>38203</f>
        <v>38203.0</v>
      </c>
      <c r="U191" s="32" t="str">
        <f>"－"</f>
        <v>－</v>
      </c>
      <c r="V191" s="32" t="n">
        <f>179863460</f>
        <v>1.7986346E8</v>
      </c>
      <c r="W191" s="32" t="str">
        <f>"－"</f>
        <v>－</v>
      </c>
      <c r="X191" s="36" t="n">
        <f>22</f>
        <v>22.0</v>
      </c>
    </row>
    <row r="192">
      <c r="A192" s="27" t="s">
        <v>42</v>
      </c>
      <c r="B192" s="27" t="s">
        <v>629</v>
      </c>
      <c r="C192" s="27" t="s">
        <v>630</v>
      </c>
      <c r="D192" s="27" t="s">
        <v>631</v>
      </c>
      <c r="E192" s="28" t="s">
        <v>46</v>
      </c>
      <c r="F192" s="29" t="s">
        <v>46</v>
      </c>
      <c r="G192" s="30" t="s">
        <v>46</v>
      </c>
      <c r="H192" s="31"/>
      <c r="I192" s="31" t="s">
        <v>609</v>
      </c>
      <c r="J192" s="32" t="n">
        <v>1.0</v>
      </c>
      <c r="K192" s="33" t="n">
        <f>1101</f>
        <v>1101.0</v>
      </c>
      <c r="L192" s="34" t="s">
        <v>48</v>
      </c>
      <c r="M192" s="33" t="n">
        <f>1770</f>
        <v>1770.0</v>
      </c>
      <c r="N192" s="34" t="s">
        <v>50</v>
      </c>
      <c r="O192" s="33" t="n">
        <f>1087</f>
        <v>1087.0</v>
      </c>
      <c r="P192" s="34" t="s">
        <v>48</v>
      </c>
      <c r="Q192" s="33" t="n">
        <f>1396</f>
        <v>1396.0</v>
      </c>
      <c r="R192" s="34" t="s">
        <v>49</v>
      </c>
      <c r="S192" s="35" t="n">
        <f>1380.5</f>
        <v>1380.5</v>
      </c>
      <c r="T192" s="32" t="n">
        <f>223722588</f>
        <v>2.23722588E8</v>
      </c>
      <c r="U192" s="32" t="n">
        <f>1000025</f>
        <v>1000025.0</v>
      </c>
      <c r="V192" s="32" t="n">
        <f>310248059005</f>
        <v>3.10248059005E11</v>
      </c>
      <c r="W192" s="32" t="n">
        <f>1411334579</f>
        <v>1.411334579E9</v>
      </c>
      <c r="X192" s="36" t="n">
        <f>22</f>
        <v>22.0</v>
      </c>
    </row>
    <row r="193">
      <c r="A193" s="27" t="s">
        <v>42</v>
      </c>
      <c r="B193" s="27" t="s">
        <v>632</v>
      </c>
      <c r="C193" s="27" t="s">
        <v>633</v>
      </c>
      <c r="D193" s="27" t="s">
        <v>634</v>
      </c>
      <c r="E193" s="28" t="s">
        <v>46</v>
      </c>
      <c r="F193" s="29" t="s">
        <v>46</v>
      </c>
      <c r="G193" s="30" t="s">
        <v>46</v>
      </c>
      <c r="H193" s="31"/>
      <c r="I193" s="31" t="s">
        <v>609</v>
      </c>
      <c r="J193" s="32" t="n">
        <v>1.0</v>
      </c>
      <c r="K193" s="33" t="n">
        <f>2188</f>
        <v>2188.0</v>
      </c>
      <c r="L193" s="34" t="s">
        <v>48</v>
      </c>
      <c r="M193" s="33" t="n">
        <f>2188</f>
        <v>2188.0</v>
      </c>
      <c r="N193" s="34" t="s">
        <v>48</v>
      </c>
      <c r="O193" s="33" t="n">
        <f>1604</f>
        <v>1604.0</v>
      </c>
      <c r="P193" s="34" t="s">
        <v>198</v>
      </c>
      <c r="Q193" s="33" t="n">
        <f>1725</f>
        <v>1725.0</v>
      </c>
      <c r="R193" s="34" t="s">
        <v>49</v>
      </c>
      <c r="S193" s="35" t="n">
        <f>1834.14</f>
        <v>1834.14</v>
      </c>
      <c r="T193" s="32" t="n">
        <f>9352796</f>
        <v>9352796.0</v>
      </c>
      <c r="U193" s="32" t="str">
        <f>"－"</f>
        <v>－</v>
      </c>
      <c r="V193" s="32" t="n">
        <f>16968803351</f>
        <v>1.6968803351E10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635</v>
      </c>
      <c r="C194" s="27" t="s">
        <v>636</v>
      </c>
      <c r="D194" s="27" t="s">
        <v>637</v>
      </c>
      <c r="E194" s="28" t="s">
        <v>46</v>
      </c>
      <c r="F194" s="29" t="s">
        <v>46</v>
      </c>
      <c r="G194" s="30" t="s">
        <v>46</v>
      </c>
      <c r="H194" s="31"/>
      <c r="I194" s="31" t="s">
        <v>609</v>
      </c>
      <c r="J194" s="32" t="n">
        <v>1.0</v>
      </c>
      <c r="K194" s="33" t="n">
        <f>29485</f>
        <v>29485.0</v>
      </c>
      <c r="L194" s="34" t="s">
        <v>48</v>
      </c>
      <c r="M194" s="33" t="n">
        <f>31650</f>
        <v>31650.0</v>
      </c>
      <c r="N194" s="34" t="s">
        <v>49</v>
      </c>
      <c r="O194" s="33" t="n">
        <f>27200</f>
        <v>27200.0</v>
      </c>
      <c r="P194" s="34" t="s">
        <v>66</v>
      </c>
      <c r="Q194" s="33" t="n">
        <f>31400</f>
        <v>31400.0</v>
      </c>
      <c r="R194" s="34" t="s">
        <v>49</v>
      </c>
      <c r="S194" s="35" t="n">
        <f>29362.73</f>
        <v>29362.73</v>
      </c>
      <c r="T194" s="32" t="n">
        <f>137564</f>
        <v>137564.0</v>
      </c>
      <c r="U194" s="32" t="n">
        <f>20</f>
        <v>20.0</v>
      </c>
      <c r="V194" s="32" t="n">
        <f>4012314230</f>
        <v>4.01231423E9</v>
      </c>
      <c r="W194" s="32" t="n">
        <f>569930</f>
        <v>569930.0</v>
      </c>
      <c r="X194" s="36" t="n">
        <f>22</f>
        <v>22.0</v>
      </c>
    </row>
    <row r="195">
      <c r="A195" s="27" t="s">
        <v>42</v>
      </c>
      <c r="B195" s="27" t="s">
        <v>638</v>
      </c>
      <c r="C195" s="27" t="s">
        <v>639</v>
      </c>
      <c r="D195" s="27" t="s">
        <v>640</v>
      </c>
      <c r="E195" s="28" t="s">
        <v>46</v>
      </c>
      <c r="F195" s="29" t="s">
        <v>46</v>
      </c>
      <c r="G195" s="30" t="s">
        <v>46</v>
      </c>
      <c r="H195" s="31"/>
      <c r="I195" s="31" t="s">
        <v>609</v>
      </c>
      <c r="J195" s="32" t="n">
        <v>1.0</v>
      </c>
      <c r="K195" s="33" t="n">
        <f>2930</f>
        <v>2930.0</v>
      </c>
      <c r="L195" s="34" t="s">
        <v>48</v>
      </c>
      <c r="M195" s="33" t="n">
        <f>3080</f>
        <v>3080.0</v>
      </c>
      <c r="N195" s="34" t="s">
        <v>66</v>
      </c>
      <c r="O195" s="33" t="n">
        <f>2796</f>
        <v>2796.0</v>
      </c>
      <c r="P195" s="34" t="s">
        <v>54</v>
      </c>
      <c r="Q195" s="33" t="n">
        <f>2804</f>
        <v>2804.0</v>
      </c>
      <c r="R195" s="34" t="s">
        <v>49</v>
      </c>
      <c r="S195" s="35" t="n">
        <f>2930.32</f>
        <v>2930.32</v>
      </c>
      <c r="T195" s="32" t="n">
        <f>1047146</f>
        <v>1047146.0</v>
      </c>
      <c r="U195" s="32" t="n">
        <f>75008</f>
        <v>75008.0</v>
      </c>
      <c r="V195" s="32" t="n">
        <f>3089372580</f>
        <v>3.08937258E9</v>
      </c>
      <c r="W195" s="32" t="n">
        <f>213023192</f>
        <v>2.13023192E8</v>
      </c>
      <c r="X195" s="36" t="n">
        <f>22</f>
        <v>22.0</v>
      </c>
    </row>
    <row r="196">
      <c r="A196" s="27" t="s">
        <v>42</v>
      </c>
      <c r="B196" s="27" t="s">
        <v>641</v>
      </c>
      <c r="C196" s="27" t="s">
        <v>642</v>
      </c>
      <c r="D196" s="27" t="s">
        <v>643</v>
      </c>
      <c r="E196" s="28" t="s">
        <v>46</v>
      </c>
      <c r="F196" s="29" t="s">
        <v>46</v>
      </c>
      <c r="G196" s="30" t="s">
        <v>46</v>
      </c>
      <c r="H196" s="31"/>
      <c r="I196" s="31" t="s">
        <v>609</v>
      </c>
      <c r="J196" s="32" t="n">
        <v>1.0</v>
      </c>
      <c r="K196" s="33" t="n">
        <f>8047</f>
        <v>8047.0</v>
      </c>
      <c r="L196" s="34" t="s">
        <v>48</v>
      </c>
      <c r="M196" s="33" t="n">
        <f>8522</f>
        <v>8522.0</v>
      </c>
      <c r="N196" s="34" t="s">
        <v>54</v>
      </c>
      <c r="O196" s="33" t="n">
        <f>7070</f>
        <v>7070.0</v>
      </c>
      <c r="P196" s="34" t="s">
        <v>96</v>
      </c>
      <c r="Q196" s="33" t="n">
        <f>8433</f>
        <v>8433.0</v>
      </c>
      <c r="R196" s="34" t="s">
        <v>49</v>
      </c>
      <c r="S196" s="35" t="n">
        <f>7828.55</f>
        <v>7828.55</v>
      </c>
      <c r="T196" s="32" t="n">
        <f>182219</f>
        <v>182219.0</v>
      </c>
      <c r="U196" s="32" t="str">
        <f>"－"</f>
        <v>－</v>
      </c>
      <c r="V196" s="32" t="n">
        <f>1444931045</f>
        <v>1.444931045E9</v>
      </c>
      <c r="W196" s="32" t="str">
        <f>"－"</f>
        <v>－</v>
      </c>
      <c r="X196" s="36" t="n">
        <f>22</f>
        <v>22.0</v>
      </c>
    </row>
    <row r="197">
      <c r="A197" s="27" t="s">
        <v>42</v>
      </c>
      <c r="B197" s="27" t="s">
        <v>644</v>
      </c>
      <c r="C197" s="27" t="s">
        <v>645</v>
      </c>
      <c r="D197" s="27" t="s">
        <v>646</v>
      </c>
      <c r="E197" s="28" t="s">
        <v>46</v>
      </c>
      <c r="F197" s="29" t="s">
        <v>46</v>
      </c>
      <c r="G197" s="30" t="s">
        <v>46</v>
      </c>
      <c r="H197" s="31"/>
      <c r="I197" s="31" t="s">
        <v>609</v>
      </c>
      <c r="J197" s="32" t="n">
        <v>1.0</v>
      </c>
      <c r="K197" s="33" t="n">
        <f>14555</f>
        <v>14555.0</v>
      </c>
      <c r="L197" s="34" t="s">
        <v>48</v>
      </c>
      <c r="M197" s="33" t="n">
        <f>16000</f>
        <v>16000.0</v>
      </c>
      <c r="N197" s="34" t="s">
        <v>227</v>
      </c>
      <c r="O197" s="33" t="n">
        <f>13905</f>
        <v>13905.0</v>
      </c>
      <c r="P197" s="34" t="s">
        <v>66</v>
      </c>
      <c r="Q197" s="33" t="n">
        <f>15900</f>
        <v>15900.0</v>
      </c>
      <c r="R197" s="34" t="s">
        <v>49</v>
      </c>
      <c r="S197" s="35" t="n">
        <f>14868.68</f>
        <v>14868.68</v>
      </c>
      <c r="T197" s="32" t="n">
        <f>479</f>
        <v>479.0</v>
      </c>
      <c r="U197" s="32" t="str">
        <f>"－"</f>
        <v>－</v>
      </c>
      <c r="V197" s="32" t="n">
        <f>7194015</f>
        <v>7194015.0</v>
      </c>
      <c r="W197" s="32" t="str">
        <f>"－"</f>
        <v>－</v>
      </c>
      <c r="X197" s="36" t="n">
        <f>19</f>
        <v>19.0</v>
      </c>
    </row>
    <row r="198">
      <c r="A198" s="27" t="s">
        <v>42</v>
      </c>
      <c r="B198" s="27" t="s">
        <v>647</v>
      </c>
      <c r="C198" s="27" t="s">
        <v>648</v>
      </c>
      <c r="D198" s="27" t="s">
        <v>649</v>
      </c>
      <c r="E198" s="28" t="s">
        <v>46</v>
      </c>
      <c r="F198" s="29" t="s">
        <v>46</v>
      </c>
      <c r="G198" s="30" t="s">
        <v>46</v>
      </c>
      <c r="H198" s="31"/>
      <c r="I198" s="31" t="s">
        <v>609</v>
      </c>
      <c r="J198" s="32" t="n">
        <v>1.0</v>
      </c>
      <c r="K198" s="33" t="n">
        <f>19700</f>
        <v>19700.0</v>
      </c>
      <c r="L198" s="34" t="s">
        <v>48</v>
      </c>
      <c r="M198" s="33" t="n">
        <f>22215</f>
        <v>22215.0</v>
      </c>
      <c r="N198" s="34" t="s">
        <v>54</v>
      </c>
      <c r="O198" s="33" t="n">
        <f>19475</f>
        <v>19475.0</v>
      </c>
      <c r="P198" s="34" t="s">
        <v>61</v>
      </c>
      <c r="Q198" s="33" t="n">
        <f>21860</f>
        <v>21860.0</v>
      </c>
      <c r="R198" s="34" t="s">
        <v>49</v>
      </c>
      <c r="S198" s="35" t="n">
        <f>20519.77</f>
        <v>20519.77</v>
      </c>
      <c r="T198" s="32" t="n">
        <f>49456</f>
        <v>49456.0</v>
      </c>
      <c r="U198" s="32" t="n">
        <f>18859</f>
        <v>18859.0</v>
      </c>
      <c r="V198" s="32" t="n">
        <f>1041327773</f>
        <v>1.041327773E9</v>
      </c>
      <c r="W198" s="32" t="n">
        <f>400017068</f>
        <v>4.00017068E8</v>
      </c>
      <c r="X198" s="36" t="n">
        <f>22</f>
        <v>22.0</v>
      </c>
    </row>
    <row r="199">
      <c r="A199" s="27" t="s">
        <v>42</v>
      </c>
      <c r="B199" s="27" t="s">
        <v>650</v>
      </c>
      <c r="C199" s="27" t="s">
        <v>651</v>
      </c>
      <c r="D199" s="27" t="s">
        <v>652</v>
      </c>
      <c r="E199" s="28" t="s">
        <v>46</v>
      </c>
      <c r="F199" s="29" t="s">
        <v>46</v>
      </c>
      <c r="G199" s="30" t="s">
        <v>46</v>
      </c>
      <c r="H199" s="31"/>
      <c r="I199" s="31" t="s">
        <v>609</v>
      </c>
      <c r="J199" s="32" t="n">
        <v>1.0</v>
      </c>
      <c r="K199" s="33" t="n">
        <f>13995</f>
        <v>13995.0</v>
      </c>
      <c r="L199" s="34" t="s">
        <v>48</v>
      </c>
      <c r="M199" s="33" t="n">
        <f>15800</f>
        <v>15800.0</v>
      </c>
      <c r="N199" s="34" t="s">
        <v>100</v>
      </c>
      <c r="O199" s="33" t="n">
        <f>13490</f>
        <v>13490.0</v>
      </c>
      <c r="P199" s="34" t="s">
        <v>66</v>
      </c>
      <c r="Q199" s="33" t="n">
        <f>15500</f>
        <v>15500.0</v>
      </c>
      <c r="R199" s="34" t="s">
        <v>49</v>
      </c>
      <c r="S199" s="35" t="n">
        <f>14490.25</f>
        <v>14490.25</v>
      </c>
      <c r="T199" s="32" t="n">
        <f>1142</f>
        <v>1142.0</v>
      </c>
      <c r="U199" s="32" t="str">
        <f>"－"</f>
        <v>－</v>
      </c>
      <c r="V199" s="32" t="n">
        <f>16228575</f>
        <v>1.6228575E7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653</v>
      </c>
      <c r="C200" s="27" t="s">
        <v>654</v>
      </c>
      <c r="D200" s="27" t="s">
        <v>655</v>
      </c>
      <c r="E200" s="28" t="s">
        <v>46</v>
      </c>
      <c r="F200" s="29" t="s">
        <v>46</v>
      </c>
      <c r="G200" s="30" t="s">
        <v>46</v>
      </c>
      <c r="H200" s="31"/>
      <c r="I200" s="31" t="s">
        <v>609</v>
      </c>
      <c r="J200" s="32" t="n">
        <v>1.0</v>
      </c>
      <c r="K200" s="33" t="n">
        <f>16800</f>
        <v>16800.0</v>
      </c>
      <c r="L200" s="34" t="s">
        <v>48</v>
      </c>
      <c r="M200" s="33" t="n">
        <f>18805</f>
        <v>18805.0</v>
      </c>
      <c r="N200" s="34" t="s">
        <v>54</v>
      </c>
      <c r="O200" s="33" t="n">
        <f>13365</f>
        <v>13365.0</v>
      </c>
      <c r="P200" s="34" t="s">
        <v>66</v>
      </c>
      <c r="Q200" s="33" t="n">
        <f>18550</f>
        <v>18550.0</v>
      </c>
      <c r="R200" s="34" t="s">
        <v>49</v>
      </c>
      <c r="S200" s="35" t="n">
        <f>16645</f>
        <v>16645.0</v>
      </c>
      <c r="T200" s="32" t="n">
        <f>65602</f>
        <v>65602.0</v>
      </c>
      <c r="U200" s="32" t="n">
        <f>14</f>
        <v>14.0</v>
      </c>
      <c r="V200" s="32" t="n">
        <f>1075586725</f>
        <v>1.075586725E9</v>
      </c>
      <c r="W200" s="32" t="n">
        <f>223135</f>
        <v>223135.0</v>
      </c>
      <c r="X200" s="36" t="n">
        <f>22</f>
        <v>22.0</v>
      </c>
    </row>
    <row r="201">
      <c r="A201" s="27" t="s">
        <v>42</v>
      </c>
      <c r="B201" s="27" t="s">
        <v>656</v>
      </c>
      <c r="C201" s="27" t="s">
        <v>657</v>
      </c>
      <c r="D201" s="27" t="s">
        <v>658</v>
      </c>
      <c r="E201" s="28" t="s">
        <v>46</v>
      </c>
      <c r="F201" s="29" t="s">
        <v>46</v>
      </c>
      <c r="G201" s="30" t="s">
        <v>46</v>
      </c>
      <c r="H201" s="31"/>
      <c r="I201" s="31" t="s">
        <v>609</v>
      </c>
      <c r="J201" s="32" t="n">
        <v>1.0</v>
      </c>
      <c r="K201" s="33" t="n">
        <f>4065</f>
        <v>4065.0</v>
      </c>
      <c r="L201" s="34" t="s">
        <v>48</v>
      </c>
      <c r="M201" s="33" t="n">
        <f>4485</f>
        <v>4485.0</v>
      </c>
      <c r="N201" s="34" t="s">
        <v>66</v>
      </c>
      <c r="O201" s="33" t="n">
        <f>4010</f>
        <v>4010.0</v>
      </c>
      <c r="P201" s="34" t="s">
        <v>238</v>
      </c>
      <c r="Q201" s="33" t="n">
        <f>4240</f>
        <v>4240.0</v>
      </c>
      <c r="R201" s="34" t="s">
        <v>49</v>
      </c>
      <c r="S201" s="35" t="n">
        <f>4213.86</f>
        <v>4213.86</v>
      </c>
      <c r="T201" s="32" t="n">
        <f>21076</f>
        <v>21076.0</v>
      </c>
      <c r="U201" s="32" t="str">
        <f>"－"</f>
        <v>－</v>
      </c>
      <c r="V201" s="32" t="n">
        <f>87898290</f>
        <v>8.789829E7</v>
      </c>
      <c r="W201" s="32" t="str">
        <f>"－"</f>
        <v>－</v>
      </c>
      <c r="X201" s="36" t="n">
        <f>22</f>
        <v>22.0</v>
      </c>
    </row>
    <row r="202">
      <c r="A202" s="27" t="s">
        <v>42</v>
      </c>
      <c r="B202" s="27" t="s">
        <v>659</v>
      </c>
      <c r="C202" s="27" t="s">
        <v>660</v>
      </c>
      <c r="D202" s="27" t="s">
        <v>661</v>
      </c>
      <c r="E202" s="28" t="s">
        <v>46</v>
      </c>
      <c r="F202" s="29" t="s">
        <v>46</v>
      </c>
      <c r="G202" s="30" t="s">
        <v>46</v>
      </c>
      <c r="H202" s="31"/>
      <c r="I202" s="31" t="s">
        <v>609</v>
      </c>
      <c r="J202" s="32" t="n">
        <v>1.0</v>
      </c>
      <c r="K202" s="33" t="n">
        <f>11895</f>
        <v>11895.0</v>
      </c>
      <c r="L202" s="34" t="s">
        <v>48</v>
      </c>
      <c r="M202" s="33" t="n">
        <f>13680</f>
        <v>13680.0</v>
      </c>
      <c r="N202" s="34" t="s">
        <v>100</v>
      </c>
      <c r="O202" s="33" t="n">
        <f>11475</f>
        <v>11475.0</v>
      </c>
      <c r="P202" s="34" t="s">
        <v>66</v>
      </c>
      <c r="Q202" s="33" t="n">
        <f>13385</f>
        <v>13385.0</v>
      </c>
      <c r="R202" s="34" t="s">
        <v>49</v>
      </c>
      <c r="S202" s="35" t="n">
        <f>12574.33</f>
        <v>12574.33</v>
      </c>
      <c r="T202" s="32" t="n">
        <f>2024</f>
        <v>2024.0</v>
      </c>
      <c r="U202" s="32" t="str">
        <f>"－"</f>
        <v>－</v>
      </c>
      <c r="V202" s="32" t="n">
        <f>25442530</f>
        <v>2.544253E7</v>
      </c>
      <c r="W202" s="32" t="str">
        <f>"－"</f>
        <v>－</v>
      </c>
      <c r="X202" s="36" t="n">
        <f>15</f>
        <v>15.0</v>
      </c>
    </row>
    <row r="203">
      <c r="A203" s="27" t="s">
        <v>42</v>
      </c>
      <c r="B203" s="27" t="s">
        <v>662</v>
      </c>
      <c r="C203" s="27" t="s">
        <v>663</v>
      </c>
      <c r="D203" s="27" t="s">
        <v>664</v>
      </c>
      <c r="E203" s="28" t="s">
        <v>46</v>
      </c>
      <c r="F203" s="29" t="s">
        <v>46</v>
      </c>
      <c r="G203" s="30" t="s">
        <v>46</v>
      </c>
      <c r="H203" s="31"/>
      <c r="I203" s="31" t="s">
        <v>609</v>
      </c>
      <c r="J203" s="32" t="n">
        <v>1.0</v>
      </c>
      <c r="K203" s="33" t="n">
        <f>11595</f>
        <v>11595.0</v>
      </c>
      <c r="L203" s="34" t="s">
        <v>71</v>
      </c>
      <c r="M203" s="33" t="n">
        <f>12420</f>
        <v>12420.0</v>
      </c>
      <c r="N203" s="34" t="s">
        <v>198</v>
      </c>
      <c r="O203" s="33" t="n">
        <f>11365</f>
        <v>11365.0</v>
      </c>
      <c r="P203" s="34" t="s">
        <v>66</v>
      </c>
      <c r="Q203" s="33" t="n">
        <f>12295</f>
        <v>12295.0</v>
      </c>
      <c r="R203" s="34" t="s">
        <v>49</v>
      </c>
      <c r="S203" s="35" t="n">
        <f>11918.75</f>
        <v>11918.75</v>
      </c>
      <c r="T203" s="32" t="n">
        <f>13</f>
        <v>13.0</v>
      </c>
      <c r="U203" s="32" t="str">
        <f>"－"</f>
        <v>－</v>
      </c>
      <c r="V203" s="32" t="n">
        <f>155110</f>
        <v>155110.0</v>
      </c>
      <c r="W203" s="32" t="str">
        <f>"－"</f>
        <v>－</v>
      </c>
      <c r="X203" s="36" t="n">
        <f>4</f>
        <v>4.0</v>
      </c>
    </row>
    <row r="204">
      <c r="A204" s="27" t="s">
        <v>42</v>
      </c>
      <c r="B204" s="27" t="s">
        <v>665</v>
      </c>
      <c r="C204" s="27" t="s">
        <v>666</v>
      </c>
      <c r="D204" s="27" t="s">
        <v>667</v>
      </c>
      <c r="E204" s="28" t="s">
        <v>46</v>
      </c>
      <c r="F204" s="29" t="s">
        <v>46</v>
      </c>
      <c r="G204" s="30" t="s">
        <v>46</v>
      </c>
      <c r="H204" s="31"/>
      <c r="I204" s="31" t="s">
        <v>609</v>
      </c>
      <c r="J204" s="32" t="n">
        <v>1.0</v>
      </c>
      <c r="K204" s="33" t="n">
        <f>13750</f>
        <v>13750.0</v>
      </c>
      <c r="L204" s="34" t="s">
        <v>296</v>
      </c>
      <c r="M204" s="33" t="n">
        <f>15660</f>
        <v>15660.0</v>
      </c>
      <c r="N204" s="34" t="s">
        <v>100</v>
      </c>
      <c r="O204" s="33" t="n">
        <f>13750</f>
        <v>13750.0</v>
      </c>
      <c r="P204" s="34" t="s">
        <v>296</v>
      </c>
      <c r="Q204" s="33" t="n">
        <f>15260</f>
        <v>15260.0</v>
      </c>
      <c r="R204" s="34" t="s">
        <v>49</v>
      </c>
      <c r="S204" s="35" t="n">
        <f>14991.67</f>
        <v>14991.67</v>
      </c>
      <c r="T204" s="32" t="n">
        <f>10364</f>
        <v>10364.0</v>
      </c>
      <c r="U204" s="32" t="n">
        <f>9883</f>
        <v>9883.0</v>
      </c>
      <c r="V204" s="32" t="n">
        <f>157378816</f>
        <v>1.57378816E8</v>
      </c>
      <c r="W204" s="32" t="n">
        <f>149994291</f>
        <v>1.49994291E8</v>
      </c>
      <c r="X204" s="36" t="n">
        <f>6</f>
        <v>6.0</v>
      </c>
    </row>
    <row r="205">
      <c r="A205" s="27" t="s">
        <v>42</v>
      </c>
      <c r="B205" s="27" t="s">
        <v>668</v>
      </c>
      <c r="C205" s="27" t="s">
        <v>669</v>
      </c>
      <c r="D205" s="27" t="s">
        <v>670</v>
      </c>
      <c r="E205" s="28" t="s">
        <v>46</v>
      </c>
      <c r="F205" s="29" t="s">
        <v>46</v>
      </c>
      <c r="G205" s="30" t="s">
        <v>46</v>
      </c>
      <c r="H205" s="31"/>
      <c r="I205" s="31" t="s">
        <v>609</v>
      </c>
      <c r="J205" s="32" t="n">
        <v>1.0</v>
      </c>
      <c r="K205" s="33" t="str">
        <f>"－"</f>
        <v>－</v>
      </c>
      <c r="L205" s="34"/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5" t="str">
        <f>"－"</f>
        <v>－</v>
      </c>
      <c r="T205" s="32" t="str">
        <f>"－"</f>
        <v>－</v>
      </c>
      <c r="U205" s="32" t="str">
        <f>"－"</f>
        <v>－</v>
      </c>
      <c r="V205" s="32" t="str">
        <f>"－"</f>
        <v>－</v>
      </c>
      <c r="W205" s="32" t="str">
        <f>"－"</f>
        <v>－</v>
      </c>
      <c r="X205" s="36" t="str">
        <f>"－"</f>
        <v>－</v>
      </c>
    </row>
    <row r="206">
      <c r="A206" s="27" t="s">
        <v>42</v>
      </c>
      <c r="B206" s="27" t="s">
        <v>671</v>
      </c>
      <c r="C206" s="27" t="s">
        <v>672</v>
      </c>
      <c r="D206" s="27" t="s">
        <v>673</v>
      </c>
      <c r="E206" s="28" t="s">
        <v>46</v>
      </c>
      <c r="F206" s="29" t="s">
        <v>46</v>
      </c>
      <c r="G206" s="30" t="s">
        <v>46</v>
      </c>
      <c r="H206" s="31"/>
      <c r="I206" s="31" t="s">
        <v>609</v>
      </c>
      <c r="J206" s="32" t="n">
        <v>1.0</v>
      </c>
      <c r="K206" s="33" t="n">
        <f>12405</f>
        <v>12405.0</v>
      </c>
      <c r="L206" s="34" t="s">
        <v>48</v>
      </c>
      <c r="M206" s="33" t="n">
        <f>13090</f>
        <v>13090.0</v>
      </c>
      <c r="N206" s="34" t="s">
        <v>54</v>
      </c>
      <c r="O206" s="33" t="n">
        <f>11575</f>
        <v>11575.0</v>
      </c>
      <c r="P206" s="34" t="s">
        <v>66</v>
      </c>
      <c r="Q206" s="33" t="n">
        <f>12895</f>
        <v>12895.0</v>
      </c>
      <c r="R206" s="34" t="s">
        <v>49</v>
      </c>
      <c r="S206" s="35" t="n">
        <f>12429.67</f>
        <v>12429.67</v>
      </c>
      <c r="T206" s="32" t="n">
        <f>2409</f>
        <v>2409.0</v>
      </c>
      <c r="U206" s="32" t="str">
        <f>"－"</f>
        <v>－</v>
      </c>
      <c r="V206" s="32" t="n">
        <f>29357170</f>
        <v>2.935717E7</v>
      </c>
      <c r="W206" s="32" t="str">
        <f>"－"</f>
        <v>－</v>
      </c>
      <c r="X206" s="36" t="n">
        <f>15</f>
        <v>15.0</v>
      </c>
    </row>
    <row r="207">
      <c r="A207" s="27" t="s">
        <v>42</v>
      </c>
      <c r="B207" s="27" t="s">
        <v>674</v>
      </c>
      <c r="C207" s="27" t="s">
        <v>675</v>
      </c>
      <c r="D207" s="27" t="s">
        <v>676</v>
      </c>
      <c r="E207" s="28" t="s">
        <v>46</v>
      </c>
      <c r="F207" s="29" t="s">
        <v>46</v>
      </c>
      <c r="G207" s="30" t="s">
        <v>46</v>
      </c>
      <c r="H207" s="31"/>
      <c r="I207" s="31" t="s">
        <v>609</v>
      </c>
      <c r="J207" s="32" t="n">
        <v>1.0</v>
      </c>
      <c r="K207" s="33" t="n">
        <f>13555</f>
        <v>13555.0</v>
      </c>
      <c r="L207" s="34" t="s">
        <v>226</v>
      </c>
      <c r="M207" s="33" t="n">
        <f>14720</f>
        <v>14720.0</v>
      </c>
      <c r="N207" s="34" t="s">
        <v>297</v>
      </c>
      <c r="O207" s="33" t="n">
        <f>13555</f>
        <v>13555.0</v>
      </c>
      <c r="P207" s="34" t="s">
        <v>226</v>
      </c>
      <c r="Q207" s="33" t="n">
        <f>14720</f>
        <v>14720.0</v>
      </c>
      <c r="R207" s="34" t="s">
        <v>297</v>
      </c>
      <c r="S207" s="35" t="n">
        <f>14137.5</f>
        <v>14137.5</v>
      </c>
      <c r="T207" s="32" t="n">
        <f>16</f>
        <v>16.0</v>
      </c>
      <c r="U207" s="32" t="str">
        <f>"－"</f>
        <v>－</v>
      </c>
      <c r="V207" s="32" t="n">
        <f>223870</f>
        <v>223870.0</v>
      </c>
      <c r="W207" s="32" t="str">
        <f>"－"</f>
        <v>－</v>
      </c>
      <c r="X207" s="36" t="n">
        <f>2</f>
        <v>2.0</v>
      </c>
    </row>
    <row r="208">
      <c r="A208" s="27" t="s">
        <v>42</v>
      </c>
      <c r="B208" s="27" t="s">
        <v>677</v>
      </c>
      <c r="C208" s="27" t="s">
        <v>678</v>
      </c>
      <c r="D208" s="27" t="s">
        <v>679</v>
      </c>
      <c r="E208" s="28" t="s">
        <v>46</v>
      </c>
      <c r="F208" s="29" t="s">
        <v>46</v>
      </c>
      <c r="G208" s="30" t="s">
        <v>46</v>
      </c>
      <c r="H208" s="31"/>
      <c r="I208" s="31" t="s">
        <v>609</v>
      </c>
      <c r="J208" s="32" t="n">
        <v>1.0</v>
      </c>
      <c r="K208" s="33" t="str">
        <f>"－"</f>
        <v>－</v>
      </c>
      <c r="L208" s="34"/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5" t="str">
        <f>"－"</f>
        <v>－</v>
      </c>
      <c r="T208" s="32" t="str">
        <f>"－"</f>
        <v>－</v>
      </c>
      <c r="U208" s="32" t="str">
        <f>"－"</f>
        <v>－</v>
      </c>
      <c r="V208" s="32" t="str">
        <f>"－"</f>
        <v>－</v>
      </c>
      <c r="W208" s="32" t="str">
        <f>"－"</f>
        <v>－</v>
      </c>
      <c r="X208" s="36" t="str">
        <f>"－"</f>
        <v>－</v>
      </c>
    </row>
    <row r="209">
      <c r="A209" s="27" t="s">
        <v>42</v>
      </c>
      <c r="B209" s="27" t="s">
        <v>680</v>
      </c>
      <c r="C209" s="27" t="s">
        <v>681</v>
      </c>
      <c r="D209" s="27" t="s">
        <v>682</v>
      </c>
      <c r="E209" s="28" t="s">
        <v>46</v>
      </c>
      <c r="F209" s="29" t="s">
        <v>46</v>
      </c>
      <c r="G209" s="30" t="s">
        <v>46</v>
      </c>
      <c r="H209" s="31"/>
      <c r="I209" s="31" t="s">
        <v>609</v>
      </c>
      <c r="J209" s="32" t="n">
        <v>1.0</v>
      </c>
      <c r="K209" s="33" t="n">
        <f>9353</f>
        <v>9353.0</v>
      </c>
      <c r="L209" s="34" t="s">
        <v>48</v>
      </c>
      <c r="M209" s="33" t="n">
        <f>9792</f>
        <v>9792.0</v>
      </c>
      <c r="N209" s="34" t="s">
        <v>100</v>
      </c>
      <c r="O209" s="33" t="n">
        <f>8865</f>
        <v>8865.0</v>
      </c>
      <c r="P209" s="34" t="s">
        <v>71</v>
      </c>
      <c r="Q209" s="33" t="n">
        <f>9741</f>
        <v>9741.0</v>
      </c>
      <c r="R209" s="34" t="s">
        <v>54</v>
      </c>
      <c r="S209" s="35" t="n">
        <f>9386.21</f>
        <v>9386.21</v>
      </c>
      <c r="T209" s="32" t="n">
        <f>3089</f>
        <v>3089.0</v>
      </c>
      <c r="U209" s="32" t="str">
        <f>"－"</f>
        <v>－</v>
      </c>
      <c r="V209" s="32" t="n">
        <f>28840959</f>
        <v>2.8840959E7</v>
      </c>
      <c r="W209" s="32" t="str">
        <f>"－"</f>
        <v>－</v>
      </c>
      <c r="X209" s="36" t="n">
        <f>14</f>
        <v>14.0</v>
      </c>
    </row>
    <row r="210">
      <c r="A210" s="27" t="s">
        <v>42</v>
      </c>
      <c r="B210" s="27" t="s">
        <v>683</v>
      </c>
      <c r="C210" s="27" t="s">
        <v>684</v>
      </c>
      <c r="D210" s="27" t="s">
        <v>685</v>
      </c>
      <c r="E210" s="28" t="s">
        <v>46</v>
      </c>
      <c r="F210" s="29" t="s">
        <v>46</v>
      </c>
      <c r="G210" s="30" t="s">
        <v>46</v>
      </c>
      <c r="H210" s="31"/>
      <c r="I210" s="31" t="s">
        <v>609</v>
      </c>
      <c r="J210" s="32" t="n">
        <v>1.0</v>
      </c>
      <c r="K210" s="33" t="n">
        <f>10395</f>
        <v>10395.0</v>
      </c>
      <c r="L210" s="34" t="s">
        <v>48</v>
      </c>
      <c r="M210" s="33" t="n">
        <f>10820</f>
        <v>10820.0</v>
      </c>
      <c r="N210" s="34" t="s">
        <v>54</v>
      </c>
      <c r="O210" s="33" t="n">
        <f>9593</f>
        <v>9593.0</v>
      </c>
      <c r="P210" s="34" t="s">
        <v>50</v>
      </c>
      <c r="Q210" s="33" t="n">
        <f>10615</f>
        <v>10615.0</v>
      </c>
      <c r="R210" s="34" t="s">
        <v>49</v>
      </c>
      <c r="S210" s="35" t="n">
        <f>10187.24</f>
        <v>10187.24</v>
      </c>
      <c r="T210" s="32" t="n">
        <f>56568</f>
        <v>56568.0</v>
      </c>
      <c r="U210" s="32" t="str">
        <f>"－"</f>
        <v>－</v>
      </c>
      <c r="V210" s="32" t="n">
        <f>592729097</f>
        <v>5.92729097E8</v>
      </c>
      <c r="W210" s="32" t="str">
        <f>"－"</f>
        <v>－</v>
      </c>
      <c r="X210" s="36" t="n">
        <f>21</f>
        <v>21.0</v>
      </c>
    </row>
    <row r="211">
      <c r="A211" s="27" t="s">
        <v>42</v>
      </c>
      <c r="B211" s="27" t="s">
        <v>686</v>
      </c>
      <c r="C211" s="27" t="s">
        <v>687</v>
      </c>
      <c r="D211" s="27" t="s">
        <v>688</v>
      </c>
      <c r="E211" s="28" t="s">
        <v>46</v>
      </c>
      <c r="F211" s="29" t="s">
        <v>46</v>
      </c>
      <c r="G211" s="30" t="s">
        <v>46</v>
      </c>
      <c r="H211" s="31"/>
      <c r="I211" s="31" t="s">
        <v>609</v>
      </c>
      <c r="J211" s="32" t="n">
        <v>1.0</v>
      </c>
      <c r="K211" s="33" t="n">
        <f>9299</f>
        <v>9299.0</v>
      </c>
      <c r="L211" s="34" t="s">
        <v>296</v>
      </c>
      <c r="M211" s="33" t="n">
        <f>9736</f>
        <v>9736.0</v>
      </c>
      <c r="N211" s="34" t="s">
        <v>100</v>
      </c>
      <c r="O211" s="33" t="n">
        <f>9034</f>
        <v>9034.0</v>
      </c>
      <c r="P211" s="34" t="s">
        <v>96</v>
      </c>
      <c r="Q211" s="33" t="n">
        <f>9610</f>
        <v>9610.0</v>
      </c>
      <c r="R211" s="34" t="s">
        <v>49</v>
      </c>
      <c r="S211" s="35" t="n">
        <f>9384.43</f>
        <v>9384.43</v>
      </c>
      <c r="T211" s="32" t="n">
        <f>1372</f>
        <v>1372.0</v>
      </c>
      <c r="U211" s="32" t="n">
        <f>2</f>
        <v>2.0</v>
      </c>
      <c r="V211" s="32" t="n">
        <f>12756935</f>
        <v>1.2756935E7</v>
      </c>
      <c r="W211" s="32" t="n">
        <f>18982</f>
        <v>18982.0</v>
      </c>
      <c r="X211" s="36" t="n">
        <f>7</f>
        <v>7.0</v>
      </c>
    </row>
    <row r="212">
      <c r="A212" s="27" t="s">
        <v>42</v>
      </c>
      <c r="B212" s="27" t="s">
        <v>689</v>
      </c>
      <c r="C212" s="27" t="s">
        <v>690</v>
      </c>
      <c r="D212" s="27" t="s">
        <v>691</v>
      </c>
      <c r="E212" s="28" t="s">
        <v>692</v>
      </c>
      <c r="F212" s="29" t="s">
        <v>693</v>
      </c>
      <c r="G212" s="30" t="s">
        <v>694</v>
      </c>
      <c r="H212" s="31"/>
      <c r="I212" s="31" t="s">
        <v>609</v>
      </c>
      <c r="J212" s="32" t="n">
        <v>1.0</v>
      </c>
      <c r="K212" s="33" t="n">
        <f>10100</f>
        <v>10100.0</v>
      </c>
      <c r="L212" s="34" t="s">
        <v>297</v>
      </c>
      <c r="M212" s="33" t="n">
        <f>10645</f>
        <v>10645.0</v>
      </c>
      <c r="N212" s="34" t="s">
        <v>54</v>
      </c>
      <c r="O212" s="33" t="n">
        <f>10090</f>
        <v>10090.0</v>
      </c>
      <c r="P212" s="34" t="s">
        <v>297</v>
      </c>
      <c r="Q212" s="33" t="n">
        <f>10515</f>
        <v>10515.0</v>
      </c>
      <c r="R212" s="34" t="s">
        <v>49</v>
      </c>
      <c r="S212" s="35" t="n">
        <f>10441</f>
        <v>10441.0</v>
      </c>
      <c r="T212" s="32" t="n">
        <f>1384</f>
        <v>1384.0</v>
      </c>
      <c r="U212" s="32" t="str">
        <f>"－"</f>
        <v>－</v>
      </c>
      <c r="V212" s="32" t="n">
        <f>14471360</f>
        <v>1.447136E7</v>
      </c>
      <c r="W212" s="32" t="str">
        <f>"－"</f>
        <v>－</v>
      </c>
      <c r="X212" s="36" t="n">
        <f>5</f>
        <v>5.0</v>
      </c>
    </row>
    <row r="213">
      <c r="A213" s="27" t="s">
        <v>42</v>
      </c>
      <c r="B213" s="27" t="s">
        <v>695</v>
      </c>
      <c r="C213" s="27" t="s">
        <v>696</v>
      </c>
      <c r="D213" s="27" t="s">
        <v>697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982.2</f>
        <v>982.2</v>
      </c>
      <c r="L213" s="34" t="s">
        <v>48</v>
      </c>
      <c r="M213" s="33" t="n">
        <f>984.2</f>
        <v>984.2</v>
      </c>
      <c r="N213" s="34" t="s">
        <v>61</v>
      </c>
      <c r="O213" s="33" t="n">
        <f>968</f>
        <v>968.0</v>
      </c>
      <c r="P213" s="34" t="s">
        <v>100</v>
      </c>
      <c r="Q213" s="33" t="n">
        <f>974.4</f>
        <v>974.4</v>
      </c>
      <c r="R213" s="34" t="s">
        <v>49</v>
      </c>
      <c r="S213" s="35" t="n">
        <f>976.6</f>
        <v>976.6</v>
      </c>
      <c r="T213" s="32" t="n">
        <f>5062480</f>
        <v>5062480.0</v>
      </c>
      <c r="U213" s="32" t="n">
        <f>2011390</f>
        <v>2011390.0</v>
      </c>
      <c r="V213" s="32" t="n">
        <f>4939518855</f>
        <v>4.939518855E9</v>
      </c>
      <c r="W213" s="32" t="n">
        <f>1963500137</f>
        <v>1.963500137E9</v>
      </c>
      <c r="X213" s="36" t="n">
        <f>22</f>
        <v>22.0</v>
      </c>
    </row>
    <row r="214">
      <c r="A214" s="27" t="s">
        <v>42</v>
      </c>
      <c r="B214" s="27" t="s">
        <v>698</v>
      </c>
      <c r="C214" s="27" t="s">
        <v>699</v>
      </c>
      <c r="D214" s="27" t="s">
        <v>700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996.9</f>
        <v>996.9</v>
      </c>
      <c r="L214" s="34" t="s">
        <v>48</v>
      </c>
      <c r="M214" s="33" t="n">
        <f>1013</f>
        <v>1013.0</v>
      </c>
      <c r="N214" s="34" t="s">
        <v>100</v>
      </c>
      <c r="O214" s="33" t="n">
        <f>970.5</f>
        <v>970.5</v>
      </c>
      <c r="P214" s="34" t="s">
        <v>143</v>
      </c>
      <c r="Q214" s="33" t="n">
        <f>1007</f>
        <v>1007.0</v>
      </c>
      <c r="R214" s="34" t="s">
        <v>49</v>
      </c>
      <c r="S214" s="35" t="n">
        <f>990.76</f>
        <v>990.76</v>
      </c>
      <c r="T214" s="32" t="n">
        <f>1160080</f>
        <v>1160080.0</v>
      </c>
      <c r="U214" s="32" t="n">
        <f>214270</f>
        <v>214270.0</v>
      </c>
      <c r="V214" s="32" t="n">
        <f>1146691130</f>
        <v>1.14669113E9</v>
      </c>
      <c r="W214" s="32" t="n">
        <f>210987905</f>
        <v>2.10987905E8</v>
      </c>
      <c r="X214" s="36" t="n">
        <f>22</f>
        <v>22.0</v>
      </c>
    </row>
    <row r="215">
      <c r="A215" s="27" t="s">
        <v>42</v>
      </c>
      <c r="B215" s="27" t="s">
        <v>701</v>
      </c>
      <c r="C215" s="27" t="s">
        <v>702</v>
      </c>
      <c r="D215" s="27" t="s">
        <v>703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982.8</f>
        <v>982.8</v>
      </c>
      <c r="L215" s="34" t="s">
        <v>48</v>
      </c>
      <c r="M215" s="33" t="n">
        <f>996.7</f>
        <v>996.7</v>
      </c>
      <c r="N215" s="34" t="s">
        <v>61</v>
      </c>
      <c r="O215" s="33" t="n">
        <f>938.2</f>
        <v>938.2</v>
      </c>
      <c r="P215" s="34" t="s">
        <v>227</v>
      </c>
      <c r="Q215" s="33" t="n">
        <f>944.8</f>
        <v>944.8</v>
      </c>
      <c r="R215" s="34" t="s">
        <v>49</v>
      </c>
      <c r="S215" s="35" t="n">
        <f>963.77</f>
        <v>963.77</v>
      </c>
      <c r="T215" s="32" t="n">
        <f>15102430</f>
        <v>1.510243E7</v>
      </c>
      <c r="U215" s="32" t="n">
        <f>7630580</f>
        <v>7630580.0</v>
      </c>
      <c r="V215" s="32" t="n">
        <f>14440358078</f>
        <v>1.4440358078E10</v>
      </c>
      <c r="W215" s="32" t="n">
        <f>7272188844</f>
        <v>7.272188844E9</v>
      </c>
      <c r="X215" s="36" t="n">
        <f>22</f>
        <v>22.0</v>
      </c>
    </row>
    <row r="216">
      <c r="A216" s="27" t="s">
        <v>42</v>
      </c>
      <c r="B216" s="27" t="s">
        <v>704</v>
      </c>
      <c r="C216" s="27" t="s">
        <v>705</v>
      </c>
      <c r="D216" s="27" t="s">
        <v>706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1553.5</f>
        <v>1553.5</v>
      </c>
      <c r="L216" s="34" t="s">
        <v>48</v>
      </c>
      <c r="M216" s="33" t="n">
        <f>1743.5</f>
        <v>1743.5</v>
      </c>
      <c r="N216" s="34" t="s">
        <v>54</v>
      </c>
      <c r="O216" s="33" t="n">
        <f>1460</f>
        <v>1460.0</v>
      </c>
      <c r="P216" s="34" t="s">
        <v>66</v>
      </c>
      <c r="Q216" s="33" t="n">
        <f>1718</f>
        <v>1718.0</v>
      </c>
      <c r="R216" s="34" t="s">
        <v>49</v>
      </c>
      <c r="S216" s="35" t="n">
        <f>1586.32</f>
        <v>1586.32</v>
      </c>
      <c r="T216" s="32" t="n">
        <f>2913550</f>
        <v>2913550.0</v>
      </c>
      <c r="U216" s="32" t="n">
        <f>1567170</f>
        <v>1567170.0</v>
      </c>
      <c r="V216" s="32" t="n">
        <f>4657030140</f>
        <v>4.65703014E9</v>
      </c>
      <c r="W216" s="32" t="n">
        <f>2578640475</f>
        <v>2.578640475E9</v>
      </c>
      <c r="X216" s="36" t="n">
        <f>22</f>
        <v>22.0</v>
      </c>
    </row>
    <row r="217">
      <c r="A217" s="27" t="s">
        <v>42</v>
      </c>
      <c r="B217" s="27" t="s">
        <v>707</v>
      </c>
      <c r="C217" s="27" t="s">
        <v>708</v>
      </c>
      <c r="D217" s="27" t="s">
        <v>709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1475.5</f>
        <v>1475.5</v>
      </c>
      <c r="L217" s="34" t="s">
        <v>48</v>
      </c>
      <c r="M217" s="33" t="n">
        <f>1545.5</f>
        <v>1545.5</v>
      </c>
      <c r="N217" s="34" t="s">
        <v>54</v>
      </c>
      <c r="O217" s="33" t="n">
        <f>1385.5</f>
        <v>1385.5</v>
      </c>
      <c r="P217" s="34" t="s">
        <v>66</v>
      </c>
      <c r="Q217" s="33" t="n">
        <f>1537.5</f>
        <v>1537.5</v>
      </c>
      <c r="R217" s="34" t="s">
        <v>49</v>
      </c>
      <c r="S217" s="35" t="n">
        <f>1462.09</f>
        <v>1462.09</v>
      </c>
      <c r="T217" s="32" t="n">
        <f>296020</f>
        <v>296020.0</v>
      </c>
      <c r="U217" s="32" t="str">
        <f>"－"</f>
        <v>－</v>
      </c>
      <c r="V217" s="32" t="n">
        <f>423387970</f>
        <v>4.2338797E8</v>
      </c>
      <c r="W217" s="32" t="str">
        <f>"－"</f>
        <v>－</v>
      </c>
      <c r="X217" s="36" t="n">
        <f>22</f>
        <v>22.0</v>
      </c>
    </row>
    <row r="218">
      <c r="A218" s="27" t="s">
        <v>42</v>
      </c>
      <c r="B218" s="27" t="s">
        <v>710</v>
      </c>
      <c r="C218" s="27" t="s">
        <v>711</v>
      </c>
      <c r="D218" s="27" t="s">
        <v>712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1202.5</f>
        <v>1202.5</v>
      </c>
      <c r="L218" s="34" t="s">
        <v>48</v>
      </c>
      <c r="M218" s="33" t="n">
        <f>1385.5</f>
        <v>1385.5</v>
      </c>
      <c r="N218" s="34" t="s">
        <v>54</v>
      </c>
      <c r="O218" s="33" t="n">
        <f>1165</f>
        <v>1165.0</v>
      </c>
      <c r="P218" s="34" t="s">
        <v>296</v>
      </c>
      <c r="Q218" s="33" t="n">
        <f>1362.5</f>
        <v>1362.5</v>
      </c>
      <c r="R218" s="34" t="s">
        <v>49</v>
      </c>
      <c r="S218" s="35" t="n">
        <f>1262.77</f>
        <v>1262.77</v>
      </c>
      <c r="T218" s="32" t="n">
        <f>542570</f>
        <v>542570.0</v>
      </c>
      <c r="U218" s="32" t="n">
        <f>220190</f>
        <v>220190.0</v>
      </c>
      <c r="V218" s="32" t="n">
        <f>707131626</f>
        <v>7.07131626E8</v>
      </c>
      <c r="W218" s="32" t="n">
        <f>300773711</f>
        <v>3.00773711E8</v>
      </c>
      <c r="X218" s="36" t="n">
        <f>22</f>
        <v>22.0</v>
      </c>
    </row>
    <row r="219">
      <c r="A219" s="27" t="s">
        <v>42</v>
      </c>
      <c r="B219" s="27" t="s">
        <v>713</v>
      </c>
      <c r="C219" s="27" t="s">
        <v>714</v>
      </c>
      <c r="D219" s="27" t="s">
        <v>715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576.2</f>
        <v>576.2</v>
      </c>
      <c r="L219" s="34" t="s">
        <v>48</v>
      </c>
      <c r="M219" s="33" t="n">
        <f>611.9</f>
        <v>611.9</v>
      </c>
      <c r="N219" s="34" t="s">
        <v>95</v>
      </c>
      <c r="O219" s="33" t="n">
        <f>506.6</f>
        <v>506.6</v>
      </c>
      <c r="P219" s="34" t="s">
        <v>96</v>
      </c>
      <c r="Q219" s="33" t="n">
        <f>610.2</f>
        <v>610.2</v>
      </c>
      <c r="R219" s="34" t="s">
        <v>49</v>
      </c>
      <c r="S219" s="35" t="n">
        <f>561.6</f>
        <v>561.6</v>
      </c>
      <c r="T219" s="32" t="n">
        <f>92745480</f>
        <v>9.274548E7</v>
      </c>
      <c r="U219" s="32" t="n">
        <f>291260</f>
        <v>291260.0</v>
      </c>
      <c r="V219" s="32" t="n">
        <f>52231890885</f>
        <v>5.2231890885E10</v>
      </c>
      <c r="W219" s="32" t="n">
        <f>167363465</f>
        <v>1.67363465E8</v>
      </c>
      <c r="X219" s="36" t="n">
        <f>22</f>
        <v>22.0</v>
      </c>
    </row>
    <row r="220">
      <c r="A220" s="27" t="s">
        <v>42</v>
      </c>
      <c r="B220" s="27" t="s">
        <v>716</v>
      </c>
      <c r="C220" s="27" t="s">
        <v>717</v>
      </c>
      <c r="D220" s="27" t="s">
        <v>718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1105</f>
        <v>1105.0</v>
      </c>
      <c r="L220" s="34" t="s">
        <v>48</v>
      </c>
      <c r="M220" s="33" t="n">
        <f>1200</f>
        <v>1200.0</v>
      </c>
      <c r="N220" s="34" t="s">
        <v>54</v>
      </c>
      <c r="O220" s="33" t="n">
        <f>1084.5</f>
        <v>1084.5</v>
      </c>
      <c r="P220" s="34" t="s">
        <v>96</v>
      </c>
      <c r="Q220" s="33" t="n">
        <f>1180</f>
        <v>1180.0</v>
      </c>
      <c r="R220" s="34" t="s">
        <v>49</v>
      </c>
      <c r="S220" s="35" t="n">
        <f>1127.7</f>
        <v>1127.7</v>
      </c>
      <c r="T220" s="32" t="n">
        <f>22660</f>
        <v>22660.0</v>
      </c>
      <c r="U220" s="32" t="str">
        <f>"－"</f>
        <v>－</v>
      </c>
      <c r="V220" s="32" t="n">
        <f>25391575</f>
        <v>2.5391575E7</v>
      </c>
      <c r="W220" s="32" t="str">
        <f>"－"</f>
        <v>－</v>
      </c>
      <c r="X220" s="36" t="n">
        <f>22</f>
        <v>22.0</v>
      </c>
    </row>
    <row r="221">
      <c r="A221" s="27" t="s">
        <v>42</v>
      </c>
      <c r="B221" s="27" t="s">
        <v>719</v>
      </c>
      <c r="C221" s="27" t="s">
        <v>720</v>
      </c>
      <c r="D221" s="27" t="s">
        <v>721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1072</f>
        <v>1072.0</v>
      </c>
      <c r="L221" s="34" t="s">
        <v>48</v>
      </c>
      <c r="M221" s="33" t="n">
        <f>1145</f>
        <v>1145.0</v>
      </c>
      <c r="N221" s="34" t="s">
        <v>54</v>
      </c>
      <c r="O221" s="33" t="n">
        <f>1017</f>
        <v>1017.0</v>
      </c>
      <c r="P221" s="34" t="s">
        <v>71</v>
      </c>
      <c r="Q221" s="33" t="n">
        <f>1125</f>
        <v>1125.0</v>
      </c>
      <c r="R221" s="34" t="s">
        <v>49</v>
      </c>
      <c r="S221" s="35" t="n">
        <f>1083.32</f>
        <v>1083.32</v>
      </c>
      <c r="T221" s="32" t="n">
        <f>20470</f>
        <v>20470.0</v>
      </c>
      <c r="U221" s="32" t="n">
        <f>4</f>
        <v>4.0</v>
      </c>
      <c r="V221" s="32" t="n">
        <f>22692265</f>
        <v>2.2692265E7</v>
      </c>
      <c r="W221" s="32" t="n">
        <f>4270</f>
        <v>4270.0</v>
      </c>
      <c r="X221" s="36" t="n">
        <f>22</f>
        <v>22.0</v>
      </c>
    </row>
    <row r="222">
      <c r="A222" s="27" t="s">
        <v>42</v>
      </c>
      <c r="B222" s="27" t="s">
        <v>722</v>
      </c>
      <c r="C222" s="27" t="s">
        <v>723</v>
      </c>
      <c r="D222" s="27" t="s">
        <v>724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960.2</f>
        <v>960.2</v>
      </c>
      <c r="L222" s="34" t="s">
        <v>48</v>
      </c>
      <c r="M222" s="33" t="n">
        <f>960.2</f>
        <v>960.2</v>
      </c>
      <c r="N222" s="34" t="s">
        <v>48</v>
      </c>
      <c r="O222" s="33" t="n">
        <f>854.1</f>
        <v>854.1</v>
      </c>
      <c r="P222" s="34" t="s">
        <v>50</v>
      </c>
      <c r="Q222" s="33" t="n">
        <f>926.6</f>
        <v>926.6</v>
      </c>
      <c r="R222" s="34" t="s">
        <v>49</v>
      </c>
      <c r="S222" s="35" t="n">
        <f>902.06</f>
        <v>902.06</v>
      </c>
      <c r="T222" s="32" t="n">
        <f>253450</f>
        <v>253450.0</v>
      </c>
      <c r="U222" s="32" t="n">
        <f>102780</f>
        <v>102780.0</v>
      </c>
      <c r="V222" s="32" t="n">
        <f>231248507</f>
        <v>2.31248507E8</v>
      </c>
      <c r="W222" s="32" t="n">
        <f>96367679</f>
        <v>9.6367679E7</v>
      </c>
      <c r="X222" s="36" t="n">
        <f>22</f>
        <v>22.0</v>
      </c>
    </row>
    <row r="223">
      <c r="A223" s="27" t="s">
        <v>42</v>
      </c>
      <c r="B223" s="27" t="s">
        <v>725</v>
      </c>
      <c r="C223" s="27" t="s">
        <v>726</v>
      </c>
      <c r="D223" s="27" t="s">
        <v>727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1168</f>
        <v>1168.0</v>
      </c>
      <c r="L223" s="34" t="s">
        <v>48</v>
      </c>
      <c r="M223" s="33" t="n">
        <f>1230.5</f>
        <v>1230.5</v>
      </c>
      <c r="N223" s="34" t="s">
        <v>49</v>
      </c>
      <c r="O223" s="33" t="n">
        <f>1027</f>
        <v>1027.0</v>
      </c>
      <c r="P223" s="34" t="s">
        <v>50</v>
      </c>
      <c r="Q223" s="33" t="n">
        <f>1219.5</f>
        <v>1219.5</v>
      </c>
      <c r="R223" s="34" t="s">
        <v>49</v>
      </c>
      <c r="S223" s="35" t="n">
        <f>1146.82</f>
        <v>1146.82</v>
      </c>
      <c r="T223" s="32" t="n">
        <f>238180</f>
        <v>238180.0</v>
      </c>
      <c r="U223" s="32" t="n">
        <f>17060</f>
        <v>17060.0</v>
      </c>
      <c r="V223" s="32" t="n">
        <f>272036347</f>
        <v>2.72036347E8</v>
      </c>
      <c r="W223" s="32" t="n">
        <f>20744377</f>
        <v>2.0744377E7</v>
      </c>
      <c r="X223" s="36" t="n">
        <f>22</f>
        <v>22.0</v>
      </c>
    </row>
    <row r="224">
      <c r="A224" s="27" t="s">
        <v>42</v>
      </c>
      <c r="B224" s="27" t="s">
        <v>728</v>
      </c>
      <c r="C224" s="27" t="s">
        <v>729</v>
      </c>
      <c r="D224" s="27" t="s">
        <v>730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1526.5</f>
        <v>1526.5</v>
      </c>
      <c r="L224" s="34" t="s">
        <v>48</v>
      </c>
      <c r="M224" s="33" t="n">
        <f>1618.5</f>
        <v>1618.5</v>
      </c>
      <c r="N224" s="34" t="s">
        <v>54</v>
      </c>
      <c r="O224" s="33" t="n">
        <f>1450</f>
        <v>1450.0</v>
      </c>
      <c r="P224" s="34" t="s">
        <v>96</v>
      </c>
      <c r="Q224" s="33" t="n">
        <f>1609.5</f>
        <v>1609.5</v>
      </c>
      <c r="R224" s="34" t="s">
        <v>49</v>
      </c>
      <c r="S224" s="35" t="n">
        <f>1525.07</f>
        <v>1525.07</v>
      </c>
      <c r="T224" s="32" t="n">
        <f>14997950</f>
        <v>1.499795E7</v>
      </c>
      <c r="U224" s="32" t="n">
        <f>7310410</f>
        <v>7310410.0</v>
      </c>
      <c r="V224" s="32" t="n">
        <f>22563292902</f>
        <v>2.2563292902E10</v>
      </c>
      <c r="W224" s="32" t="n">
        <f>10950094497</f>
        <v>1.0950094497E10</v>
      </c>
      <c r="X224" s="36" t="n">
        <f>22</f>
        <v>22.0</v>
      </c>
    </row>
    <row r="225">
      <c r="A225" s="27" t="s">
        <v>42</v>
      </c>
      <c r="B225" s="27" t="s">
        <v>731</v>
      </c>
      <c r="C225" s="27" t="s">
        <v>732</v>
      </c>
      <c r="D225" s="27" t="s">
        <v>733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3665</f>
        <v>3665.0</v>
      </c>
      <c r="L225" s="34" t="s">
        <v>48</v>
      </c>
      <c r="M225" s="33" t="n">
        <f>4005</f>
        <v>4005.0</v>
      </c>
      <c r="N225" s="34" t="s">
        <v>54</v>
      </c>
      <c r="O225" s="33" t="n">
        <f>3300</f>
        <v>3300.0</v>
      </c>
      <c r="P225" s="34" t="s">
        <v>66</v>
      </c>
      <c r="Q225" s="33" t="n">
        <f>3905</f>
        <v>3905.0</v>
      </c>
      <c r="R225" s="34" t="s">
        <v>49</v>
      </c>
      <c r="S225" s="35" t="n">
        <f>3626.36</f>
        <v>3626.36</v>
      </c>
      <c r="T225" s="32" t="n">
        <f>180086</f>
        <v>180086.0</v>
      </c>
      <c r="U225" s="32" t="n">
        <f>88000</f>
        <v>88000.0</v>
      </c>
      <c r="V225" s="32" t="n">
        <f>643722017</f>
        <v>6.43722017E8</v>
      </c>
      <c r="W225" s="32" t="n">
        <f>309486502</f>
        <v>3.09486502E8</v>
      </c>
      <c r="X225" s="36" t="n">
        <f>22</f>
        <v>22.0</v>
      </c>
    </row>
    <row r="226">
      <c r="A226" s="27" t="s">
        <v>42</v>
      </c>
      <c r="B226" s="27" t="s">
        <v>734</v>
      </c>
      <c r="C226" s="27" t="s">
        <v>735</v>
      </c>
      <c r="D226" s="27" t="s">
        <v>736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1563.5</f>
        <v>1563.5</v>
      </c>
      <c r="L226" s="34" t="s">
        <v>48</v>
      </c>
      <c r="M226" s="33" t="n">
        <f>1663</f>
        <v>1663.0</v>
      </c>
      <c r="N226" s="34" t="s">
        <v>78</v>
      </c>
      <c r="O226" s="33" t="n">
        <f>1500</f>
        <v>1500.0</v>
      </c>
      <c r="P226" s="34" t="s">
        <v>50</v>
      </c>
      <c r="Q226" s="33" t="n">
        <f>1628.5</f>
        <v>1628.5</v>
      </c>
      <c r="R226" s="34" t="s">
        <v>49</v>
      </c>
      <c r="S226" s="35" t="n">
        <f>1581.18</f>
        <v>1581.18</v>
      </c>
      <c r="T226" s="32" t="n">
        <f>12080</f>
        <v>12080.0</v>
      </c>
      <c r="U226" s="32" t="n">
        <f>40</f>
        <v>40.0</v>
      </c>
      <c r="V226" s="32" t="n">
        <f>18939670</f>
        <v>1.893967E7</v>
      </c>
      <c r="W226" s="32" t="n">
        <f>59360</f>
        <v>59360.0</v>
      </c>
      <c r="X226" s="36" t="n">
        <f>22</f>
        <v>22.0</v>
      </c>
    </row>
    <row r="227">
      <c r="A227" s="27" t="s">
        <v>42</v>
      </c>
      <c r="B227" s="27" t="s">
        <v>737</v>
      </c>
      <c r="C227" s="27" t="s">
        <v>738</v>
      </c>
      <c r="D227" s="27" t="s">
        <v>739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1927.5</f>
        <v>1927.5</v>
      </c>
      <c r="L227" s="34" t="s">
        <v>48</v>
      </c>
      <c r="M227" s="33" t="n">
        <f>2061.5</f>
        <v>2061.5</v>
      </c>
      <c r="N227" s="34" t="s">
        <v>54</v>
      </c>
      <c r="O227" s="33" t="n">
        <f>1779.5</f>
        <v>1779.5</v>
      </c>
      <c r="P227" s="34" t="s">
        <v>66</v>
      </c>
      <c r="Q227" s="33" t="n">
        <f>1995.5</f>
        <v>1995.5</v>
      </c>
      <c r="R227" s="34" t="s">
        <v>49</v>
      </c>
      <c r="S227" s="35" t="n">
        <f>1917.26</f>
        <v>1917.26</v>
      </c>
      <c r="T227" s="32" t="n">
        <f>1019510</f>
        <v>1019510.0</v>
      </c>
      <c r="U227" s="32" t="n">
        <f>100000</f>
        <v>100000.0</v>
      </c>
      <c r="V227" s="32" t="n">
        <f>1879006885</f>
        <v>1.879006885E9</v>
      </c>
      <c r="W227" s="32" t="n">
        <f>182093000</f>
        <v>1.82093E8</v>
      </c>
      <c r="X227" s="36" t="n">
        <f>19</f>
        <v>19.0</v>
      </c>
    </row>
    <row r="228">
      <c r="A228" s="27" t="s">
        <v>42</v>
      </c>
      <c r="B228" s="27" t="s">
        <v>740</v>
      </c>
      <c r="C228" s="27" t="s">
        <v>741</v>
      </c>
      <c r="D228" s="27" t="s">
        <v>742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27200</f>
        <v>27200.0</v>
      </c>
      <c r="L228" s="34" t="s">
        <v>48</v>
      </c>
      <c r="M228" s="33" t="n">
        <f>28665</f>
        <v>28665.0</v>
      </c>
      <c r="N228" s="34" t="s">
        <v>54</v>
      </c>
      <c r="O228" s="33" t="n">
        <f>24960</f>
        <v>24960.0</v>
      </c>
      <c r="P228" s="34" t="s">
        <v>66</v>
      </c>
      <c r="Q228" s="33" t="n">
        <f>28340</f>
        <v>28340.0</v>
      </c>
      <c r="R228" s="34" t="s">
        <v>49</v>
      </c>
      <c r="S228" s="35" t="n">
        <f>26826.05</f>
        <v>26826.05</v>
      </c>
      <c r="T228" s="32" t="n">
        <f>24673</f>
        <v>24673.0</v>
      </c>
      <c r="U228" s="32" t="str">
        <f>"－"</f>
        <v>－</v>
      </c>
      <c r="V228" s="32" t="n">
        <f>670859055</f>
        <v>6.70859055E8</v>
      </c>
      <c r="W228" s="32" t="str">
        <f>"－"</f>
        <v>－</v>
      </c>
      <c r="X228" s="36" t="n">
        <f>19</f>
        <v>19.0</v>
      </c>
    </row>
    <row r="229">
      <c r="A229" s="27" t="s">
        <v>42</v>
      </c>
      <c r="B229" s="27" t="s">
        <v>743</v>
      </c>
      <c r="C229" s="27" t="s">
        <v>744</v>
      </c>
      <c r="D229" s="27" t="s">
        <v>745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17175</f>
        <v>17175.0</v>
      </c>
      <c r="L229" s="34" t="s">
        <v>48</v>
      </c>
      <c r="M229" s="33" t="n">
        <f>18065</f>
        <v>18065.0</v>
      </c>
      <c r="N229" s="34" t="s">
        <v>78</v>
      </c>
      <c r="O229" s="33" t="n">
        <f>16000</f>
        <v>16000.0</v>
      </c>
      <c r="P229" s="34" t="s">
        <v>66</v>
      </c>
      <c r="Q229" s="33" t="n">
        <f>17955</f>
        <v>17955.0</v>
      </c>
      <c r="R229" s="34" t="s">
        <v>49</v>
      </c>
      <c r="S229" s="35" t="n">
        <f>17102.67</f>
        <v>17102.67</v>
      </c>
      <c r="T229" s="32" t="n">
        <f>4860</f>
        <v>4860.0</v>
      </c>
      <c r="U229" s="32" t="str">
        <f>"－"</f>
        <v>－</v>
      </c>
      <c r="V229" s="32" t="n">
        <f>84035165</f>
        <v>8.4035165E7</v>
      </c>
      <c r="W229" s="32" t="str">
        <f>"－"</f>
        <v>－</v>
      </c>
      <c r="X229" s="36" t="n">
        <f>15</f>
        <v>15.0</v>
      </c>
    </row>
    <row r="230">
      <c r="A230" s="27" t="s">
        <v>42</v>
      </c>
      <c r="B230" s="27" t="s">
        <v>746</v>
      </c>
      <c r="C230" s="27" t="s">
        <v>747</v>
      </c>
      <c r="D230" s="27" t="s">
        <v>748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1112.5</f>
        <v>1112.5</v>
      </c>
      <c r="L230" s="34" t="s">
        <v>48</v>
      </c>
      <c r="M230" s="33" t="n">
        <f>1202.5</f>
        <v>1202.5</v>
      </c>
      <c r="N230" s="34" t="s">
        <v>54</v>
      </c>
      <c r="O230" s="33" t="n">
        <f>1106.5</f>
        <v>1106.5</v>
      </c>
      <c r="P230" s="34" t="s">
        <v>71</v>
      </c>
      <c r="Q230" s="33" t="n">
        <f>1184.5</f>
        <v>1184.5</v>
      </c>
      <c r="R230" s="34" t="s">
        <v>49</v>
      </c>
      <c r="S230" s="35" t="n">
        <f>1144</f>
        <v>1144.0</v>
      </c>
      <c r="T230" s="32" t="n">
        <f>495990</f>
        <v>495990.0</v>
      </c>
      <c r="U230" s="32" t="n">
        <f>150130</f>
        <v>150130.0</v>
      </c>
      <c r="V230" s="32" t="n">
        <f>580964919</f>
        <v>5.80964919E8</v>
      </c>
      <c r="W230" s="32" t="n">
        <f>172619474</f>
        <v>1.72619474E8</v>
      </c>
      <c r="X230" s="36" t="n">
        <f>12</f>
        <v>12.0</v>
      </c>
    </row>
    <row r="231">
      <c r="A231" s="27" t="s">
        <v>42</v>
      </c>
      <c r="B231" s="27" t="s">
        <v>749</v>
      </c>
      <c r="C231" s="27" t="s">
        <v>750</v>
      </c>
      <c r="D231" s="27" t="s">
        <v>751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1111</f>
        <v>1111.0</v>
      </c>
      <c r="L231" s="34" t="s">
        <v>48</v>
      </c>
      <c r="M231" s="33" t="n">
        <f>1193</f>
        <v>1193.0</v>
      </c>
      <c r="N231" s="34" t="s">
        <v>54</v>
      </c>
      <c r="O231" s="33" t="n">
        <f>1080</f>
        <v>1080.0</v>
      </c>
      <c r="P231" s="34" t="s">
        <v>50</v>
      </c>
      <c r="Q231" s="33" t="n">
        <f>1173</f>
        <v>1173.0</v>
      </c>
      <c r="R231" s="34" t="s">
        <v>49</v>
      </c>
      <c r="S231" s="35" t="n">
        <f>1124.25</f>
        <v>1124.25</v>
      </c>
      <c r="T231" s="32" t="n">
        <f>11560</f>
        <v>11560.0</v>
      </c>
      <c r="U231" s="32" t="str">
        <f>"－"</f>
        <v>－</v>
      </c>
      <c r="V231" s="32" t="n">
        <f>12899750</f>
        <v>1.289975E7</v>
      </c>
      <c r="W231" s="32" t="str">
        <f>"－"</f>
        <v>－</v>
      </c>
      <c r="X231" s="36" t="n">
        <f>22</f>
        <v>22.0</v>
      </c>
    </row>
    <row r="232">
      <c r="A232" s="27" t="s">
        <v>42</v>
      </c>
      <c r="B232" s="27" t="s">
        <v>752</v>
      </c>
      <c r="C232" s="27" t="s">
        <v>753</v>
      </c>
      <c r="D232" s="27" t="s">
        <v>754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1137</f>
        <v>1137.0</v>
      </c>
      <c r="L232" s="34" t="s">
        <v>48</v>
      </c>
      <c r="M232" s="33" t="n">
        <f>1212</f>
        <v>1212.0</v>
      </c>
      <c r="N232" s="34" t="s">
        <v>198</v>
      </c>
      <c r="O232" s="33" t="n">
        <f>1069</f>
        <v>1069.0</v>
      </c>
      <c r="P232" s="34" t="s">
        <v>50</v>
      </c>
      <c r="Q232" s="33" t="n">
        <f>1185</f>
        <v>1185.0</v>
      </c>
      <c r="R232" s="34" t="s">
        <v>49</v>
      </c>
      <c r="S232" s="35" t="n">
        <f>1142.27</f>
        <v>1142.27</v>
      </c>
      <c r="T232" s="32" t="n">
        <f>55380</f>
        <v>55380.0</v>
      </c>
      <c r="U232" s="32" t="n">
        <f>14</f>
        <v>14.0</v>
      </c>
      <c r="V232" s="32" t="n">
        <f>63243725</f>
        <v>6.3243725E7</v>
      </c>
      <c r="W232" s="32" t="n">
        <f>17574</f>
        <v>17574.0</v>
      </c>
      <c r="X232" s="36" t="n">
        <f>22</f>
        <v>22.0</v>
      </c>
    </row>
    <row r="233">
      <c r="A233" s="27" t="s">
        <v>42</v>
      </c>
      <c r="B233" s="27" t="s">
        <v>755</v>
      </c>
      <c r="C233" s="27" t="s">
        <v>756</v>
      </c>
      <c r="D233" s="27" t="s">
        <v>757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14000</f>
        <v>14000.0</v>
      </c>
      <c r="L233" s="34" t="s">
        <v>48</v>
      </c>
      <c r="M233" s="33" t="n">
        <f>14000</f>
        <v>14000.0</v>
      </c>
      <c r="N233" s="34" t="s">
        <v>48</v>
      </c>
      <c r="O233" s="33" t="n">
        <f>12330</f>
        <v>12330.0</v>
      </c>
      <c r="P233" s="34" t="s">
        <v>62</v>
      </c>
      <c r="Q233" s="33" t="n">
        <f>13700</f>
        <v>13700.0</v>
      </c>
      <c r="R233" s="34" t="s">
        <v>49</v>
      </c>
      <c r="S233" s="35" t="n">
        <f>13415.48</f>
        <v>13415.48</v>
      </c>
      <c r="T233" s="32" t="n">
        <f>1395</f>
        <v>1395.0</v>
      </c>
      <c r="U233" s="32" t="n">
        <f>3</f>
        <v>3.0</v>
      </c>
      <c r="V233" s="32" t="n">
        <f>18489375</f>
        <v>1.8489375E7</v>
      </c>
      <c r="W233" s="32" t="n">
        <f>35625</f>
        <v>35625.0</v>
      </c>
      <c r="X233" s="36" t="n">
        <f>21</f>
        <v>21.0</v>
      </c>
    </row>
    <row r="234">
      <c r="A234" s="27" t="s">
        <v>42</v>
      </c>
      <c r="B234" s="27" t="s">
        <v>758</v>
      </c>
      <c r="C234" s="27" t="s">
        <v>759</v>
      </c>
      <c r="D234" s="27" t="s">
        <v>760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2040</f>
        <v>2040.0</v>
      </c>
      <c r="L234" s="34" t="s">
        <v>48</v>
      </c>
      <c r="M234" s="33" t="n">
        <f>2199</f>
        <v>2199.0</v>
      </c>
      <c r="N234" s="34" t="s">
        <v>54</v>
      </c>
      <c r="O234" s="33" t="n">
        <f>1985</f>
        <v>1985.0</v>
      </c>
      <c r="P234" s="34" t="s">
        <v>50</v>
      </c>
      <c r="Q234" s="33" t="n">
        <f>2150</f>
        <v>2150.0</v>
      </c>
      <c r="R234" s="34" t="s">
        <v>49</v>
      </c>
      <c r="S234" s="35" t="n">
        <f>2064.55</f>
        <v>2064.55</v>
      </c>
      <c r="T234" s="32" t="n">
        <f>18031</f>
        <v>18031.0</v>
      </c>
      <c r="U234" s="32" t="str">
        <f>"－"</f>
        <v>－</v>
      </c>
      <c r="V234" s="32" t="n">
        <f>37325466</f>
        <v>3.7325466E7</v>
      </c>
      <c r="W234" s="32" t="str">
        <f>"－"</f>
        <v>－</v>
      </c>
      <c r="X234" s="36" t="n">
        <f>22</f>
        <v>22.0</v>
      </c>
    </row>
    <row r="235">
      <c r="A235" s="27" t="s">
        <v>42</v>
      </c>
      <c r="B235" s="27" t="s">
        <v>761</v>
      </c>
      <c r="C235" s="27" t="s">
        <v>762</v>
      </c>
      <c r="D235" s="27" t="s">
        <v>763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1730</f>
        <v>1730.0</v>
      </c>
      <c r="L235" s="34" t="s">
        <v>48</v>
      </c>
      <c r="M235" s="33" t="n">
        <f>1730</f>
        <v>1730.0</v>
      </c>
      <c r="N235" s="34" t="s">
        <v>48</v>
      </c>
      <c r="O235" s="33" t="n">
        <f>1500</f>
        <v>1500.0</v>
      </c>
      <c r="P235" s="34" t="s">
        <v>395</v>
      </c>
      <c r="Q235" s="33" t="n">
        <f>1621.5</f>
        <v>1621.5</v>
      </c>
      <c r="R235" s="34" t="s">
        <v>49</v>
      </c>
      <c r="S235" s="35" t="n">
        <f>1608.75</f>
        <v>1608.75</v>
      </c>
      <c r="T235" s="32" t="n">
        <f>6780</f>
        <v>6780.0</v>
      </c>
      <c r="U235" s="32" t="str">
        <f>"－"</f>
        <v>－</v>
      </c>
      <c r="V235" s="32" t="n">
        <f>10594855</f>
        <v>1.0594855E7</v>
      </c>
      <c r="W235" s="32" t="str">
        <f>"－"</f>
        <v>－</v>
      </c>
      <c r="X235" s="36" t="n">
        <f>20</f>
        <v>20.0</v>
      </c>
    </row>
    <row r="236">
      <c r="A236" s="27" t="s">
        <v>42</v>
      </c>
      <c r="B236" s="27" t="s">
        <v>764</v>
      </c>
      <c r="C236" s="27" t="s">
        <v>765</v>
      </c>
      <c r="D236" s="27" t="s">
        <v>766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959.7</f>
        <v>959.7</v>
      </c>
      <c r="L236" s="34" t="s">
        <v>48</v>
      </c>
      <c r="M236" s="33" t="n">
        <f>970</f>
        <v>970.0</v>
      </c>
      <c r="N236" s="34" t="s">
        <v>71</v>
      </c>
      <c r="O236" s="33" t="n">
        <f>920.5</f>
        <v>920.5</v>
      </c>
      <c r="P236" s="34" t="s">
        <v>227</v>
      </c>
      <c r="Q236" s="33" t="n">
        <f>931.6</f>
        <v>931.6</v>
      </c>
      <c r="R236" s="34" t="s">
        <v>49</v>
      </c>
      <c r="S236" s="35" t="n">
        <f>939.81</f>
        <v>939.81</v>
      </c>
      <c r="T236" s="32" t="n">
        <f>1389850</f>
        <v>1389850.0</v>
      </c>
      <c r="U236" s="32" t="n">
        <f>838450</f>
        <v>838450.0</v>
      </c>
      <c r="V236" s="32" t="n">
        <f>1296336296</f>
        <v>1.296336296E9</v>
      </c>
      <c r="W236" s="32" t="n">
        <f>782292903</f>
        <v>7.82292903E8</v>
      </c>
      <c r="X236" s="36" t="n">
        <f>22</f>
        <v>22.0</v>
      </c>
    </row>
    <row r="237">
      <c r="A237" s="27" t="s">
        <v>42</v>
      </c>
      <c r="B237" s="27" t="s">
        <v>767</v>
      </c>
      <c r="C237" s="27" t="s">
        <v>768</v>
      </c>
      <c r="D237" s="27" t="s">
        <v>769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1935</f>
        <v>1935.0</v>
      </c>
      <c r="L237" s="34" t="s">
        <v>48</v>
      </c>
      <c r="M237" s="33" t="n">
        <f>2112.5</f>
        <v>2112.5</v>
      </c>
      <c r="N237" s="34" t="s">
        <v>54</v>
      </c>
      <c r="O237" s="33" t="n">
        <f>1899.5</f>
        <v>1899.5</v>
      </c>
      <c r="P237" s="34" t="s">
        <v>50</v>
      </c>
      <c r="Q237" s="33" t="n">
        <f>2045</f>
        <v>2045.0</v>
      </c>
      <c r="R237" s="34" t="s">
        <v>49</v>
      </c>
      <c r="S237" s="35" t="n">
        <f>1972.8</f>
        <v>1972.8</v>
      </c>
      <c r="T237" s="32" t="n">
        <f>12160</f>
        <v>12160.0</v>
      </c>
      <c r="U237" s="32" t="str">
        <f>"－"</f>
        <v>－</v>
      </c>
      <c r="V237" s="32" t="n">
        <f>24194530</f>
        <v>2.419453E7</v>
      </c>
      <c r="W237" s="32" t="str">
        <f>"－"</f>
        <v>－</v>
      </c>
      <c r="X237" s="36" t="n">
        <f>22</f>
        <v>22.0</v>
      </c>
    </row>
    <row r="238">
      <c r="A238" s="27" t="s">
        <v>42</v>
      </c>
      <c r="B238" s="27" t="s">
        <v>770</v>
      </c>
      <c r="C238" s="27" t="s">
        <v>771</v>
      </c>
      <c r="D238" s="27" t="s">
        <v>772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1929</f>
        <v>1929.0</v>
      </c>
      <c r="L238" s="34" t="s">
        <v>48</v>
      </c>
      <c r="M238" s="33" t="n">
        <f>2101</f>
        <v>2101.0</v>
      </c>
      <c r="N238" s="34" t="s">
        <v>54</v>
      </c>
      <c r="O238" s="33" t="n">
        <f>1890</f>
        <v>1890.0</v>
      </c>
      <c r="P238" s="34" t="s">
        <v>50</v>
      </c>
      <c r="Q238" s="33" t="n">
        <f>2063</f>
        <v>2063.0</v>
      </c>
      <c r="R238" s="34" t="s">
        <v>49</v>
      </c>
      <c r="S238" s="35" t="n">
        <f>1970.77</f>
        <v>1970.77</v>
      </c>
      <c r="T238" s="32" t="n">
        <f>133440</f>
        <v>133440.0</v>
      </c>
      <c r="U238" s="32" t="n">
        <f>20020</f>
        <v>20020.0</v>
      </c>
      <c r="V238" s="32" t="n">
        <f>266384160</f>
        <v>2.6638416E8</v>
      </c>
      <c r="W238" s="32" t="n">
        <f>41528635</f>
        <v>4.1528635E7</v>
      </c>
      <c r="X238" s="36" t="n">
        <f>22</f>
        <v>22.0</v>
      </c>
    </row>
    <row r="239">
      <c r="A239" s="27" t="s">
        <v>42</v>
      </c>
      <c r="B239" s="27" t="s">
        <v>773</v>
      </c>
      <c r="C239" s="27" t="s">
        <v>774</v>
      </c>
      <c r="D239" s="27" t="s">
        <v>775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1875</f>
        <v>1875.0</v>
      </c>
      <c r="L239" s="34" t="s">
        <v>61</v>
      </c>
      <c r="M239" s="33" t="n">
        <f>1997.5</f>
        <v>1997.5</v>
      </c>
      <c r="N239" s="34" t="s">
        <v>100</v>
      </c>
      <c r="O239" s="33" t="n">
        <f>1796</f>
        <v>1796.0</v>
      </c>
      <c r="P239" s="34" t="s">
        <v>71</v>
      </c>
      <c r="Q239" s="33" t="n">
        <f>1997.5</f>
        <v>1997.5</v>
      </c>
      <c r="R239" s="34" t="s">
        <v>100</v>
      </c>
      <c r="S239" s="35" t="n">
        <f>1899.2</f>
        <v>1899.2</v>
      </c>
      <c r="T239" s="32" t="n">
        <f>400</f>
        <v>400.0</v>
      </c>
      <c r="U239" s="32" t="str">
        <f>"－"</f>
        <v>－</v>
      </c>
      <c r="V239" s="32" t="n">
        <f>741755</f>
        <v>741755.0</v>
      </c>
      <c r="W239" s="32" t="str">
        <f>"－"</f>
        <v>－</v>
      </c>
      <c r="X239" s="36" t="n">
        <f>10</f>
        <v>10.0</v>
      </c>
    </row>
    <row r="240">
      <c r="A240" s="27" t="s">
        <v>42</v>
      </c>
      <c r="B240" s="27" t="s">
        <v>776</v>
      </c>
      <c r="C240" s="27" t="s">
        <v>777</v>
      </c>
      <c r="D240" s="27" t="s">
        <v>778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14475</f>
        <v>14475.0</v>
      </c>
      <c r="L240" s="34" t="s">
        <v>48</v>
      </c>
      <c r="M240" s="33" t="n">
        <f>16380</f>
        <v>16380.0</v>
      </c>
      <c r="N240" s="34" t="s">
        <v>54</v>
      </c>
      <c r="O240" s="33" t="n">
        <f>13825</f>
        <v>13825.0</v>
      </c>
      <c r="P240" s="34" t="s">
        <v>66</v>
      </c>
      <c r="Q240" s="33" t="n">
        <f>16180</f>
        <v>16180.0</v>
      </c>
      <c r="R240" s="34" t="s">
        <v>49</v>
      </c>
      <c r="S240" s="35" t="n">
        <f>14919.09</f>
        <v>14919.09</v>
      </c>
      <c r="T240" s="32" t="n">
        <f>1166151</f>
        <v>1166151.0</v>
      </c>
      <c r="U240" s="32" t="n">
        <f>4019</f>
        <v>4019.0</v>
      </c>
      <c r="V240" s="32" t="n">
        <f>17453133088</f>
        <v>1.7453133088E10</v>
      </c>
      <c r="W240" s="32" t="n">
        <f>60087913</f>
        <v>6.0087913E7</v>
      </c>
      <c r="X240" s="36" t="n">
        <f>22</f>
        <v>22.0</v>
      </c>
    </row>
    <row r="241">
      <c r="A241" s="27" t="s">
        <v>42</v>
      </c>
      <c r="B241" s="27" t="s">
        <v>779</v>
      </c>
      <c r="C241" s="27" t="s">
        <v>780</v>
      </c>
      <c r="D241" s="27" t="s">
        <v>781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13500</f>
        <v>13500.0</v>
      </c>
      <c r="L241" s="34" t="s">
        <v>48</v>
      </c>
      <c r="M241" s="33" t="n">
        <f>14625</f>
        <v>14625.0</v>
      </c>
      <c r="N241" s="34" t="s">
        <v>54</v>
      </c>
      <c r="O241" s="33" t="n">
        <f>12570</f>
        <v>12570.0</v>
      </c>
      <c r="P241" s="34" t="s">
        <v>66</v>
      </c>
      <c r="Q241" s="33" t="n">
        <f>14450</f>
        <v>14450.0</v>
      </c>
      <c r="R241" s="34" t="s">
        <v>49</v>
      </c>
      <c r="S241" s="35" t="n">
        <f>13514.55</f>
        <v>13514.55</v>
      </c>
      <c r="T241" s="32" t="n">
        <f>237402</f>
        <v>237402.0</v>
      </c>
      <c r="U241" s="32" t="n">
        <f>5</f>
        <v>5.0</v>
      </c>
      <c r="V241" s="32" t="n">
        <f>3198298075</f>
        <v>3.198298075E9</v>
      </c>
      <c r="W241" s="32" t="n">
        <f>65020</f>
        <v>65020.0</v>
      </c>
      <c r="X241" s="36" t="n">
        <f>22</f>
        <v>22.0</v>
      </c>
    </row>
    <row r="242">
      <c r="A242" s="27" t="s">
        <v>42</v>
      </c>
      <c r="B242" s="27" t="s">
        <v>782</v>
      </c>
      <c r="C242" s="27" t="s">
        <v>783</v>
      </c>
      <c r="D242" s="27" t="s">
        <v>784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24800</f>
        <v>24800.0</v>
      </c>
      <c r="L242" s="34" t="s">
        <v>61</v>
      </c>
      <c r="M242" s="33" t="n">
        <f>26560</f>
        <v>26560.0</v>
      </c>
      <c r="N242" s="34" t="s">
        <v>100</v>
      </c>
      <c r="O242" s="33" t="n">
        <f>23500</f>
        <v>23500.0</v>
      </c>
      <c r="P242" s="34" t="s">
        <v>66</v>
      </c>
      <c r="Q242" s="33" t="n">
        <f>26560</f>
        <v>26560.0</v>
      </c>
      <c r="R242" s="34" t="s">
        <v>100</v>
      </c>
      <c r="S242" s="35" t="n">
        <f>25085.77</f>
        <v>25085.77</v>
      </c>
      <c r="T242" s="32" t="n">
        <f>82</f>
        <v>82.0</v>
      </c>
      <c r="U242" s="32" t="str">
        <f>"－"</f>
        <v>－</v>
      </c>
      <c r="V242" s="32" t="n">
        <f>2062180</f>
        <v>2062180.0</v>
      </c>
      <c r="W242" s="32" t="str">
        <f>"－"</f>
        <v>－</v>
      </c>
      <c r="X242" s="36" t="n">
        <f>13</f>
        <v>13.0</v>
      </c>
    </row>
    <row r="243">
      <c r="A243" s="27" t="s">
        <v>42</v>
      </c>
      <c r="B243" s="27" t="s">
        <v>785</v>
      </c>
      <c r="C243" s="27" t="s">
        <v>786</v>
      </c>
      <c r="D243" s="27" t="s">
        <v>787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2652</f>
        <v>2652.0</v>
      </c>
      <c r="L243" s="34" t="s">
        <v>48</v>
      </c>
      <c r="M243" s="33" t="n">
        <f>2673</f>
        <v>2673.0</v>
      </c>
      <c r="N243" s="34" t="s">
        <v>95</v>
      </c>
      <c r="O243" s="33" t="n">
        <f>2598</f>
        <v>2598.0</v>
      </c>
      <c r="P243" s="34" t="s">
        <v>100</v>
      </c>
      <c r="Q243" s="33" t="n">
        <f>2638</f>
        <v>2638.0</v>
      </c>
      <c r="R243" s="34" t="s">
        <v>49</v>
      </c>
      <c r="S243" s="35" t="n">
        <f>2646.05</f>
        <v>2646.05</v>
      </c>
      <c r="T243" s="32" t="n">
        <f>821966</f>
        <v>821966.0</v>
      </c>
      <c r="U243" s="32" t="n">
        <f>67583</f>
        <v>67583.0</v>
      </c>
      <c r="V243" s="32" t="n">
        <f>2167111333</f>
        <v>2.167111333E9</v>
      </c>
      <c r="W243" s="32" t="n">
        <f>178484530</f>
        <v>1.7848453E8</v>
      </c>
      <c r="X243" s="36" t="n">
        <f>22</f>
        <v>22.0</v>
      </c>
    </row>
    <row r="244">
      <c r="A244" s="27" t="s">
        <v>42</v>
      </c>
      <c r="B244" s="27" t="s">
        <v>788</v>
      </c>
      <c r="C244" s="27" t="s">
        <v>789</v>
      </c>
      <c r="D244" s="27" t="s">
        <v>790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2949</f>
        <v>2949.0</v>
      </c>
      <c r="L244" s="34" t="s">
        <v>48</v>
      </c>
      <c r="M244" s="33" t="n">
        <f>3060</f>
        <v>3060.0</v>
      </c>
      <c r="N244" s="34" t="s">
        <v>54</v>
      </c>
      <c r="O244" s="33" t="n">
        <f>2814.5</f>
        <v>2814.5</v>
      </c>
      <c r="P244" s="34" t="s">
        <v>66</v>
      </c>
      <c r="Q244" s="33" t="n">
        <f>3056</f>
        <v>3056.0</v>
      </c>
      <c r="R244" s="34" t="s">
        <v>49</v>
      </c>
      <c r="S244" s="35" t="n">
        <f>2937.25</f>
        <v>2937.25</v>
      </c>
      <c r="T244" s="32" t="n">
        <f>5622410</f>
        <v>5622410.0</v>
      </c>
      <c r="U244" s="32" t="n">
        <f>3348000</f>
        <v>3348000.0</v>
      </c>
      <c r="V244" s="32" t="n">
        <f>16523048426</f>
        <v>1.6523048426E10</v>
      </c>
      <c r="W244" s="32" t="n">
        <f>9851798541</f>
        <v>9.851798541E9</v>
      </c>
      <c r="X244" s="36" t="n">
        <f>22</f>
        <v>22.0</v>
      </c>
    </row>
    <row r="245">
      <c r="A245" s="27" t="s">
        <v>42</v>
      </c>
      <c r="B245" s="27" t="s">
        <v>791</v>
      </c>
      <c r="C245" s="27" t="s">
        <v>792</v>
      </c>
      <c r="D245" s="27" t="s">
        <v>793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284.7</f>
        <v>284.7</v>
      </c>
      <c r="L245" s="34" t="s">
        <v>48</v>
      </c>
      <c r="M245" s="33" t="n">
        <f>302</f>
        <v>302.0</v>
      </c>
      <c r="N245" s="34" t="s">
        <v>54</v>
      </c>
      <c r="O245" s="33" t="n">
        <f>270.7</f>
        <v>270.7</v>
      </c>
      <c r="P245" s="34" t="s">
        <v>96</v>
      </c>
      <c r="Q245" s="33" t="n">
        <f>300.6</f>
        <v>300.6</v>
      </c>
      <c r="R245" s="34" t="s">
        <v>49</v>
      </c>
      <c r="S245" s="35" t="n">
        <f>284.78</f>
        <v>284.78</v>
      </c>
      <c r="T245" s="32" t="n">
        <f>60957370</f>
        <v>6.095737E7</v>
      </c>
      <c r="U245" s="32" t="n">
        <f>12407000</f>
        <v>1.2407E7</v>
      </c>
      <c r="V245" s="32" t="n">
        <f>17274483108</f>
        <v>1.7274483108E10</v>
      </c>
      <c r="W245" s="32" t="n">
        <f>3485676390</f>
        <v>3.48567639E9</v>
      </c>
      <c r="X245" s="36" t="n">
        <f>22</f>
        <v>22.0</v>
      </c>
    </row>
    <row r="246">
      <c r="A246" s="27" t="s">
        <v>42</v>
      </c>
      <c r="B246" s="27" t="s">
        <v>794</v>
      </c>
      <c r="C246" s="27" t="s">
        <v>795</v>
      </c>
      <c r="D246" s="27" t="s">
        <v>796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1999</f>
        <v>1999.0</v>
      </c>
      <c r="L246" s="34" t="s">
        <v>48</v>
      </c>
      <c r="M246" s="33" t="n">
        <f>2063</f>
        <v>2063.0</v>
      </c>
      <c r="N246" s="34" t="s">
        <v>70</v>
      </c>
      <c r="O246" s="33" t="n">
        <f>1890</f>
        <v>1890.0</v>
      </c>
      <c r="P246" s="34" t="s">
        <v>50</v>
      </c>
      <c r="Q246" s="33" t="n">
        <f>2013</f>
        <v>2013.0</v>
      </c>
      <c r="R246" s="34" t="s">
        <v>49</v>
      </c>
      <c r="S246" s="35" t="n">
        <f>1991.36</f>
        <v>1991.36</v>
      </c>
      <c r="T246" s="32" t="n">
        <f>24042</f>
        <v>24042.0</v>
      </c>
      <c r="U246" s="32" t="n">
        <f>2</f>
        <v>2.0</v>
      </c>
      <c r="V246" s="32" t="n">
        <f>48019284</f>
        <v>4.8019284E7</v>
      </c>
      <c r="W246" s="32" t="n">
        <f>3874</f>
        <v>3874.0</v>
      </c>
      <c r="X246" s="36" t="n">
        <f>22</f>
        <v>22.0</v>
      </c>
    </row>
    <row r="247">
      <c r="A247" s="27" t="s">
        <v>42</v>
      </c>
      <c r="B247" s="27" t="s">
        <v>797</v>
      </c>
      <c r="C247" s="27" t="s">
        <v>798</v>
      </c>
      <c r="D247" s="27" t="s">
        <v>799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1085</f>
        <v>1085.0</v>
      </c>
      <c r="L247" s="34" t="s">
        <v>48</v>
      </c>
      <c r="M247" s="33" t="n">
        <f>1189</f>
        <v>1189.0</v>
      </c>
      <c r="N247" s="34" t="s">
        <v>54</v>
      </c>
      <c r="O247" s="33" t="n">
        <f>1074</f>
        <v>1074.0</v>
      </c>
      <c r="P247" s="34" t="s">
        <v>62</v>
      </c>
      <c r="Q247" s="33" t="n">
        <f>1161</f>
        <v>1161.0</v>
      </c>
      <c r="R247" s="34" t="s">
        <v>49</v>
      </c>
      <c r="S247" s="35" t="n">
        <f>1118.36</f>
        <v>1118.36</v>
      </c>
      <c r="T247" s="32" t="n">
        <f>156866</f>
        <v>156866.0</v>
      </c>
      <c r="U247" s="32" t="str">
        <f>"－"</f>
        <v>－</v>
      </c>
      <c r="V247" s="32" t="n">
        <f>175870181</f>
        <v>1.75870181E8</v>
      </c>
      <c r="W247" s="32" t="str">
        <f>"－"</f>
        <v>－</v>
      </c>
      <c r="X247" s="36" t="n">
        <f>22</f>
        <v>22.0</v>
      </c>
    </row>
    <row r="248">
      <c r="A248" s="27" t="s">
        <v>42</v>
      </c>
      <c r="B248" s="27" t="s">
        <v>800</v>
      </c>
      <c r="C248" s="27" t="s">
        <v>801</v>
      </c>
      <c r="D248" s="27" t="s">
        <v>802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1069</f>
        <v>1069.0</v>
      </c>
      <c r="L248" s="34" t="s">
        <v>48</v>
      </c>
      <c r="M248" s="33" t="n">
        <f>1161.5</f>
        <v>1161.5</v>
      </c>
      <c r="N248" s="34" t="s">
        <v>54</v>
      </c>
      <c r="O248" s="33" t="n">
        <f>1050</f>
        <v>1050.0</v>
      </c>
      <c r="P248" s="34" t="s">
        <v>50</v>
      </c>
      <c r="Q248" s="33" t="n">
        <f>1144</f>
        <v>1144.0</v>
      </c>
      <c r="R248" s="34" t="s">
        <v>49</v>
      </c>
      <c r="S248" s="35" t="n">
        <f>1090.84</f>
        <v>1090.84</v>
      </c>
      <c r="T248" s="32" t="n">
        <f>7030</f>
        <v>7030.0</v>
      </c>
      <c r="U248" s="32" t="str">
        <f>"－"</f>
        <v>－</v>
      </c>
      <c r="V248" s="32" t="n">
        <f>7645765</f>
        <v>7645765.0</v>
      </c>
      <c r="W248" s="32" t="str">
        <f>"－"</f>
        <v>－</v>
      </c>
      <c r="X248" s="36" t="n">
        <f>22</f>
        <v>22.0</v>
      </c>
    </row>
    <row r="249">
      <c r="A249" s="27" t="s">
        <v>42</v>
      </c>
      <c r="B249" s="27" t="s">
        <v>803</v>
      </c>
      <c r="C249" s="27" t="s">
        <v>804</v>
      </c>
      <c r="D249" s="27" t="s">
        <v>805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240.8</f>
        <v>240.8</v>
      </c>
      <c r="L249" s="34" t="s">
        <v>48</v>
      </c>
      <c r="M249" s="33" t="n">
        <f>249.4</f>
        <v>249.4</v>
      </c>
      <c r="N249" s="34" t="s">
        <v>49</v>
      </c>
      <c r="O249" s="33" t="n">
        <f>231.7</f>
        <v>231.7</v>
      </c>
      <c r="P249" s="34" t="s">
        <v>95</v>
      </c>
      <c r="Q249" s="33" t="n">
        <f>247</f>
        <v>247.0</v>
      </c>
      <c r="R249" s="34" t="s">
        <v>49</v>
      </c>
      <c r="S249" s="35" t="n">
        <f>242.15</f>
        <v>242.15</v>
      </c>
      <c r="T249" s="32" t="n">
        <f>23690</f>
        <v>23690.0</v>
      </c>
      <c r="U249" s="32" t="str">
        <f>"－"</f>
        <v>－</v>
      </c>
      <c r="V249" s="32" t="n">
        <f>5650349</f>
        <v>5650349.0</v>
      </c>
      <c r="W249" s="32" t="str">
        <f>"－"</f>
        <v>－</v>
      </c>
      <c r="X249" s="36" t="n">
        <f>22</f>
        <v>22.0</v>
      </c>
    </row>
    <row r="250">
      <c r="A250" s="27" t="s">
        <v>42</v>
      </c>
      <c r="B250" s="27" t="s">
        <v>806</v>
      </c>
      <c r="C250" s="27" t="s">
        <v>807</v>
      </c>
      <c r="D250" s="27" t="s">
        <v>808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2827</f>
        <v>2827.0</v>
      </c>
      <c r="L250" s="34" t="s">
        <v>48</v>
      </c>
      <c r="M250" s="33" t="n">
        <f>3224</f>
        <v>3224.0</v>
      </c>
      <c r="N250" s="34" t="s">
        <v>54</v>
      </c>
      <c r="O250" s="33" t="n">
        <f>2625</f>
        <v>2625.0</v>
      </c>
      <c r="P250" s="34" t="s">
        <v>66</v>
      </c>
      <c r="Q250" s="33" t="n">
        <f>3181</f>
        <v>3181.0</v>
      </c>
      <c r="R250" s="34" t="s">
        <v>49</v>
      </c>
      <c r="S250" s="35" t="n">
        <f>2879.82</f>
        <v>2879.82</v>
      </c>
      <c r="T250" s="32" t="n">
        <f>5125310</f>
        <v>5125310.0</v>
      </c>
      <c r="U250" s="32" t="n">
        <f>3610</f>
        <v>3610.0</v>
      </c>
      <c r="V250" s="32" t="n">
        <f>14787423190</f>
        <v>1.478742319E10</v>
      </c>
      <c r="W250" s="32" t="n">
        <f>10722585</f>
        <v>1.0722585E7</v>
      </c>
      <c r="X250" s="36" t="n">
        <f>22</f>
        <v>22.0</v>
      </c>
    </row>
    <row r="251">
      <c r="A251" s="27" t="s">
        <v>42</v>
      </c>
      <c r="B251" s="27" t="s">
        <v>809</v>
      </c>
      <c r="C251" s="27" t="s">
        <v>810</v>
      </c>
      <c r="D251" s="27" t="s">
        <v>811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2565.5</f>
        <v>2565.5</v>
      </c>
      <c r="L251" s="34" t="s">
        <v>48</v>
      </c>
      <c r="M251" s="33" t="n">
        <f>2751.5</f>
        <v>2751.5</v>
      </c>
      <c r="N251" s="34" t="s">
        <v>54</v>
      </c>
      <c r="O251" s="33" t="n">
        <f>2342</f>
        <v>2342.0</v>
      </c>
      <c r="P251" s="34" t="s">
        <v>96</v>
      </c>
      <c r="Q251" s="33" t="n">
        <f>2729.5</f>
        <v>2729.5</v>
      </c>
      <c r="R251" s="34" t="s">
        <v>49</v>
      </c>
      <c r="S251" s="35" t="n">
        <f>2535.05</f>
        <v>2535.05</v>
      </c>
      <c r="T251" s="32" t="n">
        <f>6483680</f>
        <v>6483680.0</v>
      </c>
      <c r="U251" s="32" t="n">
        <f>1200830</f>
        <v>1200830.0</v>
      </c>
      <c r="V251" s="32" t="n">
        <f>16385832182</f>
        <v>1.6385832182E10</v>
      </c>
      <c r="W251" s="32" t="n">
        <f>3083292067</f>
        <v>3.083292067E9</v>
      </c>
      <c r="X251" s="36" t="n">
        <f>22</f>
        <v>22.0</v>
      </c>
    </row>
    <row r="252">
      <c r="A252" s="27" t="s">
        <v>42</v>
      </c>
      <c r="B252" s="27" t="s">
        <v>812</v>
      </c>
      <c r="C252" s="27" t="s">
        <v>813</v>
      </c>
      <c r="D252" s="27" t="s">
        <v>814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2662</f>
        <v>2662.0</v>
      </c>
      <c r="L252" s="34" t="s">
        <v>48</v>
      </c>
      <c r="M252" s="33" t="n">
        <f>2810</f>
        <v>2810.0</v>
      </c>
      <c r="N252" s="34" t="s">
        <v>100</v>
      </c>
      <c r="O252" s="33" t="n">
        <f>2641</f>
        <v>2641.0</v>
      </c>
      <c r="P252" s="34" t="s">
        <v>71</v>
      </c>
      <c r="Q252" s="33" t="n">
        <f>2770</f>
        <v>2770.0</v>
      </c>
      <c r="R252" s="34" t="s">
        <v>49</v>
      </c>
      <c r="S252" s="35" t="n">
        <f>2709.59</f>
        <v>2709.59</v>
      </c>
      <c r="T252" s="32" t="n">
        <f>3401943</f>
        <v>3401943.0</v>
      </c>
      <c r="U252" s="32" t="n">
        <f>2149700</f>
        <v>2149700.0</v>
      </c>
      <c r="V252" s="32" t="n">
        <f>9224975409</f>
        <v>9.224975409E9</v>
      </c>
      <c r="W252" s="32" t="n">
        <f>5829774730</f>
        <v>5.82977473E9</v>
      </c>
      <c r="X252" s="36" t="n">
        <f>22</f>
        <v>22.0</v>
      </c>
    </row>
    <row r="253">
      <c r="A253" s="27" t="s">
        <v>42</v>
      </c>
      <c r="B253" s="27" t="s">
        <v>815</v>
      </c>
      <c r="C253" s="27" t="s">
        <v>816</v>
      </c>
      <c r="D253" s="27" t="s">
        <v>817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2116</f>
        <v>2116.0</v>
      </c>
      <c r="L253" s="34" t="s">
        <v>48</v>
      </c>
      <c r="M253" s="33" t="n">
        <f>2158</f>
        <v>2158.0</v>
      </c>
      <c r="N253" s="34" t="s">
        <v>61</v>
      </c>
      <c r="O253" s="33" t="n">
        <f>1935</f>
        <v>1935.0</v>
      </c>
      <c r="P253" s="34" t="s">
        <v>227</v>
      </c>
      <c r="Q253" s="33" t="n">
        <f>1999</f>
        <v>1999.0</v>
      </c>
      <c r="R253" s="34" t="s">
        <v>49</v>
      </c>
      <c r="S253" s="35" t="n">
        <f>2040.18</f>
        <v>2040.18</v>
      </c>
      <c r="T253" s="32" t="n">
        <f>4784733</f>
        <v>4784733.0</v>
      </c>
      <c r="U253" s="32" t="n">
        <f>1665027</f>
        <v>1665027.0</v>
      </c>
      <c r="V253" s="32" t="n">
        <f>9648143770</f>
        <v>9.64814377E9</v>
      </c>
      <c r="W253" s="32" t="n">
        <f>3320171844</f>
        <v>3.320171844E9</v>
      </c>
      <c r="X253" s="36" t="n">
        <f>22</f>
        <v>22.0</v>
      </c>
    </row>
    <row r="254">
      <c r="A254" s="27" t="s">
        <v>42</v>
      </c>
      <c r="B254" s="27" t="s">
        <v>818</v>
      </c>
      <c r="C254" s="27" t="s">
        <v>819</v>
      </c>
      <c r="D254" s="27" t="s">
        <v>820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2214</f>
        <v>2214.0</v>
      </c>
      <c r="L254" s="34" t="s">
        <v>48</v>
      </c>
      <c r="M254" s="33" t="n">
        <f>2232</f>
        <v>2232.0</v>
      </c>
      <c r="N254" s="34" t="s">
        <v>48</v>
      </c>
      <c r="O254" s="33" t="n">
        <f>2105</f>
        <v>2105.0</v>
      </c>
      <c r="P254" s="34" t="s">
        <v>96</v>
      </c>
      <c r="Q254" s="33" t="n">
        <f>2191</f>
        <v>2191.0</v>
      </c>
      <c r="R254" s="34" t="s">
        <v>49</v>
      </c>
      <c r="S254" s="35" t="n">
        <f>2162.82</f>
        <v>2162.82</v>
      </c>
      <c r="T254" s="32" t="n">
        <f>33709</f>
        <v>33709.0</v>
      </c>
      <c r="U254" s="32" t="str">
        <f>"－"</f>
        <v>－</v>
      </c>
      <c r="V254" s="32" t="n">
        <f>73468853</f>
        <v>7.3468853E7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821</v>
      </c>
      <c r="C255" s="27" t="s">
        <v>822</v>
      </c>
      <c r="D255" s="27" t="s">
        <v>823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2448</f>
        <v>2448.0</v>
      </c>
      <c r="L255" s="34" t="s">
        <v>48</v>
      </c>
      <c r="M255" s="33" t="n">
        <f>2448</f>
        <v>2448.0</v>
      </c>
      <c r="N255" s="34" t="s">
        <v>48</v>
      </c>
      <c r="O255" s="33" t="n">
        <f>2352</f>
        <v>2352.0</v>
      </c>
      <c r="P255" s="34" t="s">
        <v>227</v>
      </c>
      <c r="Q255" s="33" t="n">
        <f>2358</f>
        <v>2358.0</v>
      </c>
      <c r="R255" s="34" t="s">
        <v>49</v>
      </c>
      <c r="S255" s="35" t="n">
        <f>2382.29</f>
        <v>2382.29</v>
      </c>
      <c r="T255" s="32" t="n">
        <f>13135</f>
        <v>13135.0</v>
      </c>
      <c r="U255" s="32" t="str">
        <f>"－"</f>
        <v>－</v>
      </c>
      <c r="V255" s="32" t="n">
        <f>31617303</f>
        <v>3.1617303E7</v>
      </c>
      <c r="W255" s="32" t="str">
        <f>"－"</f>
        <v>－</v>
      </c>
      <c r="X255" s="36" t="n">
        <f>21</f>
        <v>21.0</v>
      </c>
    </row>
    <row r="256">
      <c r="A256" s="27" t="s">
        <v>42</v>
      </c>
      <c r="B256" s="27" t="s">
        <v>824</v>
      </c>
      <c r="C256" s="27" t="s">
        <v>825</v>
      </c>
      <c r="D256" s="27" t="s">
        <v>826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2686</f>
        <v>2686.0</v>
      </c>
      <c r="L256" s="34" t="s">
        <v>48</v>
      </c>
      <c r="M256" s="33" t="n">
        <f>2851</f>
        <v>2851.0</v>
      </c>
      <c r="N256" s="34" t="s">
        <v>54</v>
      </c>
      <c r="O256" s="33" t="n">
        <f>2470</f>
        <v>2470.0</v>
      </c>
      <c r="P256" s="34" t="s">
        <v>50</v>
      </c>
      <c r="Q256" s="33" t="n">
        <f>2806</f>
        <v>2806.0</v>
      </c>
      <c r="R256" s="34" t="s">
        <v>49</v>
      </c>
      <c r="S256" s="35" t="n">
        <f>2661.86</f>
        <v>2661.86</v>
      </c>
      <c r="T256" s="32" t="n">
        <f>469369</f>
        <v>469369.0</v>
      </c>
      <c r="U256" s="32" t="str">
        <f>"－"</f>
        <v>－</v>
      </c>
      <c r="V256" s="32" t="n">
        <f>1223770700</f>
        <v>1.2237707E9</v>
      </c>
      <c r="W256" s="32" t="str">
        <f>"－"</f>
        <v>－</v>
      </c>
      <c r="X256" s="36" t="n">
        <f>22</f>
        <v>22.0</v>
      </c>
    </row>
    <row r="257">
      <c r="A257" s="27" t="s">
        <v>42</v>
      </c>
      <c r="B257" s="27" t="s">
        <v>827</v>
      </c>
      <c r="C257" s="27" t="s">
        <v>828</v>
      </c>
      <c r="D257" s="27" t="s">
        <v>829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1906</f>
        <v>1906.0</v>
      </c>
      <c r="L257" s="34" t="s">
        <v>48</v>
      </c>
      <c r="M257" s="33" t="n">
        <f>2005</f>
        <v>2005.0</v>
      </c>
      <c r="N257" s="34" t="s">
        <v>54</v>
      </c>
      <c r="O257" s="33" t="n">
        <f>1755</f>
        <v>1755.0</v>
      </c>
      <c r="P257" s="34" t="s">
        <v>50</v>
      </c>
      <c r="Q257" s="33" t="n">
        <f>1969</f>
        <v>1969.0</v>
      </c>
      <c r="R257" s="34" t="s">
        <v>49</v>
      </c>
      <c r="S257" s="35" t="n">
        <f>1888.09</f>
        <v>1888.09</v>
      </c>
      <c r="T257" s="32" t="n">
        <f>362080</f>
        <v>362080.0</v>
      </c>
      <c r="U257" s="32" t="n">
        <f>200000</f>
        <v>200000.0</v>
      </c>
      <c r="V257" s="32" t="n">
        <f>656811305</f>
        <v>6.56811305E8</v>
      </c>
      <c r="W257" s="32" t="n">
        <f>359060000</f>
        <v>3.5906E8</v>
      </c>
      <c r="X257" s="36" t="n">
        <f>22</f>
        <v>22.0</v>
      </c>
    </row>
    <row r="258">
      <c r="A258" s="27" t="s">
        <v>42</v>
      </c>
      <c r="B258" s="27" t="s">
        <v>830</v>
      </c>
      <c r="C258" s="27" t="s">
        <v>831</v>
      </c>
      <c r="D258" s="27" t="s">
        <v>832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1878</f>
        <v>1878.0</v>
      </c>
      <c r="L258" s="34" t="s">
        <v>48</v>
      </c>
      <c r="M258" s="33" t="n">
        <f>2032</f>
        <v>2032.0</v>
      </c>
      <c r="N258" s="34" t="s">
        <v>54</v>
      </c>
      <c r="O258" s="33" t="n">
        <f>1786</f>
        <v>1786.0</v>
      </c>
      <c r="P258" s="34" t="s">
        <v>66</v>
      </c>
      <c r="Q258" s="33" t="n">
        <f>1990</f>
        <v>1990.0</v>
      </c>
      <c r="R258" s="34" t="s">
        <v>49</v>
      </c>
      <c r="S258" s="35" t="n">
        <f>1898.14</f>
        <v>1898.14</v>
      </c>
      <c r="T258" s="32" t="n">
        <f>34490</f>
        <v>34490.0</v>
      </c>
      <c r="U258" s="32" t="str">
        <f>"－"</f>
        <v>－</v>
      </c>
      <c r="V258" s="32" t="n">
        <f>65746639</f>
        <v>6.5746639E7</v>
      </c>
      <c r="W258" s="32" t="str">
        <f>"－"</f>
        <v>－</v>
      </c>
      <c r="X258" s="36" t="n">
        <f>22</f>
        <v>22.0</v>
      </c>
    </row>
    <row r="259">
      <c r="A259" s="27" t="s">
        <v>42</v>
      </c>
      <c r="B259" s="27" t="s">
        <v>833</v>
      </c>
      <c r="C259" s="27" t="s">
        <v>834</v>
      </c>
      <c r="D259" s="27" t="s">
        <v>835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1705</f>
        <v>1705.0</v>
      </c>
      <c r="L259" s="34" t="s">
        <v>48</v>
      </c>
      <c r="M259" s="33" t="n">
        <f>1830</f>
        <v>1830.0</v>
      </c>
      <c r="N259" s="34" t="s">
        <v>54</v>
      </c>
      <c r="O259" s="33" t="n">
        <f>1596</f>
        <v>1596.0</v>
      </c>
      <c r="P259" s="34" t="s">
        <v>66</v>
      </c>
      <c r="Q259" s="33" t="n">
        <f>1776</f>
        <v>1776.0</v>
      </c>
      <c r="R259" s="34" t="s">
        <v>49</v>
      </c>
      <c r="S259" s="35" t="n">
        <f>1709.32</f>
        <v>1709.32</v>
      </c>
      <c r="T259" s="32" t="n">
        <f>25547</f>
        <v>25547.0</v>
      </c>
      <c r="U259" s="32" t="str">
        <f>"－"</f>
        <v>－</v>
      </c>
      <c r="V259" s="32" t="n">
        <f>43587615</f>
        <v>4.3587615E7</v>
      </c>
      <c r="W259" s="32" t="str">
        <f>"－"</f>
        <v>－</v>
      </c>
      <c r="X259" s="36" t="n">
        <f>22</f>
        <v>22.0</v>
      </c>
    </row>
    <row r="260">
      <c r="A260" s="27" t="s">
        <v>42</v>
      </c>
      <c r="B260" s="27" t="s">
        <v>836</v>
      </c>
      <c r="C260" s="27" t="s">
        <v>837</v>
      </c>
      <c r="D260" s="27" t="s">
        <v>838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2370</f>
        <v>2370.0</v>
      </c>
      <c r="L260" s="34" t="s">
        <v>48</v>
      </c>
      <c r="M260" s="33" t="n">
        <f>2370</f>
        <v>2370.0</v>
      </c>
      <c r="N260" s="34" t="s">
        <v>48</v>
      </c>
      <c r="O260" s="33" t="n">
        <f>2049</f>
        <v>2049.0</v>
      </c>
      <c r="P260" s="34" t="s">
        <v>50</v>
      </c>
      <c r="Q260" s="33" t="n">
        <f>2142</f>
        <v>2142.0</v>
      </c>
      <c r="R260" s="34" t="s">
        <v>49</v>
      </c>
      <c r="S260" s="35" t="n">
        <f>2176.91</f>
        <v>2176.91</v>
      </c>
      <c r="T260" s="32" t="n">
        <f>33297</f>
        <v>33297.0</v>
      </c>
      <c r="U260" s="32" t="n">
        <f>13</f>
        <v>13.0</v>
      </c>
      <c r="V260" s="32" t="n">
        <f>72228521</f>
        <v>7.2228521E7</v>
      </c>
      <c r="W260" s="32" t="n">
        <f>25389</f>
        <v>25389.0</v>
      </c>
      <c r="X260" s="36" t="n">
        <f>22</f>
        <v>22.0</v>
      </c>
    </row>
    <row r="261">
      <c r="A261" s="27" t="s">
        <v>42</v>
      </c>
      <c r="B261" s="27" t="s">
        <v>839</v>
      </c>
      <c r="C261" s="27" t="s">
        <v>840</v>
      </c>
      <c r="D261" s="27" t="s">
        <v>841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2642</f>
        <v>2642.0</v>
      </c>
      <c r="L261" s="34" t="s">
        <v>48</v>
      </c>
      <c r="M261" s="33" t="n">
        <f>2642</f>
        <v>2642.0</v>
      </c>
      <c r="N261" s="34" t="s">
        <v>48</v>
      </c>
      <c r="O261" s="33" t="n">
        <f>2222</f>
        <v>2222.0</v>
      </c>
      <c r="P261" s="34" t="s">
        <v>96</v>
      </c>
      <c r="Q261" s="33" t="n">
        <f>2500</f>
        <v>2500.0</v>
      </c>
      <c r="R261" s="34" t="s">
        <v>49</v>
      </c>
      <c r="S261" s="35" t="n">
        <f>2449.48</f>
        <v>2449.48</v>
      </c>
      <c r="T261" s="32" t="n">
        <f>14756</f>
        <v>14756.0</v>
      </c>
      <c r="U261" s="32" t="str">
        <f>"－"</f>
        <v>－</v>
      </c>
      <c r="V261" s="32" t="n">
        <f>35723383</f>
        <v>3.5723383E7</v>
      </c>
      <c r="W261" s="32" t="str">
        <f>"－"</f>
        <v>－</v>
      </c>
      <c r="X261" s="36" t="n">
        <f>21</f>
        <v>21.0</v>
      </c>
    </row>
    <row r="262">
      <c r="A262" s="27" t="s">
        <v>42</v>
      </c>
      <c r="B262" s="27" t="s">
        <v>842</v>
      </c>
      <c r="C262" s="27" t="s">
        <v>843</v>
      </c>
      <c r="D262" s="27" t="s">
        <v>844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11340</f>
        <v>11340.0</v>
      </c>
      <c r="L262" s="34" t="s">
        <v>48</v>
      </c>
      <c r="M262" s="33" t="n">
        <f>12015</f>
        <v>12015.0</v>
      </c>
      <c r="N262" s="34" t="s">
        <v>54</v>
      </c>
      <c r="O262" s="33" t="n">
        <f>10770</f>
        <v>10770.0</v>
      </c>
      <c r="P262" s="34" t="s">
        <v>96</v>
      </c>
      <c r="Q262" s="33" t="n">
        <f>11955</f>
        <v>11955.0</v>
      </c>
      <c r="R262" s="34" t="s">
        <v>49</v>
      </c>
      <c r="S262" s="35" t="n">
        <f>11328.18</f>
        <v>11328.18</v>
      </c>
      <c r="T262" s="32" t="n">
        <f>400501</f>
        <v>400501.0</v>
      </c>
      <c r="U262" s="32" t="n">
        <f>93530</f>
        <v>93530.0</v>
      </c>
      <c r="V262" s="32" t="n">
        <f>4485125605</f>
        <v>4.485125605E9</v>
      </c>
      <c r="W262" s="32" t="n">
        <f>1054436290</f>
        <v>1.05443629E9</v>
      </c>
      <c r="X262" s="36" t="n">
        <f>22</f>
        <v>22.0</v>
      </c>
    </row>
    <row r="263">
      <c r="A263" s="27" t="s">
        <v>42</v>
      </c>
      <c r="B263" s="27" t="s">
        <v>845</v>
      </c>
      <c r="C263" s="27" t="s">
        <v>846</v>
      </c>
      <c r="D263" s="27" t="s">
        <v>847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11810</f>
        <v>11810.0</v>
      </c>
      <c r="L263" s="34" t="s">
        <v>48</v>
      </c>
      <c r="M263" s="33" t="n">
        <f>13480</f>
        <v>13480.0</v>
      </c>
      <c r="N263" s="34" t="s">
        <v>54</v>
      </c>
      <c r="O263" s="33" t="n">
        <f>10960</f>
        <v>10960.0</v>
      </c>
      <c r="P263" s="34" t="s">
        <v>66</v>
      </c>
      <c r="Q263" s="33" t="n">
        <f>13290</f>
        <v>13290.0</v>
      </c>
      <c r="R263" s="34" t="s">
        <v>49</v>
      </c>
      <c r="S263" s="35" t="n">
        <f>12028.41</f>
        <v>12028.41</v>
      </c>
      <c r="T263" s="32" t="n">
        <f>831774</f>
        <v>831774.0</v>
      </c>
      <c r="U263" s="32" t="n">
        <f>7</f>
        <v>7.0</v>
      </c>
      <c r="V263" s="32" t="n">
        <f>10121465925</f>
        <v>1.0121465925E10</v>
      </c>
      <c r="W263" s="32" t="n">
        <f>83425</f>
        <v>83425.0</v>
      </c>
      <c r="X263" s="36" t="n">
        <f>22</f>
        <v>22.0</v>
      </c>
    </row>
    <row r="264">
      <c r="A264" s="27" t="s">
        <v>42</v>
      </c>
      <c r="B264" s="27" t="s">
        <v>848</v>
      </c>
      <c r="C264" s="27" t="s">
        <v>849</v>
      </c>
      <c r="D264" s="27" t="s">
        <v>850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10785</f>
        <v>10785.0</v>
      </c>
      <c r="L264" s="34" t="s">
        <v>48</v>
      </c>
      <c r="M264" s="33" t="n">
        <f>11550</f>
        <v>11550.0</v>
      </c>
      <c r="N264" s="34" t="s">
        <v>54</v>
      </c>
      <c r="O264" s="33" t="n">
        <f>9844</f>
        <v>9844.0</v>
      </c>
      <c r="P264" s="34" t="s">
        <v>96</v>
      </c>
      <c r="Q264" s="33" t="n">
        <f>11460</f>
        <v>11460.0</v>
      </c>
      <c r="R264" s="34" t="s">
        <v>49</v>
      </c>
      <c r="S264" s="35" t="n">
        <f>10651.32</f>
        <v>10651.32</v>
      </c>
      <c r="T264" s="32" t="n">
        <f>631040</f>
        <v>631040.0</v>
      </c>
      <c r="U264" s="32" t="n">
        <f>64306</f>
        <v>64306.0</v>
      </c>
      <c r="V264" s="32" t="n">
        <f>6677309628</f>
        <v>6.677309628E9</v>
      </c>
      <c r="W264" s="32" t="n">
        <f>673051894</f>
        <v>6.73051894E8</v>
      </c>
      <c r="X264" s="36" t="n">
        <f>22</f>
        <v>22.0</v>
      </c>
    </row>
    <row r="265">
      <c r="A265" s="27" t="s">
        <v>42</v>
      </c>
      <c r="B265" s="27" t="s">
        <v>851</v>
      </c>
      <c r="C265" s="27" t="s">
        <v>852</v>
      </c>
      <c r="D265" s="27" t="s">
        <v>853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2340</f>
        <v>2340.0</v>
      </c>
      <c r="L265" s="34" t="s">
        <v>48</v>
      </c>
      <c r="M265" s="33" t="n">
        <f>2640.5</f>
        <v>2640.5</v>
      </c>
      <c r="N265" s="34" t="s">
        <v>54</v>
      </c>
      <c r="O265" s="33" t="n">
        <f>2233</f>
        <v>2233.0</v>
      </c>
      <c r="P265" s="34" t="s">
        <v>50</v>
      </c>
      <c r="Q265" s="33" t="n">
        <f>2605</f>
        <v>2605.0</v>
      </c>
      <c r="R265" s="34" t="s">
        <v>49</v>
      </c>
      <c r="S265" s="35" t="n">
        <f>2406.11</f>
        <v>2406.11</v>
      </c>
      <c r="T265" s="32" t="n">
        <f>1771140</f>
        <v>1771140.0</v>
      </c>
      <c r="U265" s="32" t="n">
        <f>17460</f>
        <v>17460.0</v>
      </c>
      <c r="V265" s="32" t="n">
        <f>4268175064</f>
        <v>4.268175064E9</v>
      </c>
      <c r="W265" s="32" t="n">
        <f>40117544</f>
        <v>4.0117544E7</v>
      </c>
      <c r="X265" s="36" t="n">
        <f>22</f>
        <v>22.0</v>
      </c>
    </row>
    <row r="266">
      <c r="A266" s="27" t="s">
        <v>42</v>
      </c>
      <c r="B266" s="27" t="s">
        <v>854</v>
      </c>
      <c r="C266" s="27" t="s">
        <v>855</v>
      </c>
      <c r="D266" s="27" t="s">
        <v>856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2220</f>
        <v>2220.0</v>
      </c>
      <c r="L266" s="34" t="s">
        <v>48</v>
      </c>
      <c r="M266" s="33" t="n">
        <f>2345.5</f>
        <v>2345.5</v>
      </c>
      <c r="N266" s="34" t="s">
        <v>54</v>
      </c>
      <c r="O266" s="33" t="n">
        <f>2101</f>
        <v>2101.0</v>
      </c>
      <c r="P266" s="34" t="s">
        <v>96</v>
      </c>
      <c r="Q266" s="33" t="n">
        <f>2334.5</f>
        <v>2334.5</v>
      </c>
      <c r="R266" s="34" t="s">
        <v>49</v>
      </c>
      <c r="S266" s="35" t="n">
        <f>2213.61</f>
        <v>2213.61</v>
      </c>
      <c r="T266" s="32" t="n">
        <f>4715340</f>
        <v>4715340.0</v>
      </c>
      <c r="U266" s="32" t="n">
        <f>1415260</f>
        <v>1415260.0</v>
      </c>
      <c r="V266" s="32" t="n">
        <f>10306265995</f>
        <v>1.0306265995E10</v>
      </c>
      <c r="W266" s="32" t="n">
        <f>3086598820</f>
        <v>3.08659882E9</v>
      </c>
      <c r="X266" s="36" t="n">
        <f>22</f>
        <v>22.0</v>
      </c>
    </row>
    <row r="267">
      <c r="A267" s="27" t="s">
        <v>42</v>
      </c>
      <c r="B267" s="27" t="s">
        <v>857</v>
      </c>
      <c r="C267" s="27" t="s">
        <v>858</v>
      </c>
      <c r="D267" s="27" t="s">
        <v>859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2407</f>
        <v>2407.0</v>
      </c>
      <c r="L267" s="34" t="s">
        <v>48</v>
      </c>
      <c r="M267" s="33" t="n">
        <f>2713</f>
        <v>2713.0</v>
      </c>
      <c r="N267" s="34" t="s">
        <v>54</v>
      </c>
      <c r="O267" s="33" t="n">
        <f>2289.5</f>
        <v>2289.5</v>
      </c>
      <c r="P267" s="34" t="s">
        <v>50</v>
      </c>
      <c r="Q267" s="33" t="n">
        <f>2683.5</f>
        <v>2683.5</v>
      </c>
      <c r="R267" s="34" t="s">
        <v>49</v>
      </c>
      <c r="S267" s="35" t="n">
        <f>2471.45</f>
        <v>2471.45</v>
      </c>
      <c r="T267" s="32" t="n">
        <f>689030</f>
        <v>689030.0</v>
      </c>
      <c r="U267" s="32" t="n">
        <f>80000</f>
        <v>80000.0</v>
      </c>
      <c r="V267" s="32" t="n">
        <f>1759201435</f>
        <v>1.759201435E9</v>
      </c>
      <c r="W267" s="32" t="n">
        <f>192352000</f>
        <v>1.92352E8</v>
      </c>
      <c r="X267" s="36" t="n">
        <f>22</f>
        <v>22.0</v>
      </c>
    </row>
    <row r="268">
      <c r="A268" s="27" t="s">
        <v>42</v>
      </c>
      <c r="B268" s="27" t="s">
        <v>860</v>
      </c>
      <c r="C268" s="27" t="s">
        <v>861</v>
      </c>
      <c r="D268" s="27" t="s">
        <v>862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2527</f>
        <v>2527.0</v>
      </c>
      <c r="L268" s="34" t="s">
        <v>48</v>
      </c>
      <c r="M268" s="33" t="n">
        <f>2664</f>
        <v>2664.0</v>
      </c>
      <c r="N268" s="34" t="s">
        <v>54</v>
      </c>
      <c r="O268" s="33" t="n">
        <f>2340</f>
        <v>2340.0</v>
      </c>
      <c r="P268" s="34" t="s">
        <v>50</v>
      </c>
      <c r="Q268" s="33" t="n">
        <f>2619</f>
        <v>2619.0</v>
      </c>
      <c r="R268" s="34" t="s">
        <v>49</v>
      </c>
      <c r="S268" s="35" t="n">
        <f>2497.05</f>
        <v>2497.05</v>
      </c>
      <c r="T268" s="32" t="n">
        <f>32646</f>
        <v>32646.0</v>
      </c>
      <c r="U268" s="32" t="str">
        <f>"－"</f>
        <v>－</v>
      </c>
      <c r="V268" s="32" t="n">
        <f>79064523</f>
        <v>7.9064523E7</v>
      </c>
      <c r="W268" s="32" t="str">
        <f>"－"</f>
        <v>－</v>
      </c>
      <c r="X268" s="36" t="n">
        <f>21</f>
        <v>21.0</v>
      </c>
    </row>
    <row r="269">
      <c r="A269" s="27" t="s">
        <v>42</v>
      </c>
      <c r="B269" s="27" t="s">
        <v>863</v>
      </c>
      <c r="C269" s="27" t="s">
        <v>864</v>
      </c>
      <c r="D269" s="27" t="s">
        <v>865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1566</f>
        <v>1566.0</v>
      </c>
      <c r="L269" s="34" t="s">
        <v>48</v>
      </c>
      <c r="M269" s="33" t="n">
        <f>1620</f>
        <v>1620.0</v>
      </c>
      <c r="N269" s="34" t="s">
        <v>78</v>
      </c>
      <c r="O269" s="33" t="n">
        <f>1416</f>
        <v>1416.0</v>
      </c>
      <c r="P269" s="34" t="s">
        <v>66</v>
      </c>
      <c r="Q269" s="33" t="n">
        <f>1589</f>
        <v>1589.0</v>
      </c>
      <c r="R269" s="34" t="s">
        <v>49</v>
      </c>
      <c r="S269" s="35" t="n">
        <f>1529.86</f>
        <v>1529.86</v>
      </c>
      <c r="T269" s="32" t="n">
        <f>285152</f>
        <v>285152.0</v>
      </c>
      <c r="U269" s="32" t="str">
        <f>"－"</f>
        <v>－</v>
      </c>
      <c r="V269" s="32" t="n">
        <f>422281461</f>
        <v>4.22281461E8</v>
      </c>
      <c r="W269" s="32" t="str">
        <f>"－"</f>
        <v>－</v>
      </c>
      <c r="X269" s="36" t="n">
        <f>22</f>
        <v>22.0</v>
      </c>
    </row>
    <row r="270">
      <c r="A270" s="27" t="s">
        <v>42</v>
      </c>
      <c r="B270" s="27" t="s">
        <v>866</v>
      </c>
      <c r="C270" s="27" t="s">
        <v>867</v>
      </c>
      <c r="D270" s="27" t="s">
        <v>868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1938</f>
        <v>1938.0</v>
      </c>
      <c r="L270" s="34" t="s">
        <v>48</v>
      </c>
      <c r="M270" s="33" t="n">
        <f>2020</f>
        <v>2020.0</v>
      </c>
      <c r="N270" s="34" t="s">
        <v>54</v>
      </c>
      <c r="O270" s="33" t="n">
        <f>1711</f>
        <v>1711.0</v>
      </c>
      <c r="P270" s="34" t="s">
        <v>66</v>
      </c>
      <c r="Q270" s="33" t="n">
        <f>1982</f>
        <v>1982.0</v>
      </c>
      <c r="R270" s="34" t="s">
        <v>49</v>
      </c>
      <c r="S270" s="35" t="n">
        <f>1868.41</f>
        <v>1868.41</v>
      </c>
      <c r="T270" s="32" t="n">
        <f>27084</f>
        <v>27084.0</v>
      </c>
      <c r="U270" s="32" t="str">
        <f>"－"</f>
        <v>－</v>
      </c>
      <c r="V270" s="32" t="n">
        <f>49713154</f>
        <v>4.9713154E7</v>
      </c>
      <c r="W270" s="32" t="str">
        <f>"－"</f>
        <v>－</v>
      </c>
      <c r="X270" s="36" t="n">
        <f>22</f>
        <v>22.0</v>
      </c>
    </row>
    <row r="271">
      <c r="A271" s="27" t="s">
        <v>42</v>
      </c>
      <c r="B271" s="27" t="s">
        <v>869</v>
      </c>
      <c r="C271" s="27" t="s">
        <v>870</v>
      </c>
      <c r="D271" s="27" t="s">
        <v>871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1600</f>
        <v>1600.0</v>
      </c>
      <c r="L271" s="34" t="s">
        <v>48</v>
      </c>
      <c r="M271" s="33" t="n">
        <f>1633</f>
        <v>1633.0</v>
      </c>
      <c r="N271" s="34" t="s">
        <v>54</v>
      </c>
      <c r="O271" s="33" t="n">
        <f>1462</f>
        <v>1462.0</v>
      </c>
      <c r="P271" s="34" t="s">
        <v>96</v>
      </c>
      <c r="Q271" s="33" t="n">
        <f>1599</f>
        <v>1599.0</v>
      </c>
      <c r="R271" s="34" t="s">
        <v>49</v>
      </c>
      <c r="S271" s="35" t="n">
        <f>1548.45</f>
        <v>1548.45</v>
      </c>
      <c r="T271" s="32" t="n">
        <f>59105</f>
        <v>59105.0</v>
      </c>
      <c r="U271" s="32" t="str">
        <f>"－"</f>
        <v>－</v>
      </c>
      <c r="V271" s="32" t="n">
        <f>88656762</f>
        <v>8.8656762E7</v>
      </c>
      <c r="W271" s="32" t="str">
        <f>"－"</f>
        <v>－</v>
      </c>
      <c r="X271" s="36" t="n">
        <f>22</f>
        <v>22.0</v>
      </c>
    </row>
    <row r="272">
      <c r="A272" s="27" t="s">
        <v>42</v>
      </c>
      <c r="B272" s="27" t="s">
        <v>872</v>
      </c>
      <c r="C272" s="27" t="s">
        <v>873</v>
      </c>
      <c r="D272" s="27" t="s">
        <v>874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2465</f>
        <v>2465.0</v>
      </c>
      <c r="L272" s="34" t="s">
        <v>48</v>
      </c>
      <c r="M272" s="33" t="n">
        <f>2732</f>
        <v>2732.0</v>
      </c>
      <c r="N272" s="34" t="s">
        <v>54</v>
      </c>
      <c r="O272" s="33" t="n">
        <f>2324</f>
        <v>2324.0</v>
      </c>
      <c r="P272" s="34" t="s">
        <v>66</v>
      </c>
      <c r="Q272" s="33" t="n">
        <f>2644</f>
        <v>2644.0</v>
      </c>
      <c r="R272" s="34" t="s">
        <v>49</v>
      </c>
      <c r="S272" s="35" t="n">
        <f>2526.09</f>
        <v>2526.09</v>
      </c>
      <c r="T272" s="32" t="n">
        <f>103197</f>
        <v>103197.0</v>
      </c>
      <c r="U272" s="32" t="n">
        <f>1</f>
        <v>1.0</v>
      </c>
      <c r="V272" s="32" t="n">
        <f>263910719</f>
        <v>2.63910719E8</v>
      </c>
      <c r="W272" s="32" t="n">
        <f>2648</f>
        <v>2648.0</v>
      </c>
      <c r="X272" s="36" t="n">
        <f>22</f>
        <v>22.0</v>
      </c>
    </row>
    <row r="273">
      <c r="A273" s="27" t="s">
        <v>42</v>
      </c>
      <c r="B273" s="27" t="s">
        <v>875</v>
      </c>
      <c r="C273" s="27" t="s">
        <v>876</v>
      </c>
      <c r="D273" s="27" t="s">
        <v>877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1950</f>
        <v>1950.0</v>
      </c>
      <c r="L273" s="34" t="s">
        <v>48</v>
      </c>
      <c r="M273" s="33" t="n">
        <f>2120</f>
        <v>2120.0</v>
      </c>
      <c r="N273" s="34" t="s">
        <v>54</v>
      </c>
      <c r="O273" s="33" t="n">
        <f>1794</f>
        <v>1794.0</v>
      </c>
      <c r="P273" s="34" t="s">
        <v>143</v>
      </c>
      <c r="Q273" s="33" t="n">
        <f>2095</f>
        <v>2095.0</v>
      </c>
      <c r="R273" s="34" t="s">
        <v>49</v>
      </c>
      <c r="S273" s="35" t="n">
        <f>1961.41</f>
        <v>1961.41</v>
      </c>
      <c r="T273" s="32" t="n">
        <f>167003</f>
        <v>167003.0</v>
      </c>
      <c r="U273" s="32" t="str">
        <f>"－"</f>
        <v>－</v>
      </c>
      <c r="V273" s="32" t="n">
        <f>325212761</f>
        <v>3.25212761E8</v>
      </c>
      <c r="W273" s="32" t="str">
        <f>"－"</f>
        <v>－</v>
      </c>
      <c r="X273" s="36" t="n">
        <f>22</f>
        <v>22.0</v>
      </c>
    </row>
    <row r="274">
      <c r="A274" s="27" t="s">
        <v>42</v>
      </c>
      <c r="B274" s="27" t="s">
        <v>878</v>
      </c>
      <c r="C274" s="27" t="s">
        <v>879</v>
      </c>
      <c r="D274" s="27" t="s">
        <v>880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24500</f>
        <v>24500.0</v>
      </c>
      <c r="L274" s="34" t="s">
        <v>296</v>
      </c>
      <c r="M274" s="33" t="n">
        <f>26325</f>
        <v>26325.0</v>
      </c>
      <c r="N274" s="34" t="s">
        <v>78</v>
      </c>
      <c r="O274" s="33" t="n">
        <f>23320</f>
        <v>23320.0</v>
      </c>
      <c r="P274" s="34" t="s">
        <v>50</v>
      </c>
      <c r="Q274" s="33" t="n">
        <f>26085</f>
        <v>26085.0</v>
      </c>
      <c r="R274" s="34" t="s">
        <v>49</v>
      </c>
      <c r="S274" s="35" t="n">
        <f>24982.5</f>
        <v>24982.5</v>
      </c>
      <c r="T274" s="32" t="n">
        <f>44</f>
        <v>44.0</v>
      </c>
      <c r="U274" s="32" t="str">
        <f>"－"</f>
        <v>－</v>
      </c>
      <c r="V274" s="32" t="n">
        <f>1122095</f>
        <v>1122095.0</v>
      </c>
      <c r="W274" s="32" t="str">
        <f>"－"</f>
        <v>－</v>
      </c>
      <c r="X274" s="36" t="n">
        <f>10</f>
        <v>10.0</v>
      </c>
    </row>
    <row r="275">
      <c r="A275" s="27" t="s">
        <v>42</v>
      </c>
      <c r="B275" s="27" t="s">
        <v>881</v>
      </c>
      <c r="C275" s="27" t="s">
        <v>882</v>
      </c>
      <c r="D275" s="27" t="s">
        <v>883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1990</f>
        <v>1990.0</v>
      </c>
      <c r="L275" s="34" t="s">
        <v>48</v>
      </c>
      <c r="M275" s="33" t="n">
        <f>2110</f>
        <v>2110.0</v>
      </c>
      <c r="N275" s="34" t="s">
        <v>54</v>
      </c>
      <c r="O275" s="33" t="n">
        <f>1842</f>
        <v>1842.0</v>
      </c>
      <c r="P275" s="34" t="s">
        <v>50</v>
      </c>
      <c r="Q275" s="33" t="n">
        <f>2081</f>
        <v>2081.0</v>
      </c>
      <c r="R275" s="34" t="s">
        <v>49</v>
      </c>
      <c r="S275" s="35" t="n">
        <f>1984.05</f>
        <v>1984.05</v>
      </c>
      <c r="T275" s="32" t="n">
        <f>6256</f>
        <v>6256.0</v>
      </c>
      <c r="U275" s="32" t="str">
        <f>"－"</f>
        <v>－</v>
      </c>
      <c r="V275" s="32" t="n">
        <f>12192029</f>
        <v>1.2192029E7</v>
      </c>
      <c r="W275" s="32" t="str">
        <f>"－"</f>
        <v>－</v>
      </c>
      <c r="X275" s="36" t="n">
        <f>22</f>
        <v>22.0</v>
      </c>
    </row>
    <row r="276">
      <c r="A276" s="27" t="s">
        <v>42</v>
      </c>
      <c r="B276" s="27" t="s">
        <v>884</v>
      </c>
      <c r="C276" s="27" t="s">
        <v>885</v>
      </c>
      <c r="D276" s="27" t="s">
        <v>886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2205</f>
        <v>2205.0</v>
      </c>
      <c r="L276" s="34" t="s">
        <v>48</v>
      </c>
      <c r="M276" s="33" t="n">
        <f>2332</f>
        <v>2332.0</v>
      </c>
      <c r="N276" s="34" t="s">
        <v>100</v>
      </c>
      <c r="O276" s="33" t="n">
        <f>1892</f>
        <v>1892.0</v>
      </c>
      <c r="P276" s="34" t="s">
        <v>66</v>
      </c>
      <c r="Q276" s="33" t="n">
        <f>2297</f>
        <v>2297.0</v>
      </c>
      <c r="R276" s="34" t="s">
        <v>49</v>
      </c>
      <c r="S276" s="35" t="n">
        <f>2131.09</f>
        <v>2131.09</v>
      </c>
      <c r="T276" s="32" t="n">
        <f>275030</f>
        <v>275030.0</v>
      </c>
      <c r="U276" s="32" t="n">
        <f>2</f>
        <v>2.0</v>
      </c>
      <c r="V276" s="32" t="n">
        <f>580671789</f>
        <v>5.80671789E8</v>
      </c>
      <c r="W276" s="32" t="n">
        <f>4556</f>
        <v>4556.0</v>
      </c>
      <c r="X276" s="36" t="n">
        <f>22</f>
        <v>22.0</v>
      </c>
    </row>
    <row r="277">
      <c r="A277" s="27" t="s">
        <v>42</v>
      </c>
      <c r="B277" s="27" t="s">
        <v>887</v>
      </c>
      <c r="C277" s="27" t="s">
        <v>888</v>
      </c>
      <c r="D277" s="27" t="s">
        <v>889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1895</f>
        <v>1895.0</v>
      </c>
      <c r="L277" s="34" t="s">
        <v>48</v>
      </c>
      <c r="M277" s="33" t="n">
        <f>2027</f>
        <v>2027.0</v>
      </c>
      <c r="N277" s="34" t="s">
        <v>78</v>
      </c>
      <c r="O277" s="33" t="n">
        <f>1747</f>
        <v>1747.0</v>
      </c>
      <c r="P277" s="34" t="s">
        <v>50</v>
      </c>
      <c r="Q277" s="33" t="n">
        <f>1978</f>
        <v>1978.0</v>
      </c>
      <c r="R277" s="34" t="s">
        <v>49</v>
      </c>
      <c r="S277" s="35" t="n">
        <f>1900</f>
        <v>1900.0</v>
      </c>
      <c r="T277" s="32" t="n">
        <f>23902</f>
        <v>23902.0</v>
      </c>
      <c r="U277" s="32" t="str">
        <f>"－"</f>
        <v>－</v>
      </c>
      <c r="V277" s="32" t="n">
        <f>44564541</f>
        <v>4.4564541E7</v>
      </c>
      <c r="W277" s="32" t="str">
        <f>"－"</f>
        <v>－</v>
      </c>
      <c r="X277" s="36" t="n">
        <f>22</f>
        <v>22.0</v>
      </c>
    </row>
    <row r="278">
      <c r="A278" s="27" t="s">
        <v>42</v>
      </c>
      <c r="B278" s="27" t="s">
        <v>890</v>
      </c>
      <c r="C278" s="27" t="s">
        <v>891</v>
      </c>
      <c r="D278" s="27" t="s">
        <v>892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1454</f>
        <v>1454.0</v>
      </c>
      <c r="L278" s="34" t="s">
        <v>48</v>
      </c>
      <c r="M278" s="33" t="n">
        <f>1580</f>
        <v>1580.0</v>
      </c>
      <c r="N278" s="34" t="s">
        <v>227</v>
      </c>
      <c r="O278" s="33" t="n">
        <f>1380</f>
        <v>1380.0</v>
      </c>
      <c r="P278" s="34" t="s">
        <v>50</v>
      </c>
      <c r="Q278" s="33" t="n">
        <f>1555</f>
        <v>1555.0</v>
      </c>
      <c r="R278" s="34" t="s">
        <v>49</v>
      </c>
      <c r="S278" s="35" t="n">
        <f>1479.45</f>
        <v>1479.45</v>
      </c>
      <c r="T278" s="32" t="n">
        <f>55433</f>
        <v>55433.0</v>
      </c>
      <c r="U278" s="32" t="str">
        <f>"－"</f>
        <v>－</v>
      </c>
      <c r="V278" s="32" t="n">
        <f>81868391</f>
        <v>8.1868391E7</v>
      </c>
      <c r="W278" s="32" t="str">
        <f>"－"</f>
        <v>－</v>
      </c>
      <c r="X278" s="36" t="n">
        <f>22</f>
        <v>22.0</v>
      </c>
    </row>
    <row r="279">
      <c r="A279" s="27" t="s">
        <v>42</v>
      </c>
      <c r="B279" s="27" t="s">
        <v>893</v>
      </c>
      <c r="C279" s="27" t="s">
        <v>894</v>
      </c>
      <c r="D279" s="27" t="s">
        <v>895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4972</f>
        <v>4972.0</v>
      </c>
      <c r="L279" s="34" t="s">
        <v>48</v>
      </c>
      <c r="M279" s="33" t="n">
        <f>5017</f>
        <v>5017.0</v>
      </c>
      <c r="N279" s="34" t="s">
        <v>61</v>
      </c>
      <c r="O279" s="33" t="n">
        <f>4953</f>
        <v>4953.0</v>
      </c>
      <c r="P279" s="34" t="s">
        <v>143</v>
      </c>
      <c r="Q279" s="33" t="n">
        <f>5008</f>
        <v>5008.0</v>
      </c>
      <c r="R279" s="34" t="s">
        <v>227</v>
      </c>
      <c r="S279" s="35" t="n">
        <f>4994.57</f>
        <v>4994.57</v>
      </c>
      <c r="T279" s="32" t="n">
        <f>214700</f>
        <v>214700.0</v>
      </c>
      <c r="U279" s="32" t="n">
        <f>12030</f>
        <v>12030.0</v>
      </c>
      <c r="V279" s="32" t="n">
        <f>1069794593</f>
        <v>1.069794593E9</v>
      </c>
      <c r="W279" s="32" t="n">
        <f>59964283</f>
        <v>5.9964283E7</v>
      </c>
      <c r="X279" s="36" t="n">
        <f>7</f>
        <v>7.0</v>
      </c>
    </row>
    <row r="280">
      <c r="A280" s="27" t="s">
        <v>42</v>
      </c>
      <c r="B280" s="27" t="s">
        <v>896</v>
      </c>
      <c r="C280" s="27" t="s">
        <v>897</v>
      </c>
      <c r="D280" s="27" t="s">
        <v>898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4946</f>
        <v>4946.0</v>
      </c>
      <c r="L280" s="34" t="s">
        <v>61</v>
      </c>
      <c r="M280" s="33" t="n">
        <f>4957</f>
        <v>4957.0</v>
      </c>
      <c r="N280" s="34" t="s">
        <v>71</v>
      </c>
      <c r="O280" s="33" t="n">
        <f>4598</f>
        <v>4598.0</v>
      </c>
      <c r="P280" s="34" t="s">
        <v>227</v>
      </c>
      <c r="Q280" s="33" t="n">
        <f>4612</f>
        <v>4612.0</v>
      </c>
      <c r="R280" s="34" t="s">
        <v>100</v>
      </c>
      <c r="S280" s="35" t="n">
        <f>4774.09</f>
        <v>4774.09</v>
      </c>
      <c r="T280" s="32" t="n">
        <f>872650</f>
        <v>872650.0</v>
      </c>
      <c r="U280" s="32" t="n">
        <f>647240</f>
        <v>647240.0</v>
      </c>
      <c r="V280" s="32" t="n">
        <f>4135911018</f>
        <v>4.135911018E9</v>
      </c>
      <c r="W280" s="32" t="n">
        <f>3046649128</f>
        <v>3.046649128E9</v>
      </c>
      <c r="X280" s="36" t="n">
        <f>11</f>
        <v>11.0</v>
      </c>
    </row>
    <row r="281">
      <c r="A281" s="27" t="s">
        <v>42</v>
      </c>
      <c r="B281" s="27" t="s">
        <v>899</v>
      </c>
      <c r="C281" s="27" t="s">
        <v>900</v>
      </c>
      <c r="D281" s="27" t="s">
        <v>901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792.1</f>
        <v>792.1</v>
      </c>
      <c r="L281" s="34" t="s">
        <v>48</v>
      </c>
      <c r="M281" s="33" t="n">
        <f>796.1</f>
        <v>796.1</v>
      </c>
      <c r="N281" s="34" t="s">
        <v>61</v>
      </c>
      <c r="O281" s="33" t="n">
        <f>762.7</f>
        <v>762.7</v>
      </c>
      <c r="P281" s="34" t="s">
        <v>227</v>
      </c>
      <c r="Q281" s="33" t="n">
        <f>771</f>
        <v>771.0</v>
      </c>
      <c r="R281" s="34" t="s">
        <v>54</v>
      </c>
      <c r="S281" s="35" t="n">
        <f>779.99</f>
        <v>779.99</v>
      </c>
      <c r="T281" s="32" t="n">
        <f>694430</f>
        <v>694430.0</v>
      </c>
      <c r="U281" s="32" t="n">
        <f>392000</f>
        <v>392000.0</v>
      </c>
      <c r="V281" s="32" t="n">
        <f>532413697</f>
        <v>5.32413697E8</v>
      </c>
      <c r="W281" s="32" t="n">
        <f>299684000</f>
        <v>2.99684E8</v>
      </c>
      <c r="X281" s="36" t="n">
        <f>18</f>
        <v>18.0</v>
      </c>
    </row>
    <row r="282">
      <c r="A282" s="27" t="s">
        <v>42</v>
      </c>
      <c r="B282" s="27" t="s">
        <v>902</v>
      </c>
      <c r="C282" s="27" t="s">
        <v>903</v>
      </c>
      <c r="D282" s="27" t="s">
        <v>904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2172</f>
        <v>2172.0</v>
      </c>
      <c r="L282" s="34" t="s">
        <v>48</v>
      </c>
      <c r="M282" s="33" t="n">
        <f>2382</f>
        <v>2382.0</v>
      </c>
      <c r="N282" s="34" t="s">
        <v>54</v>
      </c>
      <c r="O282" s="33" t="n">
        <f>2027</f>
        <v>2027.0</v>
      </c>
      <c r="P282" s="34" t="s">
        <v>71</v>
      </c>
      <c r="Q282" s="33" t="n">
        <f>2341</f>
        <v>2341.0</v>
      </c>
      <c r="R282" s="34" t="s">
        <v>49</v>
      </c>
      <c r="S282" s="35" t="n">
        <f>2208.55</f>
        <v>2208.55</v>
      </c>
      <c r="T282" s="32" t="n">
        <f>34470</f>
        <v>34470.0</v>
      </c>
      <c r="U282" s="32" t="str">
        <f>"－"</f>
        <v>－</v>
      </c>
      <c r="V282" s="32" t="n">
        <f>78776574</f>
        <v>7.8776574E7</v>
      </c>
      <c r="W282" s="32" t="str">
        <f>"－"</f>
        <v>－</v>
      </c>
      <c r="X282" s="36" t="n">
        <f>20</f>
        <v>20.0</v>
      </c>
    </row>
    <row r="283">
      <c r="A283" s="27" t="s">
        <v>42</v>
      </c>
      <c r="B283" s="27" t="s">
        <v>905</v>
      </c>
      <c r="C283" s="27" t="s">
        <v>906</v>
      </c>
      <c r="D283" s="27" t="s">
        <v>907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1860</f>
        <v>1860.0</v>
      </c>
      <c r="L283" s="34" t="s">
        <v>48</v>
      </c>
      <c r="M283" s="33" t="n">
        <f>1947</f>
        <v>1947.0</v>
      </c>
      <c r="N283" s="34" t="s">
        <v>54</v>
      </c>
      <c r="O283" s="33" t="n">
        <f>1711</f>
        <v>1711.0</v>
      </c>
      <c r="P283" s="34" t="s">
        <v>66</v>
      </c>
      <c r="Q283" s="33" t="n">
        <f>1913</f>
        <v>1913.0</v>
      </c>
      <c r="R283" s="34" t="s">
        <v>49</v>
      </c>
      <c r="S283" s="35" t="n">
        <f>1829.67</f>
        <v>1829.67</v>
      </c>
      <c r="T283" s="32" t="n">
        <f>2787</f>
        <v>2787.0</v>
      </c>
      <c r="U283" s="32" t="str">
        <f>"－"</f>
        <v>－</v>
      </c>
      <c r="V283" s="32" t="n">
        <f>4939329</f>
        <v>4939329.0</v>
      </c>
      <c r="W283" s="32" t="str">
        <f>"－"</f>
        <v>－</v>
      </c>
      <c r="X283" s="36" t="n">
        <f>21</f>
        <v>21.0</v>
      </c>
    </row>
    <row r="284">
      <c r="A284" s="27" t="s">
        <v>42</v>
      </c>
      <c r="B284" s="27" t="s">
        <v>908</v>
      </c>
      <c r="C284" s="27" t="s">
        <v>909</v>
      </c>
      <c r="D284" s="27" t="s">
        <v>910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7395</f>
        <v>7395.0</v>
      </c>
      <c r="L284" s="34" t="s">
        <v>48</v>
      </c>
      <c r="M284" s="33" t="n">
        <f>7576</f>
        <v>7576.0</v>
      </c>
      <c r="N284" s="34" t="s">
        <v>100</v>
      </c>
      <c r="O284" s="33" t="n">
        <f>7390</f>
        <v>7390.0</v>
      </c>
      <c r="P284" s="34" t="s">
        <v>143</v>
      </c>
      <c r="Q284" s="33" t="n">
        <f>7519</f>
        <v>7519.0</v>
      </c>
      <c r="R284" s="34" t="s">
        <v>49</v>
      </c>
      <c r="S284" s="35" t="n">
        <f>7454.35</f>
        <v>7454.35</v>
      </c>
      <c r="T284" s="32" t="n">
        <f>119072</f>
        <v>119072.0</v>
      </c>
      <c r="U284" s="32" t="str">
        <f>"－"</f>
        <v>－</v>
      </c>
      <c r="V284" s="32" t="n">
        <f>893135499</f>
        <v>8.93135499E8</v>
      </c>
      <c r="W284" s="32" t="str">
        <f>"－"</f>
        <v>－</v>
      </c>
      <c r="X284" s="36" t="n">
        <f>17</f>
        <v>17.0</v>
      </c>
    </row>
    <row r="285">
      <c r="A285" s="27" t="s">
        <v>42</v>
      </c>
      <c r="B285" s="27" t="s">
        <v>911</v>
      </c>
      <c r="C285" s="27" t="s">
        <v>912</v>
      </c>
      <c r="D285" s="27" t="s">
        <v>913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7277</f>
        <v>7277.0</v>
      </c>
      <c r="L285" s="34" t="s">
        <v>48</v>
      </c>
      <c r="M285" s="33" t="n">
        <f>7388</f>
        <v>7388.0</v>
      </c>
      <c r="N285" s="34" t="s">
        <v>71</v>
      </c>
      <c r="O285" s="33" t="n">
        <f>6849</f>
        <v>6849.0</v>
      </c>
      <c r="P285" s="34" t="s">
        <v>227</v>
      </c>
      <c r="Q285" s="33" t="n">
        <f>6962</f>
        <v>6962.0</v>
      </c>
      <c r="R285" s="34" t="s">
        <v>49</v>
      </c>
      <c r="S285" s="35" t="n">
        <f>7117.25</f>
        <v>7117.25</v>
      </c>
      <c r="T285" s="32" t="n">
        <f>62052</f>
        <v>62052.0</v>
      </c>
      <c r="U285" s="32" t="str">
        <f>"－"</f>
        <v>－</v>
      </c>
      <c r="V285" s="32" t="n">
        <f>445216440</f>
        <v>4.4521644E8</v>
      </c>
      <c r="W285" s="32" t="str">
        <f>"－"</f>
        <v>－</v>
      </c>
      <c r="X285" s="36" t="n">
        <f>16</f>
        <v>16.0</v>
      </c>
    </row>
    <row r="286">
      <c r="A286" s="27" t="s">
        <v>42</v>
      </c>
      <c r="B286" s="27" t="s">
        <v>914</v>
      </c>
      <c r="C286" s="27" t="s">
        <v>915</v>
      </c>
      <c r="D286" s="27" t="s">
        <v>916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15455</f>
        <v>15455.0</v>
      </c>
      <c r="L286" s="34" t="s">
        <v>48</v>
      </c>
      <c r="M286" s="33" t="n">
        <f>17645</f>
        <v>17645.0</v>
      </c>
      <c r="N286" s="34" t="s">
        <v>54</v>
      </c>
      <c r="O286" s="33" t="n">
        <f>14350</f>
        <v>14350.0</v>
      </c>
      <c r="P286" s="34" t="s">
        <v>66</v>
      </c>
      <c r="Q286" s="33" t="n">
        <f>17380</f>
        <v>17380.0</v>
      </c>
      <c r="R286" s="34" t="s">
        <v>49</v>
      </c>
      <c r="S286" s="35" t="n">
        <f>15740.23</f>
        <v>15740.23</v>
      </c>
      <c r="T286" s="32" t="n">
        <f>82023</f>
        <v>82023.0</v>
      </c>
      <c r="U286" s="32" t="str">
        <f>"－"</f>
        <v>－</v>
      </c>
      <c r="V286" s="32" t="n">
        <f>1343791700</f>
        <v>1.3437917E9</v>
      </c>
      <c r="W286" s="32" t="str">
        <f>"－"</f>
        <v>－</v>
      </c>
      <c r="X286" s="36" t="n">
        <f>22</f>
        <v>22.0</v>
      </c>
    </row>
    <row r="287">
      <c r="A287" s="27" t="s">
        <v>42</v>
      </c>
      <c r="B287" s="27" t="s">
        <v>917</v>
      </c>
      <c r="C287" s="27" t="s">
        <v>918</v>
      </c>
      <c r="D287" s="27" t="s">
        <v>919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10120</f>
        <v>10120.0</v>
      </c>
      <c r="L287" s="34" t="s">
        <v>48</v>
      </c>
      <c r="M287" s="33" t="n">
        <f>10850</f>
        <v>10850.0</v>
      </c>
      <c r="N287" s="34" t="s">
        <v>54</v>
      </c>
      <c r="O287" s="33" t="n">
        <f>9250</f>
        <v>9250.0</v>
      </c>
      <c r="P287" s="34" t="s">
        <v>96</v>
      </c>
      <c r="Q287" s="33" t="n">
        <f>10790</f>
        <v>10790.0</v>
      </c>
      <c r="R287" s="34" t="s">
        <v>49</v>
      </c>
      <c r="S287" s="35" t="n">
        <f>10009.64</f>
        <v>10009.64</v>
      </c>
      <c r="T287" s="32" t="n">
        <f>269412</f>
        <v>269412.0</v>
      </c>
      <c r="U287" s="32" t="str">
        <f>"－"</f>
        <v>－</v>
      </c>
      <c r="V287" s="32" t="n">
        <f>2643158073</f>
        <v>2.643158073E9</v>
      </c>
      <c r="W287" s="32" t="str">
        <f>"－"</f>
        <v>－</v>
      </c>
      <c r="X287" s="36" t="n">
        <f>22</f>
        <v>22.0</v>
      </c>
    </row>
    <row r="288">
      <c r="A288" s="27" t="s">
        <v>42</v>
      </c>
      <c r="B288" s="27" t="s">
        <v>920</v>
      </c>
      <c r="C288" s="27" t="s">
        <v>921</v>
      </c>
      <c r="D288" s="27" t="s">
        <v>922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27715</f>
        <v>27715.0</v>
      </c>
      <c r="L288" s="34" t="s">
        <v>48</v>
      </c>
      <c r="M288" s="33" t="n">
        <f>30170</f>
        <v>30170.0</v>
      </c>
      <c r="N288" s="34" t="s">
        <v>96</v>
      </c>
      <c r="O288" s="33" t="n">
        <f>25665</f>
        <v>25665.0</v>
      </c>
      <c r="P288" s="34" t="s">
        <v>54</v>
      </c>
      <c r="Q288" s="33" t="n">
        <f>25880</f>
        <v>25880.0</v>
      </c>
      <c r="R288" s="34" t="s">
        <v>49</v>
      </c>
      <c r="S288" s="35" t="n">
        <f>27987.5</f>
        <v>27987.5</v>
      </c>
      <c r="T288" s="32" t="n">
        <f>137239</f>
        <v>137239.0</v>
      </c>
      <c r="U288" s="32" t="n">
        <f>1</f>
        <v>1.0</v>
      </c>
      <c r="V288" s="32" t="n">
        <f>3868912970</f>
        <v>3.86891297E9</v>
      </c>
      <c r="W288" s="32" t="n">
        <f>27405</f>
        <v>27405.0</v>
      </c>
      <c r="X288" s="36" t="n">
        <f>22</f>
        <v>22.0</v>
      </c>
    </row>
    <row r="289">
      <c r="A289" s="27" t="s">
        <v>42</v>
      </c>
      <c r="B289" s="27" t="s">
        <v>923</v>
      </c>
      <c r="C289" s="27" t="s">
        <v>924</v>
      </c>
      <c r="D289" s="27" t="s">
        <v>925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5001</f>
        <v>5001.0</v>
      </c>
      <c r="L289" s="34" t="s">
        <v>48</v>
      </c>
      <c r="M289" s="33" t="n">
        <f>5616</f>
        <v>5616.0</v>
      </c>
      <c r="N289" s="34" t="s">
        <v>95</v>
      </c>
      <c r="O289" s="33" t="n">
        <f>4700</f>
        <v>4700.0</v>
      </c>
      <c r="P289" s="34" t="s">
        <v>227</v>
      </c>
      <c r="Q289" s="33" t="n">
        <f>4722</f>
        <v>4722.0</v>
      </c>
      <c r="R289" s="34" t="s">
        <v>49</v>
      </c>
      <c r="S289" s="35" t="n">
        <f>4878.88</f>
        <v>4878.88</v>
      </c>
      <c r="T289" s="32" t="n">
        <f>118760</f>
        <v>118760.0</v>
      </c>
      <c r="U289" s="32" t="str">
        <f>"－"</f>
        <v>－</v>
      </c>
      <c r="V289" s="32" t="n">
        <f>571640630</f>
        <v>5.7164063E8</v>
      </c>
      <c r="W289" s="32" t="str">
        <f>"－"</f>
        <v>－</v>
      </c>
      <c r="X289" s="36" t="n">
        <f>16</f>
        <v>16.0</v>
      </c>
    </row>
    <row r="290">
      <c r="A290" s="27" t="s">
        <v>42</v>
      </c>
      <c r="B290" s="27" t="s">
        <v>926</v>
      </c>
      <c r="C290" s="27" t="s">
        <v>927</v>
      </c>
      <c r="D290" s="27" t="s">
        <v>928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5100</f>
        <v>5100.0</v>
      </c>
      <c r="L290" s="34" t="s">
        <v>95</v>
      </c>
      <c r="M290" s="33" t="n">
        <f>6128</f>
        <v>6128.0</v>
      </c>
      <c r="N290" s="34" t="s">
        <v>71</v>
      </c>
      <c r="O290" s="33" t="n">
        <f>4983</f>
        <v>4983.0</v>
      </c>
      <c r="P290" s="34" t="s">
        <v>96</v>
      </c>
      <c r="Q290" s="33" t="n">
        <f>5250</f>
        <v>5250.0</v>
      </c>
      <c r="R290" s="34" t="s">
        <v>49</v>
      </c>
      <c r="S290" s="35" t="n">
        <f>5148.78</f>
        <v>5148.78</v>
      </c>
      <c r="T290" s="32" t="n">
        <f>118850</f>
        <v>118850.0</v>
      </c>
      <c r="U290" s="32" t="str">
        <f>"－"</f>
        <v>－</v>
      </c>
      <c r="V290" s="32" t="n">
        <f>612174520</f>
        <v>6.1217452E8</v>
      </c>
      <c r="W290" s="32" t="str">
        <f>"－"</f>
        <v>－</v>
      </c>
      <c r="X290" s="36" t="n">
        <f>18</f>
        <v>18.0</v>
      </c>
    </row>
    <row r="291">
      <c r="A291" s="27" t="s">
        <v>42</v>
      </c>
      <c r="B291" s="27" t="s">
        <v>929</v>
      </c>
      <c r="C291" s="27" t="s">
        <v>930</v>
      </c>
      <c r="D291" s="27" t="s">
        <v>931</v>
      </c>
      <c r="E291" s="28" t="s">
        <v>692</v>
      </c>
      <c r="F291" s="29" t="s">
        <v>693</v>
      </c>
      <c r="G291" s="30" t="s">
        <v>932</v>
      </c>
      <c r="H291" s="31"/>
      <c r="I291" s="31" t="s">
        <v>47</v>
      </c>
      <c r="J291" s="32" t="n">
        <v>10.0</v>
      </c>
      <c r="K291" s="33" t="n">
        <f>2200</f>
        <v>2200.0</v>
      </c>
      <c r="L291" s="34" t="s">
        <v>238</v>
      </c>
      <c r="M291" s="33" t="n">
        <f>2260</f>
        <v>2260.0</v>
      </c>
      <c r="N291" s="34" t="s">
        <v>54</v>
      </c>
      <c r="O291" s="33" t="n">
        <f>2068</f>
        <v>2068.0</v>
      </c>
      <c r="P291" s="34" t="s">
        <v>238</v>
      </c>
      <c r="Q291" s="33" t="n">
        <f>2244</f>
        <v>2244.0</v>
      </c>
      <c r="R291" s="34" t="s">
        <v>49</v>
      </c>
      <c r="S291" s="35" t="n">
        <f>2177.22</f>
        <v>2177.22</v>
      </c>
      <c r="T291" s="32" t="n">
        <f>190630</f>
        <v>190630.0</v>
      </c>
      <c r="U291" s="32" t="str">
        <f>"－"</f>
        <v>－</v>
      </c>
      <c r="V291" s="32" t="n">
        <f>395703455</f>
        <v>3.95703455E8</v>
      </c>
      <c r="W291" s="32" t="str">
        <f>"－"</f>
        <v>－</v>
      </c>
      <c r="X291" s="36" t="n">
        <f>9</f>
        <v>9.0</v>
      </c>
    </row>
    <row r="292">
      <c r="A292" s="27" t="s">
        <v>42</v>
      </c>
      <c r="B292" s="27" t="s">
        <v>933</v>
      </c>
      <c r="C292" s="27" t="s">
        <v>934</v>
      </c>
      <c r="D292" s="27" t="s">
        <v>935</v>
      </c>
      <c r="E292" s="28" t="s">
        <v>692</v>
      </c>
      <c r="F292" s="29" t="s">
        <v>693</v>
      </c>
      <c r="G292" s="30" t="s">
        <v>932</v>
      </c>
      <c r="H292" s="31"/>
      <c r="I292" s="31" t="s">
        <v>47</v>
      </c>
      <c r="J292" s="32" t="n">
        <v>10.0</v>
      </c>
      <c r="K292" s="33" t="n">
        <f>2100</f>
        <v>2100.0</v>
      </c>
      <c r="L292" s="34" t="s">
        <v>238</v>
      </c>
      <c r="M292" s="33" t="n">
        <f>2104</f>
        <v>2104.0</v>
      </c>
      <c r="N292" s="34" t="s">
        <v>227</v>
      </c>
      <c r="O292" s="33" t="n">
        <f>2024.5</f>
        <v>2024.5</v>
      </c>
      <c r="P292" s="34" t="s">
        <v>238</v>
      </c>
      <c r="Q292" s="33" t="n">
        <f>2085</f>
        <v>2085.0</v>
      </c>
      <c r="R292" s="34" t="s">
        <v>49</v>
      </c>
      <c r="S292" s="35" t="n">
        <f>2055.94</f>
        <v>2055.94</v>
      </c>
      <c r="T292" s="32" t="n">
        <f>1960</f>
        <v>1960.0</v>
      </c>
      <c r="U292" s="32" t="str">
        <f>"－"</f>
        <v>－</v>
      </c>
      <c r="V292" s="32" t="n">
        <f>4021675</f>
        <v>4021675.0</v>
      </c>
      <c r="W292" s="32" t="str">
        <f>"－"</f>
        <v>－</v>
      </c>
      <c r="X292" s="36" t="n">
        <f>9</f>
        <v>9.0</v>
      </c>
    </row>
    <row r="293">
      <c r="A293" s="27" t="s">
        <v>42</v>
      </c>
      <c r="B293" s="27" t="s">
        <v>936</v>
      </c>
      <c r="C293" s="27" t="s">
        <v>937</v>
      </c>
      <c r="D293" s="27" t="s">
        <v>938</v>
      </c>
      <c r="E293" s="28" t="s">
        <v>692</v>
      </c>
      <c r="F293" s="29" t="s">
        <v>693</v>
      </c>
      <c r="G293" s="30" t="s">
        <v>939</v>
      </c>
      <c r="H293" s="31"/>
      <c r="I293" s="31" t="s">
        <v>47</v>
      </c>
      <c r="J293" s="32" t="n">
        <v>1.0</v>
      </c>
      <c r="K293" s="33" t="n">
        <f>1544</f>
        <v>1544.0</v>
      </c>
      <c r="L293" s="34" t="s">
        <v>198</v>
      </c>
      <c r="M293" s="33" t="n">
        <f>1584</f>
        <v>1584.0</v>
      </c>
      <c r="N293" s="34" t="s">
        <v>54</v>
      </c>
      <c r="O293" s="33" t="n">
        <f>1544</f>
        <v>1544.0</v>
      </c>
      <c r="P293" s="34" t="s">
        <v>198</v>
      </c>
      <c r="Q293" s="33" t="n">
        <f>1555</f>
        <v>1555.0</v>
      </c>
      <c r="R293" s="34" t="s">
        <v>49</v>
      </c>
      <c r="S293" s="35" t="n">
        <f>1563.83</f>
        <v>1563.83</v>
      </c>
      <c r="T293" s="32" t="n">
        <f>2186</f>
        <v>2186.0</v>
      </c>
      <c r="U293" s="32" t="str">
        <f>"－"</f>
        <v>－</v>
      </c>
      <c r="V293" s="32" t="n">
        <f>3422110</f>
        <v>3422110.0</v>
      </c>
      <c r="W293" s="32" t="str">
        <f>"－"</f>
        <v>－</v>
      </c>
      <c r="X293" s="36" t="n">
        <f>6</f>
        <v>6.0</v>
      </c>
    </row>
    <row r="294">
      <c r="A294" s="27" t="s">
        <v>42</v>
      </c>
      <c r="B294" s="27" t="s">
        <v>940</v>
      </c>
      <c r="C294" s="27" t="s">
        <v>941</v>
      </c>
      <c r="D294" s="27" t="s">
        <v>942</v>
      </c>
      <c r="E294" s="28" t="s">
        <v>692</v>
      </c>
      <c r="F294" s="29" t="s">
        <v>693</v>
      </c>
      <c r="G294" s="30" t="s">
        <v>939</v>
      </c>
      <c r="H294" s="31"/>
      <c r="I294" s="31" t="s">
        <v>47</v>
      </c>
      <c r="J294" s="32" t="n">
        <v>1.0</v>
      </c>
      <c r="K294" s="33" t="n">
        <f>1564</f>
        <v>1564.0</v>
      </c>
      <c r="L294" s="34" t="s">
        <v>198</v>
      </c>
      <c r="M294" s="33" t="n">
        <f>1601</f>
        <v>1601.0</v>
      </c>
      <c r="N294" s="34" t="s">
        <v>78</v>
      </c>
      <c r="O294" s="33" t="n">
        <f>1564</f>
        <v>1564.0</v>
      </c>
      <c r="P294" s="34" t="s">
        <v>198</v>
      </c>
      <c r="Q294" s="33" t="n">
        <f>1576</f>
        <v>1576.0</v>
      </c>
      <c r="R294" s="34" t="s">
        <v>49</v>
      </c>
      <c r="S294" s="35" t="n">
        <f>1582.33</f>
        <v>1582.33</v>
      </c>
      <c r="T294" s="32" t="n">
        <f>2283</f>
        <v>2283.0</v>
      </c>
      <c r="U294" s="32" t="str">
        <f>"－"</f>
        <v>－</v>
      </c>
      <c r="V294" s="32" t="n">
        <f>3624967</f>
        <v>3624967.0</v>
      </c>
      <c r="W294" s="32" t="str">
        <f>"－"</f>
        <v>－</v>
      </c>
      <c r="X294" s="36" t="n">
        <f>6</f>
        <v>6.0</v>
      </c>
    </row>
    <row r="295">
      <c r="A295" s="27" t="s">
        <v>42</v>
      </c>
      <c r="B295" s="27" t="s">
        <v>943</v>
      </c>
      <c r="C295" s="27" t="s">
        <v>944</v>
      </c>
      <c r="D295" s="27" t="s">
        <v>945</v>
      </c>
      <c r="E295" s="28" t="s">
        <v>692</v>
      </c>
      <c r="F295" s="29" t="s">
        <v>693</v>
      </c>
      <c r="G295" s="30" t="s">
        <v>939</v>
      </c>
      <c r="H295" s="31"/>
      <c r="I295" s="31" t="s">
        <v>47</v>
      </c>
      <c r="J295" s="32" t="n">
        <v>1.0</v>
      </c>
      <c r="K295" s="33" t="n">
        <f>2967</f>
        <v>2967.0</v>
      </c>
      <c r="L295" s="34" t="s">
        <v>198</v>
      </c>
      <c r="M295" s="33" t="n">
        <f>3005</f>
        <v>3005.0</v>
      </c>
      <c r="N295" s="34" t="s">
        <v>78</v>
      </c>
      <c r="O295" s="33" t="n">
        <f>2959</f>
        <v>2959.0</v>
      </c>
      <c r="P295" s="34" t="s">
        <v>49</v>
      </c>
      <c r="Q295" s="33" t="n">
        <f>2959</f>
        <v>2959.0</v>
      </c>
      <c r="R295" s="34" t="s">
        <v>49</v>
      </c>
      <c r="S295" s="35" t="n">
        <f>2977.17</f>
        <v>2977.17</v>
      </c>
      <c r="T295" s="32" t="n">
        <f>4098</f>
        <v>4098.0</v>
      </c>
      <c r="U295" s="32" t="str">
        <f>"－"</f>
        <v>－</v>
      </c>
      <c r="V295" s="32" t="n">
        <f>12211183</f>
        <v>1.2211183E7</v>
      </c>
      <c r="W295" s="32" t="str">
        <f>"－"</f>
        <v>－</v>
      </c>
      <c r="X295" s="36" t="n">
        <f>6</f>
        <v>6.0</v>
      </c>
    </row>
    <row r="296">
      <c r="A296" s="27" t="s">
        <v>42</v>
      </c>
      <c r="B296" s="27" t="s">
        <v>946</v>
      </c>
      <c r="C296" s="27" t="s">
        <v>947</v>
      </c>
      <c r="D296" s="27" t="s">
        <v>948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133800</f>
        <v>133800.0</v>
      </c>
      <c r="L296" s="34" t="s">
        <v>48</v>
      </c>
      <c r="M296" s="33" t="n">
        <f>137000</f>
        <v>137000.0</v>
      </c>
      <c r="N296" s="34" t="s">
        <v>49</v>
      </c>
      <c r="O296" s="33" t="n">
        <f>129800</f>
        <v>129800.0</v>
      </c>
      <c r="P296" s="34" t="s">
        <v>297</v>
      </c>
      <c r="Q296" s="33" t="n">
        <f>136100</f>
        <v>136100.0</v>
      </c>
      <c r="R296" s="34" t="s">
        <v>49</v>
      </c>
      <c r="S296" s="35" t="n">
        <f>132831.82</f>
        <v>132831.82</v>
      </c>
      <c r="T296" s="32" t="n">
        <f>26880</f>
        <v>26880.0</v>
      </c>
      <c r="U296" s="32" t="n">
        <f>4013</f>
        <v>4013.0</v>
      </c>
      <c r="V296" s="32" t="n">
        <f>3564004864</f>
        <v>3.564004864E9</v>
      </c>
      <c r="W296" s="32" t="n">
        <f>531565864</f>
        <v>5.31565864E8</v>
      </c>
      <c r="X296" s="36" t="n">
        <f>22</f>
        <v>22.0</v>
      </c>
    </row>
    <row r="297">
      <c r="A297" s="27" t="s">
        <v>42</v>
      </c>
      <c r="B297" s="27" t="s">
        <v>949</v>
      </c>
      <c r="C297" s="27" t="s">
        <v>950</v>
      </c>
      <c r="D297" s="27" t="s">
        <v>951</v>
      </c>
      <c r="E297" s="28" t="s">
        <v>46</v>
      </c>
      <c r="F297" s="29" t="s">
        <v>46</v>
      </c>
      <c r="G297" s="30" t="s">
        <v>46</v>
      </c>
      <c r="H297" s="31"/>
      <c r="I297" s="31" t="s">
        <v>609</v>
      </c>
      <c r="J297" s="32" t="n">
        <v>1.0</v>
      </c>
      <c r="K297" s="33" t="n">
        <f>109000</f>
        <v>109000.0</v>
      </c>
      <c r="L297" s="34" t="s">
        <v>48</v>
      </c>
      <c r="M297" s="33" t="n">
        <f>113400</f>
        <v>113400.0</v>
      </c>
      <c r="N297" s="34" t="s">
        <v>54</v>
      </c>
      <c r="O297" s="33" t="n">
        <f>104600</f>
        <v>104600.0</v>
      </c>
      <c r="P297" s="34" t="s">
        <v>238</v>
      </c>
      <c r="Q297" s="33" t="n">
        <f>111900</f>
        <v>111900.0</v>
      </c>
      <c r="R297" s="34" t="s">
        <v>49</v>
      </c>
      <c r="S297" s="35" t="n">
        <f>108886.36</f>
        <v>108886.36</v>
      </c>
      <c r="T297" s="32" t="n">
        <f>76683</f>
        <v>76683.0</v>
      </c>
      <c r="U297" s="32" t="n">
        <f>13122</f>
        <v>13122.0</v>
      </c>
      <c r="V297" s="32" t="n">
        <f>8299680286</f>
        <v>8.299680286E9</v>
      </c>
      <c r="W297" s="32" t="n">
        <f>1418661086</f>
        <v>1.418661086E9</v>
      </c>
      <c r="X297" s="36" t="n">
        <f>22</f>
        <v>22.0</v>
      </c>
    </row>
    <row r="298">
      <c r="A298" s="27" t="s">
        <v>42</v>
      </c>
      <c r="B298" s="27" t="s">
        <v>952</v>
      </c>
      <c r="C298" s="27" t="s">
        <v>953</v>
      </c>
      <c r="D298" s="27" t="s">
        <v>954</v>
      </c>
      <c r="E298" s="28" t="s">
        <v>46</v>
      </c>
      <c r="F298" s="29" t="s">
        <v>46</v>
      </c>
      <c r="G298" s="30" t="s">
        <v>46</v>
      </c>
      <c r="H298" s="31"/>
      <c r="I298" s="31" t="s">
        <v>609</v>
      </c>
      <c r="J298" s="32" t="n">
        <v>1.0</v>
      </c>
      <c r="K298" s="33" t="n">
        <f>147700</f>
        <v>147700.0</v>
      </c>
      <c r="L298" s="34" t="s">
        <v>48</v>
      </c>
      <c r="M298" s="33" t="n">
        <f>164900</f>
        <v>164900.0</v>
      </c>
      <c r="N298" s="34" t="s">
        <v>54</v>
      </c>
      <c r="O298" s="33" t="n">
        <f>147100</f>
        <v>147100.0</v>
      </c>
      <c r="P298" s="34" t="s">
        <v>48</v>
      </c>
      <c r="Q298" s="33" t="n">
        <f>160700</f>
        <v>160700.0</v>
      </c>
      <c r="R298" s="34" t="s">
        <v>49</v>
      </c>
      <c r="S298" s="35" t="n">
        <f>154413.64</f>
        <v>154413.64</v>
      </c>
      <c r="T298" s="32" t="n">
        <f>53869</f>
        <v>53869.0</v>
      </c>
      <c r="U298" s="32" t="n">
        <f>10150</f>
        <v>10150.0</v>
      </c>
      <c r="V298" s="32" t="n">
        <f>8315859091</f>
        <v>8.315859091E9</v>
      </c>
      <c r="W298" s="32" t="n">
        <f>1558195591</f>
        <v>1.558195591E9</v>
      </c>
      <c r="X298" s="36" t="n">
        <f>22</f>
        <v>22.0</v>
      </c>
    </row>
    <row r="299">
      <c r="A299" s="27" t="s">
        <v>42</v>
      </c>
      <c r="B299" s="27" t="s">
        <v>955</v>
      </c>
      <c r="C299" s="27" t="s">
        <v>956</v>
      </c>
      <c r="D299" s="27" t="s">
        <v>957</v>
      </c>
      <c r="E299" s="28" t="s">
        <v>46</v>
      </c>
      <c r="F299" s="29" t="s">
        <v>46</v>
      </c>
      <c r="G299" s="30" t="s">
        <v>46</v>
      </c>
      <c r="H299" s="31"/>
      <c r="I299" s="31" t="s">
        <v>609</v>
      </c>
      <c r="J299" s="32" t="n">
        <v>1.0</v>
      </c>
      <c r="K299" s="33" t="n">
        <f>108600</f>
        <v>108600.0</v>
      </c>
      <c r="L299" s="34" t="s">
        <v>48</v>
      </c>
      <c r="M299" s="33" t="n">
        <f>116800</f>
        <v>116800.0</v>
      </c>
      <c r="N299" s="34" t="s">
        <v>54</v>
      </c>
      <c r="O299" s="33" t="n">
        <f>106400</f>
        <v>106400.0</v>
      </c>
      <c r="P299" s="34" t="s">
        <v>66</v>
      </c>
      <c r="Q299" s="33" t="n">
        <f>115600</f>
        <v>115600.0</v>
      </c>
      <c r="R299" s="34" t="s">
        <v>49</v>
      </c>
      <c r="S299" s="35" t="n">
        <f>111222.73</f>
        <v>111222.73</v>
      </c>
      <c r="T299" s="32" t="n">
        <f>27857</f>
        <v>27857.0</v>
      </c>
      <c r="U299" s="32" t="n">
        <f>1963</f>
        <v>1963.0</v>
      </c>
      <c r="V299" s="32" t="n">
        <f>3102032735</f>
        <v>3.102032735E9</v>
      </c>
      <c r="W299" s="32" t="n">
        <f>217082035</f>
        <v>2.17082035E8</v>
      </c>
      <c r="X299" s="36" t="n">
        <f>22</f>
        <v>22.0</v>
      </c>
    </row>
    <row r="300">
      <c r="A300" s="27" t="s">
        <v>42</v>
      </c>
      <c r="B300" s="27" t="s">
        <v>958</v>
      </c>
      <c r="C300" s="27" t="s">
        <v>959</v>
      </c>
      <c r="D300" s="27" t="s">
        <v>960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606000</f>
        <v>606000.0</v>
      </c>
      <c r="L300" s="34" t="s">
        <v>48</v>
      </c>
      <c r="M300" s="33" t="n">
        <f>659000</f>
        <v>659000.0</v>
      </c>
      <c r="N300" s="34" t="s">
        <v>54</v>
      </c>
      <c r="O300" s="33" t="n">
        <f>599000</f>
        <v>599000.0</v>
      </c>
      <c r="P300" s="34" t="s">
        <v>66</v>
      </c>
      <c r="Q300" s="33" t="n">
        <f>640000</f>
        <v>640000.0</v>
      </c>
      <c r="R300" s="34" t="s">
        <v>49</v>
      </c>
      <c r="S300" s="35" t="n">
        <f>623318.18</f>
        <v>623318.18</v>
      </c>
      <c r="T300" s="32" t="n">
        <f>37094</f>
        <v>37094.0</v>
      </c>
      <c r="U300" s="32" t="n">
        <f>6098</f>
        <v>6098.0</v>
      </c>
      <c r="V300" s="32" t="n">
        <f>23051097884</f>
        <v>2.3051097884E10</v>
      </c>
      <c r="W300" s="32" t="n">
        <f>3809396884</f>
        <v>3.809396884E9</v>
      </c>
      <c r="X300" s="36" t="n">
        <f>22</f>
        <v>22.0</v>
      </c>
    </row>
    <row r="301">
      <c r="A301" s="27" t="s">
        <v>42</v>
      </c>
      <c r="B301" s="27" t="s">
        <v>961</v>
      </c>
      <c r="C301" s="27" t="s">
        <v>962</v>
      </c>
      <c r="D301" s="27" t="s">
        <v>963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138000</f>
        <v>138000.0</v>
      </c>
      <c r="L301" s="34" t="s">
        <v>48</v>
      </c>
      <c r="M301" s="33" t="n">
        <f>152500</f>
        <v>152500.0</v>
      </c>
      <c r="N301" s="34" t="s">
        <v>54</v>
      </c>
      <c r="O301" s="33" t="n">
        <f>133500</f>
        <v>133500.0</v>
      </c>
      <c r="P301" s="34" t="s">
        <v>50</v>
      </c>
      <c r="Q301" s="33" t="n">
        <f>151100</f>
        <v>151100.0</v>
      </c>
      <c r="R301" s="34" t="s">
        <v>49</v>
      </c>
      <c r="S301" s="35" t="n">
        <f>141027.27</f>
        <v>141027.27</v>
      </c>
      <c r="T301" s="32" t="n">
        <f>104393</f>
        <v>104393.0</v>
      </c>
      <c r="U301" s="32" t="n">
        <f>21350</f>
        <v>21350.0</v>
      </c>
      <c r="V301" s="32" t="n">
        <f>14760901681</f>
        <v>1.4760901681E10</v>
      </c>
      <c r="W301" s="32" t="n">
        <f>3009332581</f>
        <v>3.009332581E9</v>
      </c>
      <c r="X301" s="36" t="n">
        <f>22</f>
        <v>22.0</v>
      </c>
    </row>
    <row r="302">
      <c r="A302" s="27" t="s">
        <v>42</v>
      </c>
      <c r="B302" s="27" t="s">
        <v>964</v>
      </c>
      <c r="C302" s="27" t="s">
        <v>965</v>
      </c>
      <c r="D302" s="27" t="s">
        <v>966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172100</f>
        <v>172100.0</v>
      </c>
      <c r="L302" s="34" t="s">
        <v>48</v>
      </c>
      <c r="M302" s="33" t="n">
        <f>191900</f>
        <v>191900.0</v>
      </c>
      <c r="N302" s="34" t="s">
        <v>54</v>
      </c>
      <c r="O302" s="33" t="n">
        <f>169700</f>
        <v>169700.0</v>
      </c>
      <c r="P302" s="34" t="s">
        <v>50</v>
      </c>
      <c r="Q302" s="33" t="n">
        <f>184900</f>
        <v>184900.0</v>
      </c>
      <c r="R302" s="34" t="s">
        <v>49</v>
      </c>
      <c r="S302" s="35" t="n">
        <f>177027.27</f>
        <v>177027.27</v>
      </c>
      <c r="T302" s="32" t="n">
        <f>163191</f>
        <v>163191.0</v>
      </c>
      <c r="U302" s="32" t="n">
        <f>36143</f>
        <v>36143.0</v>
      </c>
      <c r="V302" s="32" t="n">
        <f>28919480481</f>
        <v>2.8919480481E10</v>
      </c>
      <c r="W302" s="32" t="n">
        <f>6401001681</f>
        <v>6.401001681E9</v>
      </c>
      <c r="X302" s="36" t="n">
        <f>22</f>
        <v>22.0</v>
      </c>
    </row>
    <row r="303">
      <c r="A303" s="27" t="s">
        <v>42</v>
      </c>
      <c r="B303" s="27" t="s">
        <v>967</v>
      </c>
      <c r="C303" s="27" t="s">
        <v>968</v>
      </c>
      <c r="D303" s="27" t="s">
        <v>969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322500</f>
        <v>322500.0</v>
      </c>
      <c r="L303" s="34" t="s">
        <v>48</v>
      </c>
      <c r="M303" s="33" t="n">
        <f>351000</f>
        <v>351000.0</v>
      </c>
      <c r="N303" s="34" t="s">
        <v>78</v>
      </c>
      <c r="O303" s="33" t="n">
        <f>318000</f>
        <v>318000.0</v>
      </c>
      <c r="P303" s="34" t="s">
        <v>66</v>
      </c>
      <c r="Q303" s="33" t="n">
        <f>344500</f>
        <v>344500.0</v>
      </c>
      <c r="R303" s="34" t="s">
        <v>49</v>
      </c>
      <c r="S303" s="35" t="n">
        <f>331000</f>
        <v>331000.0</v>
      </c>
      <c r="T303" s="32" t="n">
        <f>102148</f>
        <v>102148.0</v>
      </c>
      <c r="U303" s="32" t="n">
        <f>22785</f>
        <v>22785.0</v>
      </c>
      <c r="V303" s="32" t="n">
        <f>33898074550</f>
        <v>3.389807455E10</v>
      </c>
      <c r="W303" s="32" t="n">
        <f>7569782550</f>
        <v>7.56978255E9</v>
      </c>
      <c r="X303" s="36" t="n">
        <f>22</f>
        <v>22.0</v>
      </c>
    </row>
    <row r="304">
      <c r="A304" s="27" t="s">
        <v>42</v>
      </c>
      <c r="B304" s="27" t="s">
        <v>970</v>
      </c>
      <c r="C304" s="27" t="s">
        <v>971</v>
      </c>
      <c r="D304" s="27" t="s">
        <v>972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189800</f>
        <v>189800.0</v>
      </c>
      <c r="L304" s="34" t="s">
        <v>48</v>
      </c>
      <c r="M304" s="33" t="n">
        <f>219900</f>
        <v>219900.0</v>
      </c>
      <c r="N304" s="34" t="s">
        <v>54</v>
      </c>
      <c r="O304" s="33" t="n">
        <f>188500</f>
        <v>188500.0</v>
      </c>
      <c r="P304" s="34" t="s">
        <v>48</v>
      </c>
      <c r="Q304" s="33" t="n">
        <f>213500</f>
        <v>213500.0</v>
      </c>
      <c r="R304" s="34" t="s">
        <v>49</v>
      </c>
      <c r="S304" s="35" t="n">
        <f>201509.09</f>
        <v>201509.09</v>
      </c>
      <c r="T304" s="32" t="n">
        <f>111356</f>
        <v>111356.0</v>
      </c>
      <c r="U304" s="32" t="n">
        <f>24452</f>
        <v>24452.0</v>
      </c>
      <c r="V304" s="32" t="n">
        <f>22277660593</f>
        <v>2.2277660593E10</v>
      </c>
      <c r="W304" s="32" t="n">
        <f>4894706393</f>
        <v>4.894706393E9</v>
      </c>
      <c r="X304" s="36" t="n">
        <f>22</f>
        <v>22.0</v>
      </c>
    </row>
    <row r="305">
      <c r="A305" s="27" t="s">
        <v>42</v>
      </c>
      <c r="B305" s="27" t="s">
        <v>973</v>
      </c>
      <c r="C305" s="27" t="s">
        <v>974</v>
      </c>
      <c r="D305" s="27" t="s">
        <v>975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390000</f>
        <v>390000.0</v>
      </c>
      <c r="L305" s="34" t="s">
        <v>48</v>
      </c>
      <c r="M305" s="33" t="n">
        <f>427500</f>
        <v>427500.0</v>
      </c>
      <c r="N305" s="34" t="s">
        <v>54</v>
      </c>
      <c r="O305" s="33" t="n">
        <f>385000</f>
        <v>385000.0</v>
      </c>
      <c r="P305" s="34" t="s">
        <v>50</v>
      </c>
      <c r="Q305" s="33" t="n">
        <f>424000</f>
        <v>424000.0</v>
      </c>
      <c r="R305" s="34" t="s">
        <v>49</v>
      </c>
      <c r="S305" s="35" t="n">
        <f>401750</f>
        <v>401750.0</v>
      </c>
      <c r="T305" s="32" t="n">
        <f>74799</f>
        <v>74799.0</v>
      </c>
      <c r="U305" s="32" t="n">
        <f>11253</f>
        <v>11253.0</v>
      </c>
      <c r="V305" s="32" t="n">
        <f>30007384585</f>
        <v>3.0007384585E10</v>
      </c>
      <c r="W305" s="32" t="n">
        <f>4511455085</f>
        <v>4.511455085E9</v>
      </c>
      <c r="X305" s="36" t="n">
        <f>22</f>
        <v>22.0</v>
      </c>
    </row>
    <row r="306">
      <c r="A306" s="27" t="s">
        <v>42</v>
      </c>
      <c r="B306" s="27" t="s">
        <v>976</v>
      </c>
      <c r="C306" s="27" t="s">
        <v>977</v>
      </c>
      <c r="D306" s="27" t="s">
        <v>978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173000</f>
        <v>173000.0</v>
      </c>
      <c r="L306" s="34" t="s">
        <v>48</v>
      </c>
      <c r="M306" s="33" t="n">
        <f>192700</f>
        <v>192700.0</v>
      </c>
      <c r="N306" s="34" t="s">
        <v>54</v>
      </c>
      <c r="O306" s="33" t="n">
        <f>172000</f>
        <v>172000.0</v>
      </c>
      <c r="P306" s="34" t="s">
        <v>61</v>
      </c>
      <c r="Q306" s="33" t="n">
        <f>185400</f>
        <v>185400.0</v>
      </c>
      <c r="R306" s="34" t="s">
        <v>49</v>
      </c>
      <c r="S306" s="35" t="n">
        <f>179245.45</f>
        <v>179245.45</v>
      </c>
      <c r="T306" s="32" t="n">
        <f>370550</f>
        <v>370550.0</v>
      </c>
      <c r="U306" s="32" t="n">
        <f>109466</f>
        <v>109466.0</v>
      </c>
      <c r="V306" s="32" t="n">
        <f>66333183975</f>
        <v>6.6333183975E10</v>
      </c>
      <c r="W306" s="32" t="n">
        <f>19549013375</f>
        <v>1.9549013375E10</v>
      </c>
      <c r="X306" s="36" t="n">
        <f>22</f>
        <v>22.0</v>
      </c>
    </row>
    <row r="307">
      <c r="A307" s="27" t="s">
        <v>42</v>
      </c>
      <c r="B307" s="27" t="s">
        <v>979</v>
      </c>
      <c r="C307" s="27" t="s">
        <v>980</v>
      </c>
      <c r="D307" s="27" t="s">
        <v>981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308000</f>
        <v>308000.0</v>
      </c>
      <c r="L307" s="34" t="s">
        <v>48</v>
      </c>
      <c r="M307" s="33" t="n">
        <f>335500</f>
        <v>335500.0</v>
      </c>
      <c r="N307" s="34" t="s">
        <v>54</v>
      </c>
      <c r="O307" s="33" t="n">
        <f>303000</f>
        <v>303000.0</v>
      </c>
      <c r="P307" s="34" t="s">
        <v>96</v>
      </c>
      <c r="Q307" s="33" t="n">
        <f>328500</f>
        <v>328500.0</v>
      </c>
      <c r="R307" s="34" t="s">
        <v>49</v>
      </c>
      <c r="S307" s="35" t="n">
        <f>315727.27</f>
        <v>315727.27</v>
      </c>
      <c r="T307" s="32" t="n">
        <f>59856</f>
        <v>59856.0</v>
      </c>
      <c r="U307" s="32" t="n">
        <f>13217</f>
        <v>13217.0</v>
      </c>
      <c r="V307" s="32" t="n">
        <f>18900198724</f>
        <v>1.8900198724E10</v>
      </c>
      <c r="W307" s="32" t="n">
        <f>4165559224</f>
        <v>4.165559224E9</v>
      </c>
      <c r="X307" s="36" t="n">
        <f>22</f>
        <v>22.0</v>
      </c>
    </row>
    <row r="308">
      <c r="A308" s="27" t="s">
        <v>42</v>
      </c>
      <c r="B308" s="27" t="s">
        <v>982</v>
      </c>
      <c r="C308" s="27" t="s">
        <v>983</v>
      </c>
      <c r="D308" s="27" t="s">
        <v>984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341000</f>
        <v>341000.0</v>
      </c>
      <c r="L308" s="34" t="s">
        <v>48</v>
      </c>
      <c r="M308" s="33" t="n">
        <f>367000</f>
        <v>367000.0</v>
      </c>
      <c r="N308" s="34" t="s">
        <v>54</v>
      </c>
      <c r="O308" s="33" t="n">
        <f>335000</f>
        <v>335000.0</v>
      </c>
      <c r="P308" s="34" t="s">
        <v>62</v>
      </c>
      <c r="Q308" s="33" t="n">
        <f>356500</f>
        <v>356500.0</v>
      </c>
      <c r="R308" s="34" t="s">
        <v>49</v>
      </c>
      <c r="S308" s="35" t="n">
        <f>347295.45</f>
        <v>347295.45</v>
      </c>
      <c r="T308" s="32" t="n">
        <f>215717</f>
        <v>215717.0</v>
      </c>
      <c r="U308" s="32" t="n">
        <f>43011</f>
        <v>43011.0</v>
      </c>
      <c r="V308" s="32" t="n">
        <f>74980059315</f>
        <v>7.4980059315E10</v>
      </c>
      <c r="W308" s="32" t="n">
        <f>14960328315</f>
        <v>1.4960328315E10</v>
      </c>
      <c r="X308" s="36" t="n">
        <f>22</f>
        <v>22.0</v>
      </c>
    </row>
    <row r="309">
      <c r="A309" s="27" t="s">
        <v>42</v>
      </c>
      <c r="B309" s="27" t="s">
        <v>985</v>
      </c>
      <c r="C309" s="27" t="s">
        <v>986</v>
      </c>
      <c r="D309" s="27" t="s">
        <v>987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650000</f>
        <v>650000.0</v>
      </c>
      <c r="L309" s="34" t="s">
        <v>48</v>
      </c>
      <c r="M309" s="33" t="n">
        <f>702000</f>
        <v>702000.0</v>
      </c>
      <c r="N309" s="34" t="s">
        <v>54</v>
      </c>
      <c r="O309" s="33" t="n">
        <f>613000</f>
        <v>613000.0</v>
      </c>
      <c r="P309" s="34" t="s">
        <v>50</v>
      </c>
      <c r="Q309" s="33" t="n">
        <f>683000</f>
        <v>683000.0</v>
      </c>
      <c r="R309" s="34" t="s">
        <v>49</v>
      </c>
      <c r="S309" s="35" t="n">
        <f>658045.45</f>
        <v>658045.45</v>
      </c>
      <c r="T309" s="32" t="n">
        <f>28471</f>
        <v>28471.0</v>
      </c>
      <c r="U309" s="32" t="n">
        <f>3692</f>
        <v>3692.0</v>
      </c>
      <c r="V309" s="32" t="n">
        <f>18793826925</f>
        <v>1.8793826925E10</v>
      </c>
      <c r="W309" s="32" t="n">
        <f>2423644925</f>
        <v>2.423644925E9</v>
      </c>
      <c r="X309" s="36" t="n">
        <f>22</f>
        <v>22.0</v>
      </c>
    </row>
    <row r="310">
      <c r="A310" s="27" t="s">
        <v>42</v>
      </c>
      <c r="B310" s="27" t="s">
        <v>988</v>
      </c>
      <c r="C310" s="27" t="s">
        <v>989</v>
      </c>
      <c r="D310" s="27" t="s">
        <v>990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285400</f>
        <v>285400.0</v>
      </c>
      <c r="L310" s="34" t="s">
        <v>48</v>
      </c>
      <c r="M310" s="33" t="n">
        <f>303000</f>
        <v>303000.0</v>
      </c>
      <c r="N310" s="34" t="s">
        <v>54</v>
      </c>
      <c r="O310" s="33" t="n">
        <f>275100</f>
        <v>275100.0</v>
      </c>
      <c r="P310" s="34" t="s">
        <v>238</v>
      </c>
      <c r="Q310" s="33" t="n">
        <f>299700</f>
        <v>299700.0</v>
      </c>
      <c r="R310" s="34" t="s">
        <v>49</v>
      </c>
      <c r="S310" s="35" t="n">
        <f>287795.45</f>
        <v>287795.45</v>
      </c>
      <c r="T310" s="32" t="n">
        <f>55540</f>
        <v>55540.0</v>
      </c>
      <c r="U310" s="32" t="n">
        <f>8257</f>
        <v>8257.0</v>
      </c>
      <c r="V310" s="32" t="n">
        <f>15814620654</f>
        <v>1.5814620654E10</v>
      </c>
      <c r="W310" s="32" t="n">
        <f>2339282654</f>
        <v>2.339282654E9</v>
      </c>
      <c r="X310" s="36" t="n">
        <f>22</f>
        <v>22.0</v>
      </c>
    </row>
    <row r="311">
      <c r="A311" s="27" t="s">
        <v>42</v>
      </c>
      <c r="B311" s="27" t="s">
        <v>991</v>
      </c>
      <c r="C311" s="27" t="s">
        <v>992</v>
      </c>
      <c r="D311" s="27" t="s">
        <v>993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143600</f>
        <v>143600.0</v>
      </c>
      <c r="L311" s="34" t="s">
        <v>48</v>
      </c>
      <c r="M311" s="33" t="n">
        <f>152800</f>
        <v>152800.0</v>
      </c>
      <c r="N311" s="34" t="s">
        <v>54</v>
      </c>
      <c r="O311" s="33" t="n">
        <f>140200</f>
        <v>140200.0</v>
      </c>
      <c r="P311" s="34" t="s">
        <v>96</v>
      </c>
      <c r="Q311" s="33" t="n">
        <f>151000</f>
        <v>151000.0</v>
      </c>
      <c r="R311" s="34" t="s">
        <v>49</v>
      </c>
      <c r="S311" s="35" t="n">
        <f>145763.64</f>
        <v>145763.64</v>
      </c>
      <c r="T311" s="32" t="n">
        <f>117189</f>
        <v>117189.0</v>
      </c>
      <c r="U311" s="32" t="n">
        <f>19696</f>
        <v>19696.0</v>
      </c>
      <c r="V311" s="32" t="n">
        <f>17088847991</f>
        <v>1.7088847991E10</v>
      </c>
      <c r="W311" s="32" t="n">
        <f>2873497091</f>
        <v>2.873497091E9</v>
      </c>
      <c r="X311" s="36" t="n">
        <f>22</f>
        <v>22.0</v>
      </c>
    </row>
    <row r="312">
      <c r="A312" s="27" t="s">
        <v>42</v>
      </c>
      <c r="B312" s="27" t="s">
        <v>994</v>
      </c>
      <c r="C312" s="27" t="s">
        <v>995</v>
      </c>
      <c r="D312" s="27" t="s">
        <v>996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156300</f>
        <v>156300.0</v>
      </c>
      <c r="L312" s="34" t="s">
        <v>48</v>
      </c>
      <c r="M312" s="33" t="n">
        <f>170100</f>
        <v>170100.0</v>
      </c>
      <c r="N312" s="34" t="s">
        <v>54</v>
      </c>
      <c r="O312" s="33" t="n">
        <f>151600</f>
        <v>151600.0</v>
      </c>
      <c r="P312" s="34" t="s">
        <v>96</v>
      </c>
      <c r="Q312" s="33" t="n">
        <f>166600</f>
        <v>166600.0</v>
      </c>
      <c r="R312" s="34" t="s">
        <v>49</v>
      </c>
      <c r="S312" s="35" t="n">
        <f>159327.27</f>
        <v>159327.27</v>
      </c>
      <c r="T312" s="32" t="n">
        <f>119176</f>
        <v>119176.0</v>
      </c>
      <c r="U312" s="32" t="n">
        <f>36390</f>
        <v>36390.0</v>
      </c>
      <c r="V312" s="32" t="n">
        <f>18920487526</f>
        <v>1.8920487526E10</v>
      </c>
      <c r="W312" s="32" t="n">
        <f>5750225726</f>
        <v>5.750225726E9</v>
      </c>
      <c r="X312" s="36" t="n">
        <f>22</f>
        <v>22.0</v>
      </c>
    </row>
    <row r="313">
      <c r="A313" s="27" t="s">
        <v>42</v>
      </c>
      <c r="B313" s="27" t="s">
        <v>997</v>
      </c>
      <c r="C313" s="27" t="s">
        <v>998</v>
      </c>
      <c r="D313" s="27" t="s">
        <v>999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365000</f>
        <v>365000.0</v>
      </c>
      <c r="L313" s="34" t="s">
        <v>48</v>
      </c>
      <c r="M313" s="33" t="n">
        <f>390000</f>
        <v>390000.0</v>
      </c>
      <c r="N313" s="34" t="s">
        <v>54</v>
      </c>
      <c r="O313" s="33" t="n">
        <f>348000</f>
        <v>348000.0</v>
      </c>
      <c r="P313" s="34" t="s">
        <v>50</v>
      </c>
      <c r="Q313" s="33" t="n">
        <f>383000</f>
        <v>383000.0</v>
      </c>
      <c r="R313" s="34" t="s">
        <v>49</v>
      </c>
      <c r="S313" s="35" t="n">
        <f>366136.36</f>
        <v>366136.36</v>
      </c>
      <c r="T313" s="32" t="n">
        <f>40842</f>
        <v>40842.0</v>
      </c>
      <c r="U313" s="32" t="n">
        <f>10009</f>
        <v>10009.0</v>
      </c>
      <c r="V313" s="32" t="n">
        <f>14937359889</f>
        <v>1.4937359889E10</v>
      </c>
      <c r="W313" s="32" t="n">
        <f>3657616389</f>
        <v>3.657616389E9</v>
      </c>
      <c r="X313" s="36" t="n">
        <f>22</f>
        <v>22.0</v>
      </c>
    </row>
    <row r="314">
      <c r="A314" s="27" t="s">
        <v>42</v>
      </c>
      <c r="B314" s="27" t="s">
        <v>1000</v>
      </c>
      <c r="C314" s="27" t="s">
        <v>1001</v>
      </c>
      <c r="D314" s="27" t="s">
        <v>1002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76500</f>
        <v>76500.0</v>
      </c>
      <c r="L314" s="34" t="s">
        <v>48</v>
      </c>
      <c r="M314" s="33" t="n">
        <f>81500</f>
        <v>81500.0</v>
      </c>
      <c r="N314" s="34" t="s">
        <v>54</v>
      </c>
      <c r="O314" s="33" t="n">
        <f>73600</f>
        <v>73600.0</v>
      </c>
      <c r="P314" s="34" t="s">
        <v>50</v>
      </c>
      <c r="Q314" s="33" t="n">
        <f>80700</f>
        <v>80700.0</v>
      </c>
      <c r="R314" s="34" t="s">
        <v>49</v>
      </c>
      <c r="S314" s="35" t="n">
        <f>76777.27</f>
        <v>76777.27</v>
      </c>
      <c r="T314" s="32" t="n">
        <f>324594</f>
        <v>324594.0</v>
      </c>
      <c r="U314" s="32" t="n">
        <f>75073</f>
        <v>75073.0</v>
      </c>
      <c r="V314" s="32" t="n">
        <f>24942915250</f>
        <v>2.494291525E10</v>
      </c>
      <c r="W314" s="32" t="n">
        <f>5779625950</f>
        <v>5.77962595E9</v>
      </c>
      <c r="X314" s="36" t="n">
        <f>22</f>
        <v>22.0</v>
      </c>
    </row>
    <row r="315">
      <c r="A315" s="27" t="s">
        <v>42</v>
      </c>
      <c r="B315" s="27" t="s">
        <v>1003</v>
      </c>
      <c r="C315" s="27" t="s">
        <v>1004</v>
      </c>
      <c r="D315" s="27" t="s">
        <v>1005</v>
      </c>
      <c r="E315" s="28" t="s">
        <v>46</v>
      </c>
      <c r="F315" s="29" t="s">
        <v>46</v>
      </c>
      <c r="G315" s="30" t="s">
        <v>46</v>
      </c>
      <c r="H315" s="31"/>
      <c r="I315" s="31" t="s">
        <v>609</v>
      </c>
      <c r="J315" s="32" t="n">
        <v>1.0</v>
      </c>
      <c r="K315" s="33" t="n">
        <f>128300</f>
        <v>128300.0</v>
      </c>
      <c r="L315" s="34" t="s">
        <v>48</v>
      </c>
      <c r="M315" s="33" t="n">
        <f>138000</f>
        <v>138000.0</v>
      </c>
      <c r="N315" s="34" t="s">
        <v>54</v>
      </c>
      <c r="O315" s="33" t="n">
        <f>124000</f>
        <v>124000.0</v>
      </c>
      <c r="P315" s="34" t="s">
        <v>50</v>
      </c>
      <c r="Q315" s="33" t="n">
        <f>137100</f>
        <v>137100.0</v>
      </c>
      <c r="R315" s="34" t="s">
        <v>49</v>
      </c>
      <c r="S315" s="35" t="n">
        <f>130686.36</f>
        <v>130686.36</v>
      </c>
      <c r="T315" s="32" t="n">
        <f>28542</f>
        <v>28542.0</v>
      </c>
      <c r="U315" s="32" t="n">
        <f>3253</f>
        <v>3253.0</v>
      </c>
      <c r="V315" s="32" t="n">
        <f>3736688004</f>
        <v>3.736688004E9</v>
      </c>
      <c r="W315" s="32" t="n">
        <f>425586104</f>
        <v>4.25586104E8</v>
      </c>
      <c r="X315" s="36" t="n">
        <f>22</f>
        <v>22.0</v>
      </c>
    </row>
    <row r="316">
      <c r="A316" s="27" t="s">
        <v>42</v>
      </c>
      <c r="B316" s="27" t="s">
        <v>1006</v>
      </c>
      <c r="C316" s="27" t="s">
        <v>1007</v>
      </c>
      <c r="D316" s="27" t="s">
        <v>1008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261300</f>
        <v>261300.0</v>
      </c>
      <c r="L316" s="34" t="s">
        <v>48</v>
      </c>
      <c r="M316" s="33" t="n">
        <f>286500</f>
        <v>286500.0</v>
      </c>
      <c r="N316" s="34" t="s">
        <v>100</v>
      </c>
      <c r="O316" s="33" t="n">
        <f>261300</f>
        <v>261300.0</v>
      </c>
      <c r="P316" s="34" t="s">
        <v>48</v>
      </c>
      <c r="Q316" s="33" t="n">
        <f>279800</f>
        <v>279800.0</v>
      </c>
      <c r="R316" s="34" t="s">
        <v>49</v>
      </c>
      <c r="S316" s="35" t="n">
        <f>271986.36</f>
        <v>271986.36</v>
      </c>
      <c r="T316" s="32" t="n">
        <f>64964</f>
        <v>64964.0</v>
      </c>
      <c r="U316" s="32" t="n">
        <f>7073</f>
        <v>7073.0</v>
      </c>
      <c r="V316" s="32" t="n">
        <f>17701115574</f>
        <v>1.7701115574E10</v>
      </c>
      <c r="W316" s="32" t="n">
        <f>1929625974</f>
        <v>1.929625974E9</v>
      </c>
      <c r="X316" s="36" t="n">
        <f>22</f>
        <v>22.0</v>
      </c>
    </row>
    <row r="317">
      <c r="A317" s="27" t="s">
        <v>42</v>
      </c>
      <c r="B317" s="27" t="s">
        <v>1009</v>
      </c>
      <c r="C317" s="27" t="s">
        <v>1010</v>
      </c>
      <c r="D317" s="27" t="s">
        <v>1011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141400</f>
        <v>141400.0</v>
      </c>
      <c r="L317" s="34" t="s">
        <v>48</v>
      </c>
      <c r="M317" s="33" t="n">
        <f>161700</f>
        <v>161700.0</v>
      </c>
      <c r="N317" s="34" t="s">
        <v>49</v>
      </c>
      <c r="O317" s="33" t="n">
        <f>140400</f>
        <v>140400.0</v>
      </c>
      <c r="P317" s="34" t="s">
        <v>50</v>
      </c>
      <c r="Q317" s="33" t="n">
        <f>160100</f>
        <v>160100.0</v>
      </c>
      <c r="R317" s="34" t="s">
        <v>49</v>
      </c>
      <c r="S317" s="35" t="n">
        <f>149063.64</f>
        <v>149063.64</v>
      </c>
      <c r="T317" s="32" t="n">
        <f>29358</f>
        <v>29358.0</v>
      </c>
      <c r="U317" s="32" t="n">
        <f>3961</f>
        <v>3961.0</v>
      </c>
      <c r="V317" s="32" t="n">
        <f>4354657561</f>
        <v>4.354657561E9</v>
      </c>
      <c r="W317" s="32" t="n">
        <f>589197361</f>
        <v>5.89197361E8</v>
      </c>
      <c r="X317" s="36" t="n">
        <f>22</f>
        <v>22.0</v>
      </c>
    </row>
    <row r="318">
      <c r="A318" s="27" t="s">
        <v>42</v>
      </c>
      <c r="B318" s="27" t="s">
        <v>1012</v>
      </c>
      <c r="C318" s="27" t="s">
        <v>1013</v>
      </c>
      <c r="D318" s="27" t="s">
        <v>1014</v>
      </c>
      <c r="E318" s="28" t="s">
        <v>46</v>
      </c>
      <c r="F318" s="29" t="s">
        <v>46</v>
      </c>
      <c r="G318" s="30" t="s">
        <v>46</v>
      </c>
      <c r="H318" s="31"/>
      <c r="I318" s="31" t="s">
        <v>609</v>
      </c>
      <c r="J318" s="32" t="n">
        <v>1.0</v>
      </c>
      <c r="K318" s="33" t="n">
        <f>117600</f>
        <v>117600.0</v>
      </c>
      <c r="L318" s="34" t="s">
        <v>48</v>
      </c>
      <c r="M318" s="33" t="n">
        <f>126700</f>
        <v>126700.0</v>
      </c>
      <c r="N318" s="34" t="s">
        <v>49</v>
      </c>
      <c r="O318" s="33" t="n">
        <f>114800</f>
        <v>114800.0</v>
      </c>
      <c r="P318" s="34" t="s">
        <v>50</v>
      </c>
      <c r="Q318" s="33" t="n">
        <f>126000</f>
        <v>126000.0</v>
      </c>
      <c r="R318" s="34" t="s">
        <v>49</v>
      </c>
      <c r="S318" s="35" t="n">
        <f>119886.36</f>
        <v>119886.36</v>
      </c>
      <c r="T318" s="32" t="n">
        <f>19467</f>
        <v>19467.0</v>
      </c>
      <c r="U318" s="32" t="n">
        <f>3195</f>
        <v>3195.0</v>
      </c>
      <c r="V318" s="32" t="n">
        <f>2344769551</f>
        <v>2.344769551E9</v>
      </c>
      <c r="W318" s="32" t="n">
        <f>383692651</f>
        <v>3.83692651E8</v>
      </c>
      <c r="X318" s="36" t="n">
        <f>22</f>
        <v>22.0</v>
      </c>
    </row>
    <row r="319">
      <c r="A319" s="27" t="s">
        <v>42</v>
      </c>
      <c r="B319" s="27" t="s">
        <v>1015</v>
      </c>
      <c r="C319" s="27" t="s">
        <v>1016</v>
      </c>
      <c r="D319" s="27" t="s">
        <v>1017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151800</f>
        <v>151800.0</v>
      </c>
      <c r="L319" s="34" t="s">
        <v>48</v>
      </c>
      <c r="M319" s="33" t="n">
        <f>166600</f>
        <v>166600.0</v>
      </c>
      <c r="N319" s="34" t="s">
        <v>54</v>
      </c>
      <c r="O319" s="33" t="n">
        <f>147800</f>
        <v>147800.0</v>
      </c>
      <c r="P319" s="34" t="s">
        <v>96</v>
      </c>
      <c r="Q319" s="33" t="n">
        <f>161200</f>
        <v>161200.0</v>
      </c>
      <c r="R319" s="34" t="s">
        <v>49</v>
      </c>
      <c r="S319" s="35" t="n">
        <f>155631.82</f>
        <v>155631.82</v>
      </c>
      <c r="T319" s="32" t="n">
        <f>296928</f>
        <v>296928.0</v>
      </c>
      <c r="U319" s="32" t="n">
        <f>60133</f>
        <v>60133.0</v>
      </c>
      <c r="V319" s="32" t="n">
        <f>46250085552</f>
        <v>4.6250085552E10</v>
      </c>
      <c r="W319" s="32" t="n">
        <f>9395698952</f>
        <v>9.395698952E9</v>
      </c>
      <c r="X319" s="36" t="n">
        <f>22</f>
        <v>22.0</v>
      </c>
    </row>
    <row r="320">
      <c r="A320" s="27" t="s">
        <v>42</v>
      </c>
      <c r="B320" s="27" t="s">
        <v>1018</v>
      </c>
      <c r="C320" s="27" t="s">
        <v>1019</v>
      </c>
      <c r="D320" s="27" t="s">
        <v>1020</v>
      </c>
      <c r="E320" s="28" t="s">
        <v>46</v>
      </c>
      <c r="F320" s="29" t="s">
        <v>46</v>
      </c>
      <c r="G320" s="30" t="s">
        <v>46</v>
      </c>
      <c r="H320" s="31"/>
      <c r="I320" s="31" t="s">
        <v>609</v>
      </c>
      <c r="J320" s="32" t="n">
        <v>1.0</v>
      </c>
      <c r="K320" s="33" t="n">
        <f>82300</f>
        <v>82300.0</v>
      </c>
      <c r="L320" s="34" t="s">
        <v>48</v>
      </c>
      <c r="M320" s="33" t="n">
        <f>88500</f>
        <v>88500.0</v>
      </c>
      <c r="N320" s="34" t="s">
        <v>54</v>
      </c>
      <c r="O320" s="33" t="n">
        <f>76500</f>
        <v>76500.0</v>
      </c>
      <c r="P320" s="34" t="s">
        <v>66</v>
      </c>
      <c r="Q320" s="33" t="n">
        <f>86400</f>
        <v>86400.0</v>
      </c>
      <c r="R320" s="34" t="s">
        <v>49</v>
      </c>
      <c r="S320" s="35" t="n">
        <f>81927.27</f>
        <v>81927.27</v>
      </c>
      <c r="T320" s="32" t="n">
        <f>36975</f>
        <v>36975.0</v>
      </c>
      <c r="U320" s="32" t="n">
        <f>2298</f>
        <v>2298.0</v>
      </c>
      <c r="V320" s="32" t="n">
        <f>3048592731</f>
        <v>3.048592731E9</v>
      </c>
      <c r="W320" s="32" t="n">
        <f>188729831</f>
        <v>1.88729831E8</v>
      </c>
      <c r="X320" s="36" t="n">
        <f>22</f>
        <v>22.0</v>
      </c>
    </row>
    <row r="321">
      <c r="A321" s="27" t="s">
        <v>42</v>
      </c>
      <c r="B321" s="27" t="s">
        <v>1021</v>
      </c>
      <c r="C321" s="27" t="s">
        <v>1022</v>
      </c>
      <c r="D321" s="27" t="s">
        <v>1023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165800</f>
        <v>165800.0</v>
      </c>
      <c r="L321" s="34" t="s">
        <v>48</v>
      </c>
      <c r="M321" s="33" t="n">
        <f>180800</f>
        <v>180800.0</v>
      </c>
      <c r="N321" s="34" t="s">
        <v>54</v>
      </c>
      <c r="O321" s="33" t="n">
        <f>163600</f>
        <v>163600.0</v>
      </c>
      <c r="P321" s="34" t="s">
        <v>62</v>
      </c>
      <c r="Q321" s="33" t="n">
        <f>175200</f>
        <v>175200.0</v>
      </c>
      <c r="R321" s="34" t="s">
        <v>49</v>
      </c>
      <c r="S321" s="35" t="n">
        <f>171077.27</f>
        <v>171077.27</v>
      </c>
      <c r="T321" s="32" t="n">
        <f>111065</f>
        <v>111065.0</v>
      </c>
      <c r="U321" s="32" t="n">
        <f>25502</f>
        <v>25502.0</v>
      </c>
      <c r="V321" s="32" t="n">
        <f>19049989746</f>
        <v>1.9049989746E10</v>
      </c>
      <c r="W321" s="32" t="n">
        <f>4386331046</f>
        <v>4.386331046E9</v>
      </c>
      <c r="X321" s="36" t="n">
        <f>22</f>
        <v>22.0</v>
      </c>
    </row>
    <row r="322">
      <c r="A322" s="27" t="s">
        <v>42</v>
      </c>
      <c r="B322" s="27" t="s">
        <v>1024</v>
      </c>
      <c r="C322" s="27" t="s">
        <v>1025</v>
      </c>
      <c r="D322" s="27" t="s">
        <v>1026</v>
      </c>
      <c r="E322" s="28" t="s">
        <v>46</v>
      </c>
      <c r="F322" s="29" t="s">
        <v>46</v>
      </c>
      <c r="G322" s="30" t="s">
        <v>46</v>
      </c>
      <c r="H322" s="31"/>
      <c r="I322" s="31" t="s">
        <v>609</v>
      </c>
      <c r="J322" s="32" t="n">
        <v>1.0</v>
      </c>
      <c r="K322" s="33" t="n">
        <f>58500</f>
        <v>58500.0</v>
      </c>
      <c r="L322" s="34" t="s">
        <v>48</v>
      </c>
      <c r="M322" s="33" t="n">
        <f>62700</f>
        <v>62700.0</v>
      </c>
      <c r="N322" s="34" t="s">
        <v>49</v>
      </c>
      <c r="O322" s="33" t="n">
        <f>57200</f>
        <v>57200.0</v>
      </c>
      <c r="P322" s="34" t="s">
        <v>50</v>
      </c>
      <c r="Q322" s="33" t="n">
        <f>62100</f>
        <v>62100.0</v>
      </c>
      <c r="R322" s="34" t="s">
        <v>49</v>
      </c>
      <c r="S322" s="35" t="n">
        <f>59327.27</f>
        <v>59327.27</v>
      </c>
      <c r="T322" s="32" t="n">
        <f>117320</f>
        <v>117320.0</v>
      </c>
      <c r="U322" s="32" t="n">
        <f>25663</f>
        <v>25663.0</v>
      </c>
      <c r="V322" s="32" t="n">
        <f>6971944781</f>
        <v>6.971944781E9</v>
      </c>
      <c r="W322" s="32" t="n">
        <f>1530699281</f>
        <v>1.530699281E9</v>
      </c>
      <c r="X322" s="36" t="n">
        <f>22</f>
        <v>22.0</v>
      </c>
    </row>
    <row r="323">
      <c r="A323" s="27" t="s">
        <v>42</v>
      </c>
      <c r="B323" s="27" t="s">
        <v>1027</v>
      </c>
      <c r="C323" s="27" t="s">
        <v>1028</v>
      </c>
      <c r="D323" s="27" t="s">
        <v>1029</v>
      </c>
      <c r="E323" s="28" t="s">
        <v>46</v>
      </c>
      <c r="F323" s="29" t="s">
        <v>46</v>
      </c>
      <c r="G323" s="30" t="s">
        <v>46</v>
      </c>
      <c r="H323" s="31"/>
      <c r="I323" s="31" t="s">
        <v>609</v>
      </c>
      <c r="J323" s="32" t="n">
        <v>1.0</v>
      </c>
      <c r="K323" s="33" t="n">
        <f>125500</f>
        <v>125500.0</v>
      </c>
      <c r="L323" s="34" t="s">
        <v>48</v>
      </c>
      <c r="M323" s="33" t="n">
        <f>132700</f>
        <v>132700.0</v>
      </c>
      <c r="N323" s="34" t="s">
        <v>54</v>
      </c>
      <c r="O323" s="33" t="n">
        <f>123000</f>
        <v>123000.0</v>
      </c>
      <c r="P323" s="34" t="s">
        <v>66</v>
      </c>
      <c r="Q323" s="33" t="n">
        <f>130900</f>
        <v>130900.0</v>
      </c>
      <c r="R323" s="34" t="s">
        <v>49</v>
      </c>
      <c r="S323" s="35" t="n">
        <f>127936.36</f>
        <v>127936.36</v>
      </c>
      <c r="T323" s="32" t="n">
        <f>20231</f>
        <v>20231.0</v>
      </c>
      <c r="U323" s="32" t="n">
        <f>1628</f>
        <v>1628.0</v>
      </c>
      <c r="V323" s="32" t="n">
        <f>2595373490</f>
        <v>2.59537349E9</v>
      </c>
      <c r="W323" s="32" t="n">
        <f>208386690</f>
        <v>2.0838669E8</v>
      </c>
      <c r="X323" s="36" t="n">
        <f>22</f>
        <v>22.0</v>
      </c>
    </row>
    <row r="324">
      <c r="A324" s="27" t="s">
        <v>42</v>
      </c>
      <c r="B324" s="27" t="s">
        <v>1030</v>
      </c>
      <c r="C324" s="27" t="s">
        <v>1031</v>
      </c>
      <c r="D324" s="27" t="s">
        <v>1032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528000</f>
        <v>528000.0</v>
      </c>
      <c r="L324" s="34" t="s">
        <v>48</v>
      </c>
      <c r="M324" s="33" t="n">
        <f>599000</f>
        <v>599000.0</v>
      </c>
      <c r="N324" s="34" t="s">
        <v>54</v>
      </c>
      <c r="O324" s="33" t="n">
        <f>519000</f>
        <v>519000.0</v>
      </c>
      <c r="P324" s="34" t="s">
        <v>96</v>
      </c>
      <c r="Q324" s="33" t="n">
        <f>575000</f>
        <v>575000.0</v>
      </c>
      <c r="R324" s="34" t="s">
        <v>49</v>
      </c>
      <c r="S324" s="35" t="n">
        <f>548863.64</f>
        <v>548863.64</v>
      </c>
      <c r="T324" s="32" t="n">
        <f>48993</f>
        <v>48993.0</v>
      </c>
      <c r="U324" s="32" t="n">
        <f>9928</f>
        <v>9928.0</v>
      </c>
      <c r="V324" s="32" t="n">
        <f>26941037322</f>
        <v>2.6941037322E10</v>
      </c>
      <c r="W324" s="32" t="n">
        <f>5444676322</f>
        <v>5.444676322E9</v>
      </c>
      <c r="X324" s="36" t="n">
        <f>22</f>
        <v>22.0</v>
      </c>
    </row>
    <row r="325">
      <c r="A325" s="27" t="s">
        <v>42</v>
      </c>
      <c r="B325" s="27" t="s">
        <v>1033</v>
      </c>
      <c r="C325" s="27" t="s">
        <v>1034</v>
      </c>
      <c r="D325" s="27" t="s">
        <v>1035</v>
      </c>
      <c r="E325" s="28" t="s">
        <v>46</v>
      </c>
      <c r="F325" s="29" t="s">
        <v>46</v>
      </c>
      <c r="G325" s="30" t="s">
        <v>46</v>
      </c>
      <c r="H325" s="31"/>
      <c r="I325" s="31" t="s">
        <v>609</v>
      </c>
      <c r="J325" s="32" t="n">
        <v>1.0</v>
      </c>
      <c r="K325" s="33" t="n">
        <f>65900</f>
        <v>65900.0</v>
      </c>
      <c r="L325" s="34" t="s">
        <v>48</v>
      </c>
      <c r="M325" s="33" t="n">
        <f>70000</f>
        <v>70000.0</v>
      </c>
      <c r="N325" s="34" t="s">
        <v>49</v>
      </c>
      <c r="O325" s="33" t="n">
        <f>62200</f>
        <v>62200.0</v>
      </c>
      <c r="P325" s="34" t="s">
        <v>50</v>
      </c>
      <c r="Q325" s="33" t="n">
        <f>69700</f>
        <v>69700.0</v>
      </c>
      <c r="R325" s="34" t="s">
        <v>49</v>
      </c>
      <c r="S325" s="35" t="n">
        <f>67072.73</f>
        <v>67072.73</v>
      </c>
      <c r="T325" s="32" t="n">
        <f>14829</f>
        <v>14829.0</v>
      </c>
      <c r="U325" s="32" t="n">
        <f>1647</f>
        <v>1647.0</v>
      </c>
      <c r="V325" s="32" t="n">
        <f>992005911</f>
        <v>9.92005911E8</v>
      </c>
      <c r="W325" s="32" t="n">
        <f>110092611</f>
        <v>1.10092611E8</v>
      </c>
      <c r="X325" s="36" t="n">
        <f>22</f>
        <v>22.0</v>
      </c>
    </row>
    <row r="326">
      <c r="A326" s="27" t="s">
        <v>42</v>
      </c>
      <c r="B326" s="27" t="s">
        <v>1036</v>
      </c>
      <c r="C326" s="27" t="s">
        <v>1037</v>
      </c>
      <c r="D326" s="27" t="s">
        <v>1038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48800</f>
        <v>48800.0</v>
      </c>
      <c r="L326" s="34" t="s">
        <v>48</v>
      </c>
      <c r="M326" s="33" t="n">
        <f>53600</f>
        <v>53600.0</v>
      </c>
      <c r="N326" s="34" t="s">
        <v>54</v>
      </c>
      <c r="O326" s="33" t="n">
        <f>47000</f>
        <v>47000.0</v>
      </c>
      <c r="P326" s="34" t="s">
        <v>50</v>
      </c>
      <c r="Q326" s="33" t="n">
        <f>52900</f>
        <v>52900.0</v>
      </c>
      <c r="R326" s="34" t="s">
        <v>49</v>
      </c>
      <c r="S326" s="35" t="n">
        <f>49679.55</f>
        <v>49679.55</v>
      </c>
      <c r="T326" s="32" t="n">
        <f>150204</f>
        <v>150204.0</v>
      </c>
      <c r="U326" s="32" t="n">
        <f>19978</f>
        <v>19978.0</v>
      </c>
      <c r="V326" s="32" t="n">
        <f>7452631598</f>
        <v>7.452631598E9</v>
      </c>
      <c r="W326" s="32" t="n">
        <f>990721598</f>
        <v>9.90721598E8</v>
      </c>
      <c r="X326" s="36" t="n">
        <f>22</f>
        <v>22.0</v>
      </c>
    </row>
    <row r="327">
      <c r="A327" s="27" t="s">
        <v>42</v>
      </c>
      <c r="B327" s="27" t="s">
        <v>1039</v>
      </c>
      <c r="C327" s="27" t="s">
        <v>1040</v>
      </c>
      <c r="D327" s="27" t="s">
        <v>1041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122600</f>
        <v>122600.0</v>
      </c>
      <c r="L327" s="34" t="s">
        <v>48</v>
      </c>
      <c r="M327" s="33" t="n">
        <f>129100</f>
        <v>129100.0</v>
      </c>
      <c r="N327" s="34" t="s">
        <v>54</v>
      </c>
      <c r="O327" s="33" t="n">
        <f>113200</f>
        <v>113200.0</v>
      </c>
      <c r="P327" s="34" t="s">
        <v>50</v>
      </c>
      <c r="Q327" s="33" t="n">
        <f>126600</f>
        <v>126600.0</v>
      </c>
      <c r="R327" s="34" t="s">
        <v>49</v>
      </c>
      <c r="S327" s="35" t="n">
        <f>122163.64</f>
        <v>122163.64</v>
      </c>
      <c r="T327" s="32" t="n">
        <f>21104</f>
        <v>21104.0</v>
      </c>
      <c r="U327" s="32" t="n">
        <f>3323</f>
        <v>3323.0</v>
      </c>
      <c r="V327" s="32" t="n">
        <f>2576275844</f>
        <v>2.576275844E9</v>
      </c>
      <c r="W327" s="32" t="n">
        <f>401747444</f>
        <v>4.01747444E8</v>
      </c>
      <c r="X327" s="36" t="n">
        <f>22</f>
        <v>22.0</v>
      </c>
    </row>
    <row r="328">
      <c r="A328" s="27" t="s">
        <v>42</v>
      </c>
      <c r="B328" s="27" t="s">
        <v>1042</v>
      </c>
      <c r="C328" s="27" t="s">
        <v>1043</v>
      </c>
      <c r="D328" s="27" t="s">
        <v>1044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427000</f>
        <v>427000.0</v>
      </c>
      <c r="L328" s="34" t="s">
        <v>48</v>
      </c>
      <c r="M328" s="33" t="n">
        <f>484000</f>
        <v>484000.0</v>
      </c>
      <c r="N328" s="34" t="s">
        <v>54</v>
      </c>
      <c r="O328" s="33" t="n">
        <f>427000</f>
        <v>427000.0</v>
      </c>
      <c r="P328" s="34" t="s">
        <v>48</v>
      </c>
      <c r="Q328" s="33" t="n">
        <f>473500</f>
        <v>473500.0</v>
      </c>
      <c r="R328" s="34" t="s">
        <v>49</v>
      </c>
      <c r="S328" s="35" t="n">
        <f>450613.64</f>
        <v>450613.64</v>
      </c>
      <c r="T328" s="32" t="n">
        <f>93413</f>
        <v>93413.0</v>
      </c>
      <c r="U328" s="32" t="n">
        <f>18305</f>
        <v>18305.0</v>
      </c>
      <c r="V328" s="32" t="n">
        <f>41514083262</f>
        <v>4.1514083262E10</v>
      </c>
      <c r="W328" s="32" t="n">
        <f>8113754262</f>
        <v>8.113754262E9</v>
      </c>
      <c r="X328" s="36" t="n">
        <f>22</f>
        <v>22.0</v>
      </c>
    </row>
    <row r="329">
      <c r="A329" s="27" t="s">
        <v>42</v>
      </c>
      <c r="B329" s="27" t="s">
        <v>1045</v>
      </c>
      <c r="C329" s="27" t="s">
        <v>1046</v>
      </c>
      <c r="D329" s="27" t="s">
        <v>1047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193500</f>
        <v>193500.0</v>
      </c>
      <c r="L329" s="34" t="s">
        <v>48</v>
      </c>
      <c r="M329" s="33" t="n">
        <f>211600</f>
        <v>211600.0</v>
      </c>
      <c r="N329" s="34" t="s">
        <v>54</v>
      </c>
      <c r="O329" s="33" t="n">
        <f>191900</f>
        <v>191900.0</v>
      </c>
      <c r="P329" s="34" t="s">
        <v>48</v>
      </c>
      <c r="Q329" s="33" t="n">
        <f>207600</f>
        <v>207600.0</v>
      </c>
      <c r="R329" s="34" t="s">
        <v>49</v>
      </c>
      <c r="S329" s="35" t="n">
        <f>200963.64</f>
        <v>200963.64</v>
      </c>
      <c r="T329" s="32" t="n">
        <f>46357</f>
        <v>46357.0</v>
      </c>
      <c r="U329" s="32" t="n">
        <f>7746</f>
        <v>7746.0</v>
      </c>
      <c r="V329" s="32" t="n">
        <f>9311485000</f>
        <v>9.311485E9</v>
      </c>
      <c r="W329" s="32" t="n">
        <f>1550395300</f>
        <v>1.5503953E9</v>
      </c>
      <c r="X329" s="36" t="n">
        <f>22</f>
        <v>22.0</v>
      </c>
    </row>
    <row r="330">
      <c r="A330" s="27" t="s">
        <v>42</v>
      </c>
      <c r="B330" s="27" t="s">
        <v>1048</v>
      </c>
      <c r="C330" s="27" t="s">
        <v>1049</v>
      </c>
      <c r="D330" s="27" t="s">
        <v>1050</v>
      </c>
      <c r="E330" s="28" t="s">
        <v>46</v>
      </c>
      <c r="F330" s="29" t="s">
        <v>46</v>
      </c>
      <c r="G330" s="30" t="s">
        <v>46</v>
      </c>
      <c r="H330" s="31"/>
      <c r="I330" s="31" t="s">
        <v>609</v>
      </c>
      <c r="J330" s="32" t="n">
        <v>1.0</v>
      </c>
      <c r="K330" s="33" t="n">
        <f>115300</f>
        <v>115300.0</v>
      </c>
      <c r="L330" s="34" t="s">
        <v>48</v>
      </c>
      <c r="M330" s="33" t="n">
        <f>126800</f>
        <v>126800.0</v>
      </c>
      <c r="N330" s="34" t="s">
        <v>54</v>
      </c>
      <c r="O330" s="33" t="n">
        <f>113400</f>
        <v>113400.0</v>
      </c>
      <c r="P330" s="34" t="s">
        <v>66</v>
      </c>
      <c r="Q330" s="33" t="n">
        <f>125000</f>
        <v>125000.0</v>
      </c>
      <c r="R330" s="34" t="s">
        <v>49</v>
      </c>
      <c r="S330" s="35" t="n">
        <f>118804.55</f>
        <v>118804.55</v>
      </c>
      <c r="T330" s="32" t="n">
        <f>64003</f>
        <v>64003.0</v>
      </c>
      <c r="U330" s="32" t="n">
        <f>7021</f>
        <v>7021.0</v>
      </c>
      <c r="V330" s="32" t="n">
        <f>7512760264</f>
        <v>7.512760264E9</v>
      </c>
      <c r="W330" s="32" t="n">
        <f>815112664</f>
        <v>8.15112664E8</v>
      </c>
      <c r="X330" s="36" t="n">
        <f>22</f>
        <v>22.0</v>
      </c>
    </row>
    <row r="331">
      <c r="A331" s="27" t="s">
        <v>42</v>
      </c>
      <c r="B331" s="27" t="s">
        <v>1051</v>
      </c>
      <c r="C331" s="27" t="s">
        <v>1052</v>
      </c>
      <c r="D331" s="27" t="s">
        <v>1053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114300</f>
        <v>114300.0</v>
      </c>
      <c r="L331" s="34" t="s">
        <v>48</v>
      </c>
      <c r="M331" s="33" t="n">
        <f>123900</f>
        <v>123900.0</v>
      </c>
      <c r="N331" s="34" t="s">
        <v>54</v>
      </c>
      <c r="O331" s="33" t="n">
        <f>112000</f>
        <v>112000.0</v>
      </c>
      <c r="P331" s="34" t="s">
        <v>62</v>
      </c>
      <c r="Q331" s="33" t="n">
        <f>123100</f>
        <v>123100.0</v>
      </c>
      <c r="R331" s="34" t="s">
        <v>49</v>
      </c>
      <c r="S331" s="35" t="n">
        <f>117004.55</f>
        <v>117004.55</v>
      </c>
      <c r="T331" s="32" t="n">
        <f>129163</f>
        <v>129163.0</v>
      </c>
      <c r="U331" s="32" t="n">
        <f>15335</f>
        <v>15335.0</v>
      </c>
      <c r="V331" s="32" t="n">
        <f>15108315341</f>
        <v>1.5108315341E10</v>
      </c>
      <c r="W331" s="32" t="n">
        <f>1795267541</f>
        <v>1.795267541E9</v>
      </c>
      <c r="X331" s="36" t="n">
        <f>22</f>
        <v>22.0</v>
      </c>
    </row>
    <row r="332">
      <c r="A332" s="27" t="s">
        <v>42</v>
      </c>
      <c r="B332" s="27" t="s">
        <v>1054</v>
      </c>
      <c r="C332" s="27" t="s">
        <v>1055</v>
      </c>
      <c r="D332" s="27" t="s">
        <v>1056</v>
      </c>
      <c r="E332" s="28" t="s">
        <v>46</v>
      </c>
      <c r="F332" s="29" t="s">
        <v>46</v>
      </c>
      <c r="G332" s="30" t="s">
        <v>46</v>
      </c>
      <c r="H332" s="31"/>
      <c r="I332" s="31" t="s">
        <v>609</v>
      </c>
      <c r="J332" s="32" t="n">
        <v>1.0</v>
      </c>
      <c r="K332" s="33" t="n">
        <f>148900</f>
        <v>148900.0</v>
      </c>
      <c r="L332" s="34" t="s">
        <v>48</v>
      </c>
      <c r="M332" s="33" t="n">
        <f>160100</f>
        <v>160100.0</v>
      </c>
      <c r="N332" s="34" t="s">
        <v>54</v>
      </c>
      <c r="O332" s="33" t="n">
        <f>145500</f>
        <v>145500.0</v>
      </c>
      <c r="P332" s="34" t="s">
        <v>62</v>
      </c>
      <c r="Q332" s="33" t="n">
        <f>158000</f>
        <v>158000.0</v>
      </c>
      <c r="R332" s="34" t="s">
        <v>49</v>
      </c>
      <c r="S332" s="35" t="n">
        <f>152000</f>
        <v>152000.0</v>
      </c>
      <c r="T332" s="32" t="n">
        <f>40230</f>
        <v>40230.0</v>
      </c>
      <c r="U332" s="32" t="n">
        <f>6037</f>
        <v>6037.0</v>
      </c>
      <c r="V332" s="32" t="n">
        <f>6123405950</f>
        <v>6.12340595E9</v>
      </c>
      <c r="W332" s="32" t="n">
        <f>918362750</f>
        <v>9.1836275E8</v>
      </c>
      <c r="X332" s="36" t="n">
        <f>22</f>
        <v>22.0</v>
      </c>
    </row>
    <row r="333">
      <c r="A333" s="27" t="s">
        <v>42</v>
      </c>
      <c r="B333" s="27" t="s">
        <v>1057</v>
      </c>
      <c r="C333" s="27" t="s">
        <v>1058</v>
      </c>
      <c r="D333" s="27" t="s">
        <v>1059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653000</f>
        <v>653000.0</v>
      </c>
      <c r="L333" s="34" t="s">
        <v>48</v>
      </c>
      <c r="M333" s="33" t="n">
        <f>709000</f>
        <v>709000.0</v>
      </c>
      <c r="N333" s="34" t="s">
        <v>54</v>
      </c>
      <c r="O333" s="33" t="n">
        <f>632000</f>
        <v>632000.0</v>
      </c>
      <c r="P333" s="34" t="s">
        <v>50</v>
      </c>
      <c r="Q333" s="33" t="n">
        <f>692000</f>
        <v>692000.0</v>
      </c>
      <c r="R333" s="34" t="s">
        <v>49</v>
      </c>
      <c r="S333" s="35" t="n">
        <f>660954.55</f>
        <v>660954.55</v>
      </c>
      <c r="T333" s="32" t="n">
        <f>124351</f>
        <v>124351.0</v>
      </c>
      <c r="U333" s="32" t="n">
        <f>22271</f>
        <v>22271.0</v>
      </c>
      <c r="V333" s="32" t="n">
        <f>82359742011</f>
        <v>8.2359742011E10</v>
      </c>
      <c r="W333" s="32" t="n">
        <f>14738136011</f>
        <v>1.4738136011E10</v>
      </c>
      <c r="X333" s="36" t="n">
        <f>22</f>
        <v>22.0</v>
      </c>
    </row>
    <row r="334">
      <c r="A334" s="27" t="s">
        <v>42</v>
      </c>
      <c r="B334" s="27" t="s">
        <v>1060</v>
      </c>
      <c r="C334" s="27" t="s">
        <v>1061</v>
      </c>
      <c r="D334" s="27" t="s">
        <v>1062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613000</f>
        <v>613000.0</v>
      </c>
      <c r="L334" s="34" t="s">
        <v>48</v>
      </c>
      <c r="M334" s="33" t="n">
        <f>654000</f>
        <v>654000.0</v>
      </c>
      <c r="N334" s="34" t="s">
        <v>100</v>
      </c>
      <c r="O334" s="33" t="n">
        <f>594000</f>
        <v>594000.0</v>
      </c>
      <c r="P334" s="34" t="s">
        <v>50</v>
      </c>
      <c r="Q334" s="33" t="n">
        <f>639000</f>
        <v>639000.0</v>
      </c>
      <c r="R334" s="34" t="s">
        <v>49</v>
      </c>
      <c r="S334" s="35" t="n">
        <f>620045.45</f>
        <v>620045.45</v>
      </c>
      <c r="T334" s="32" t="n">
        <f>95203</f>
        <v>95203.0</v>
      </c>
      <c r="U334" s="32" t="n">
        <f>18767</f>
        <v>18767.0</v>
      </c>
      <c r="V334" s="32" t="n">
        <f>59055621516</f>
        <v>5.9055621516E10</v>
      </c>
      <c r="W334" s="32" t="n">
        <f>11631028516</f>
        <v>1.1631028516E10</v>
      </c>
      <c r="X334" s="36" t="n">
        <f>22</f>
        <v>22.0</v>
      </c>
    </row>
    <row r="335">
      <c r="A335" s="27" t="s">
        <v>42</v>
      </c>
      <c r="B335" s="27" t="s">
        <v>1063</v>
      </c>
      <c r="C335" s="27" t="s">
        <v>1064</v>
      </c>
      <c r="D335" s="27" t="s">
        <v>1065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92900</f>
        <v>92900.0</v>
      </c>
      <c r="L335" s="34" t="s">
        <v>48</v>
      </c>
      <c r="M335" s="33" t="n">
        <f>104500</f>
        <v>104500.0</v>
      </c>
      <c r="N335" s="34" t="s">
        <v>54</v>
      </c>
      <c r="O335" s="33" t="n">
        <f>90400</f>
        <v>90400.0</v>
      </c>
      <c r="P335" s="34" t="s">
        <v>50</v>
      </c>
      <c r="Q335" s="33" t="n">
        <f>103000</f>
        <v>103000.0</v>
      </c>
      <c r="R335" s="34" t="s">
        <v>49</v>
      </c>
      <c r="S335" s="35" t="n">
        <f>96345.45</f>
        <v>96345.45</v>
      </c>
      <c r="T335" s="32" t="n">
        <f>583276</f>
        <v>583276.0</v>
      </c>
      <c r="U335" s="32" t="n">
        <f>130740</f>
        <v>130740.0</v>
      </c>
      <c r="V335" s="32" t="n">
        <f>56200243892</f>
        <v>5.6200243892E10</v>
      </c>
      <c r="W335" s="32" t="n">
        <f>12612741192</f>
        <v>1.2612741192E10</v>
      </c>
      <c r="X335" s="36" t="n">
        <f>22</f>
        <v>22.0</v>
      </c>
    </row>
    <row r="336">
      <c r="A336" s="27" t="s">
        <v>42</v>
      </c>
      <c r="B336" s="27" t="s">
        <v>1066</v>
      </c>
      <c r="C336" s="27" t="s">
        <v>1067</v>
      </c>
      <c r="D336" s="27" t="s">
        <v>1068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160600</f>
        <v>160600.0</v>
      </c>
      <c r="L336" s="34" t="s">
        <v>48</v>
      </c>
      <c r="M336" s="33" t="n">
        <f>178200</f>
        <v>178200.0</v>
      </c>
      <c r="N336" s="34" t="s">
        <v>54</v>
      </c>
      <c r="O336" s="33" t="n">
        <f>157800</f>
        <v>157800.0</v>
      </c>
      <c r="P336" s="34" t="s">
        <v>71</v>
      </c>
      <c r="Q336" s="33" t="n">
        <f>165300</f>
        <v>165300.0</v>
      </c>
      <c r="R336" s="34" t="s">
        <v>49</v>
      </c>
      <c r="S336" s="35" t="n">
        <f>164200</f>
        <v>164200.0</v>
      </c>
      <c r="T336" s="32" t="n">
        <f>273418</f>
        <v>273418.0</v>
      </c>
      <c r="U336" s="32" t="n">
        <f>45149</f>
        <v>45149.0</v>
      </c>
      <c r="V336" s="32" t="n">
        <f>45097678368</f>
        <v>4.5097678368E10</v>
      </c>
      <c r="W336" s="32" t="n">
        <f>7465323268</f>
        <v>7.465323268E9</v>
      </c>
      <c r="X336" s="36" t="n">
        <f>22</f>
        <v>22.0</v>
      </c>
    </row>
    <row r="337">
      <c r="A337" s="27" t="s">
        <v>42</v>
      </c>
      <c r="B337" s="27" t="s">
        <v>1069</v>
      </c>
      <c r="C337" s="27" t="s">
        <v>1070</v>
      </c>
      <c r="D337" s="27" t="s">
        <v>1071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375000</f>
        <v>375000.0</v>
      </c>
      <c r="L337" s="34" t="s">
        <v>48</v>
      </c>
      <c r="M337" s="33" t="n">
        <f>410500</f>
        <v>410500.0</v>
      </c>
      <c r="N337" s="34" t="s">
        <v>54</v>
      </c>
      <c r="O337" s="33" t="n">
        <f>364500</f>
        <v>364500.0</v>
      </c>
      <c r="P337" s="34" t="s">
        <v>50</v>
      </c>
      <c r="Q337" s="33" t="n">
        <f>399500</f>
        <v>399500.0</v>
      </c>
      <c r="R337" s="34" t="s">
        <v>49</v>
      </c>
      <c r="S337" s="35" t="n">
        <f>383636.36</f>
        <v>383636.36</v>
      </c>
      <c r="T337" s="32" t="n">
        <f>53542</f>
        <v>53542.0</v>
      </c>
      <c r="U337" s="32" t="n">
        <f>10375</f>
        <v>10375.0</v>
      </c>
      <c r="V337" s="32" t="n">
        <f>20583480548</f>
        <v>2.0583480548E10</v>
      </c>
      <c r="W337" s="32" t="n">
        <f>3975997048</f>
        <v>3.975997048E9</v>
      </c>
      <c r="X337" s="36" t="n">
        <f>22</f>
        <v>22.0</v>
      </c>
    </row>
    <row r="338">
      <c r="A338" s="27" t="s">
        <v>42</v>
      </c>
      <c r="B338" s="27" t="s">
        <v>1072</v>
      </c>
      <c r="C338" s="27" t="s">
        <v>1073</v>
      </c>
      <c r="D338" s="27" t="s">
        <v>1074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150200</f>
        <v>150200.0</v>
      </c>
      <c r="L338" s="34" t="s">
        <v>48</v>
      </c>
      <c r="M338" s="33" t="n">
        <f>163700</f>
        <v>163700.0</v>
      </c>
      <c r="N338" s="34" t="s">
        <v>54</v>
      </c>
      <c r="O338" s="33" t="n">
        <f>144800</f>
        <v>144800.0</v>
      </c>
      <c r="P338" s="34" t="s">
        <v>96</v>
      </c>
      <c r="Q338" s="33" t="n">
        <f>161100</f>
        <v>161100.0</v>
      </c>
      <c r="R338" s="34" t="s">
        <v>49</v>
      </c>
      <c r="S338" s="35" t="n">
        <f>152363.64</f>
        <v>152363.64</v>
      </c>
      <c r="T338" s="32" t="n">
        <f>100907</f>
        <v>100907.0</v>
      </c>
      <c r="U338" s="32" t="n">
        <f>16958</f>
        <v>16958.0</v>
      </c>
      <c r="V338" s="32" t="n">
        <f>15395531317</f>
        <v>1.5395531317E10</v>
      </c>
      <c r="W338" s="32" t="n">
        <f>2577625717</f>
        <v>2.577625717E9</v>
      </c>
      <c r="X338" s="36" t="n">
        <f>22</f>
        <v>22.0</v>
      </c>
    </row>
    <row r="339">
      <c r="A339" s="27" t="s">
        <v>42</v>
      </c>
      <c r="B339" s="27" t="s">
        <v>1075</v>
      </c>
      <c r="C339" s="27" t="s">
        <v>1076</v>
      </c>
      <c r="D339" s="27" t="s">
        <v>1077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180300</f>
        <v>180300.0</v>
      </c>
      <c r="L339" s="34" t="s">
        <v>48</v>
      </c>
      <c r="M339" s="33" t="n">
        <f>200900</f>
        <v>200900.0</v>
      </c>
      <c r="N339" s="34" t="s">
        <v>54</v>
      </c>
      <c r="O339" s="33" t="n">
        <f>176400</f>
        <v>176400.0</v>
      </c>
      <c r="P339" s="34" t="s">
        <v>50</v>
      </c>
      <c r="Q339" s="33" t="n">
        <f>197700</f>
        <v>197700.0</v>
      </c>
      <c r="R339" s="34" t="s">
        <v>49</v>
      </c>
      <c r="S339" s="35" t="n">
        <f>185677.27</f>
        <v>185677.27</v>
      </c>
      <c r="T339" s="32" t="n">
        <f>65156</f>
        <v>65156.0</v>
      </c>
      <c r="U339" s="32" t="n">
        <f>12645</f>
        <v>12645.0</v>
      </c>
      <c r="V339" s="32" t="n">
        <f>12135739318</f>
        <v>1.2135739318E10</v>
      </c>
      <c r="W339" s="32" t="n">
        <f>2355851318</f>
        <v>2.355851318E9</v>
      </c>
      <c r="X339" s="36" t="n">
        <f>22</f>
        <v>22.0</v>
      </c>
    </row>
    <row r="340">
      <c r="A340" s="27" t="s">
        <v>42</v>
      </c>
      <c r="B340" s="27" t="s">
        <v>1078</v>
      </c>
      <c r="C340" s="27" t="s">
        <v>1079</v>
      </c>
      <c r="D340" s="27" t="s">
        <v>1080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111100</f>
        <v>111100.0</v>
      </c>
      <c r="L340" s="34" t="s">
        <v>48</v>
      </c>
      <c r="M340" s="33" t="n">
        <f>116200</f>
        <v>116200.0</v>
      </c>
      <c r="N340" s="34" t="s">
        <v>100</v>
      </c>
      <c r="O340" s="33" t="n">
        <f>106800</f>
        <v>106800.0</v>
      </c>
      <c r="P340" s="34" t="s">
        <v>96</v>
      </c>
      <c r="Q340" s="33" t="n">
        <f>112100</f>
        <v>112100.0</v>
      </c>
      <c r="R340" s="34" t="s">
        <v>49</v>
      </c>
      <c r="S340" s="35" t="n">
        <f>110909.09</f>
        <v>110909.09</v>
      </c>
      <c r="T340" s="32" t="n">
        <f>71693</f>
        <v>71693.0</v>
      </c>
      <c r="U340" s="32" t="n">
        <f>12716</f>
        <v>12716.0</v>
      </c>
      <c r="V340" s="32" t="n">
        <f>7968910381</f>
        <v>7.968910381E9</v>
      </c>
      <c r="W340" s="32" t="n">
        <f>1413715381</f>
        <v>1.413715381E9</v>
      </c>
      <c r="X340" s="36" t="n">
        <f>22</f>
        <v>22.0</v>
      </c>
    </row>
    <row r="341">
      <c r="A341" s="27" t="s">
        <v>42</v>
      </c>
      <c r="B341" s="27" t="s">
        <v>1081</v>
      </c>
      <c r="C341" s="27" t="s">
        <v>1082</v>
      </c>
      <c r="D341" s="27" t="s">
        <v>1083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132200</f>
        <v>132200.0</v>
      </c>
      <c r="L341" s="34" t="s">
        <v>48</v>
      </c>
      <c r="M341" s="33" t="n">
        <f>145700</f>
        <v>145700.0</v>
      </c>
      <c r="N341" s="34" t="s">
        <v>54</v>
      </c>
      <c r="O341" s="33" t="n">
        <f>122900</f>
        <v>122900.0</v>
      </c>
      <c r="P341" s="34" t="s">
        <v>96</v>
      </c>
      <c r="Q341" s="33" t="n">
        <f>140700</f>
        <v>140700.0</v>
      </c>
      <c r="R341" s="34" t="s">
        <v>49</v>
      </c>
      <c r="S341" s="35" t="n">
        <f>131695.45</f>
        <v>131695.45</v>
      </c>
      <c r="T341" s="32" t="n">
        <f>271192</f>
        <v>271192.0</v>
      </c>
      <c r="U341" s="32" t="n">
        <f>64741</f>
        <v>64741.0</v>
      </c>
      <c r="V341" s="32" t="n">
        <f>35594940294</f>
        <v>3.5594940294E10</v>
      </c>
      <c r="W341" s="32" t="n">
        <f>8470991594</f>
        <v>8.470991594E9</v>
      </c>
      <c r="X341" s="36" t="n">
        <f>22</f>
        <v>22.0</v>
      </c>
    </row>
    <row r="342">
      <c r="A342" s="27" t="s">
        <v>42</v>
      </c>
      <c r="B342" s="27" t="s">
        <v>1084</v>
      </c>
      <c r="C342" s="27" t="s">
        <v>1085</v>
      </c>
      <c r="D342" s="27" t="s">
        <v>1086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137800</f>
        <v>137800.0</v>
      </c>
      <c r="L342" s="34" t="s">
        <v>48</v>
      </c>
      <c r="M342" s="33" t="n">
        <f>147400</f>
        <v>147400.0</v>
      </c>
      <c r="N342" s="34" t="s">
        <v>100</v>
      </c>
      <c r="O342" s="33" t="n">
        <f>134100</f>
        <v>134100.0</v>
      </c>
      <c r="P342" s="34" t="s">
        <v>50</v>
      </c>
      <c r="Q342" s="33" t="n">
        <f>143000</f>
        <v>143000.0</v>
      </c>
      <c r="R342" s="34" t="s">
        <v>49</v>
      </c>
      <c r="S342" s="35" t="n">
        <f>139563.64</f>
        <v>139563.64</v>
      </c>
      <c r="T342" s="32" t="n">
        <f>73824</f>
        <v>73824.0</v>
      </c>
      <c r="U342" s="32" t="n">
        <f>13746</f>
        <v>13746.0</v>
      </c>
      <c r="V342" s="32" t="n">
        <f>10341798274</f>
        <v>1.0341798274E10</v>
      </c>
      <c r="W342" s="32" t="n">
        <f>1928741774</f>
        <v>1.928741774E9</v>
      </c>
      <c r="X342" s="36" t="n">
        <f>22</f>
        <v>22.0</v>
      </c>
    </row>
    <row r="343">
      <c r="A343" s="27" t="s">
        <v>42</v>
      </c>
      <c r="B343" s="27" t="s">
        <v>1087</v>
      </c>
      <c r="C343" s="27" t="s">
        <v>1088</v>
      </c>
      <c r="D343" s="27" t="s">
        <v>1089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39100</f>
        <v>39100.0</v>
      </c>
      <c r="L343" s="34" t="s">
        <v>48</v>
      </c>
      <c r="M343" s="33" t="n">
        <f>43150</f>
        <v>43150.0</v>
      </c>
      <c r="N343" s="34" t="s">
        <v>54</v>
      </c>
      <c r="O343" s="33" t="n">
        <f>36550</f>
        <v>36550.0</v>
      </c>
      <c r="P343" s="34" t="s">
        <v>71</v>
      </c>
      <c r="Q343" s="33" t="n">
        <f>42200</f>
        <v>42200.0</v>
      </c>
      <c r="R343" s="34" t="s">
        <v>49</v>
      </c>
      <c r="S343" s="35" t="n">
        <f>39525</f>
        <v>39525.0</v>
      </c>
      <c r="T343" s="32" t="n">
        <f>671190</f>
        <v>671190.0</v>
      </c>
      <c r="U343" s="32" t="n">
        <f>137853</f>
        <v>137853.0</v>
      </c>
      <c r="V343" s="32" t="n">
        <f>26413753117</f>
        <v>2.6413753117E10</v>
      </c>
      <c r="W343" s="32" t="n">
        <f>5432747267</f>
        <v>5.432747267E9</v>
      </c>
      <c r="X343" s="36" t="n">
        <f>22</f>
        <v>22.0</v>
      </c>
    </row>
    <row r="344">
      <c r="A344" s="27" t="s">
        <v>42</v>
      </c>
      <c r="B344" s="27" t="s">
        <v>1090</v>
      </c>
      <c r="C344" s="27" t="s">
        <v>1091</v>
      </c>
      <c r="D344" s="27" t="s">
        <v>1092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471000</f>
        <v>471000.0</v>
      </c>
      <c r="L344" s="34" t="s">
        <v>48</v>
      </c>
      <c r="M344" s="33" t="n">
        <f>515000</f>
        <v>515000.0</v>
      </c>
      <c r="N344" s="34" t="s">
        <v>54</v>
      </c>
      <c r="O344" s="33" t="n">
        <f>460500</f>
        <v>460500.0</v>
      </c>
      <c r="P344" s="34" t="s">
        <v>96</v>
      </c>
      <c r="Q344" s="33" t="n">
        <f>507000</f>
        <v>507000.0</v>
      </c>
      <c r="R344" s="34" t="s">
        <v>49</v>
      </c>
      <c r="S344" s="35" t="n">
        <f>481727.27</f>
        <v>481727.27</v>
      </c>
      <c r="T344" s="32" t="n">
        <f>55362</f>
        <v>55362.0</v>
      </c>
      <c r="U344" s="32" t="n">
        <f>8336</f>
        <v>8336.0</v>
      </c>
      <c r="V344" s="32" t="n">
        <f>26545023998</f>
        <v>2.6545023998E10</v>
      </c>
      <c r="W344" s="32" t="n">
        <f>3999683998</f>
        <v>3.999683998E9</v>
      </c>
      <c r="X344" s="36" t="n">
        <f>22</f>
        <v>22.0</v>
      </c>
    </row>
    <row r="345">
      <c r="A345" s="27" t="s">
        <v>42</v>
      </c>
      <c r="B345" s="27" t="s">
        <v>1093</v>
      </c>
      <c r="C345" s="27" t="s">
        <v>1094</v>
      </c>
      <c r="D345" s="27" t="s">
        <v>1095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138700</f>
        <v>138700.0</v>
      </c>
      <c r="L345" s="34" t="s">
        <v>48</v>
      </c>
      <c r="M345" s="33" t="n">
        <f>151500</f>
        <v>151500.0</v>
      </c>
      <c r="N345" s="34" t="s">
        <v>54</v>
      </c>
      <c r="O345" s="33" t="n">
        <f>130800</f>
        <v>130800.0</v>
      </c>
      <c r="P345" s="34" t="s">
        <v>50</v>
      </c>
      <c r="Q345" s="33" t="n">
        <f>149800</f>
        <v>149800.0</v>
      </c>
      <c r="R345" s="34" t="s">
        <v>49</v>
      </c>
      <c r="S345" s="35" t="n">
        <f>139209.09</f>
        <v>139209.09</v>
      </c>
      <c r="T345" s="32" t="n">
        <f>58263</f>
        <v>58263.0</v>
      </c>
      <c r="U345" s="32" t="n">
        <f>12390</f>
        <v>12390.0</v>
      </c>
      <c r="V345" s="32" t="n">
        <f>8099874581</f>
        <v>8.099874581E9</v>
      </c>
      <c r="W345" s="32" t="n">
        <f>1720241381</f>
        <v>1.720241381E9</v>
      </c>
      <c r="X345" s="36" t="n">
        <f>22</f>
        <v>22.0</v>
      </c>
    </row>
    <row r="346">
      <c r="A346" s="27" t="s">
        <v>42</v>
      </c>
      <c r="B346" s="27" t="s">
        <v>1096</v>
      </c>
      <c r="C346" s="27" t="s">
        <v>1097</v>
      </c>
      <c r="D346" s="27" t="s">
        <v>1098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300500</f>
        <v>300500.0</v>
      </c>
      <c r="L346" s="34" t="s">
        <v>48</v>
      </c>
      <c r="M346" s="33" t="n">
        <f>323500</f>
        <v>323500.0</v>
      </c>
      <c r="N346" s="34" t="s">
        <v>54</v>
      </c>
      <c r="O346" s="33" t="n">
        <f>290900</f>
        <v>290900.0</v>
      </c>
      <c r="P346" s="34" t="s">
        <v>62</v>
      </c>
      <c r="Q346" s="33" t="n">
        <f>317500</f>
        <v>317500.0</v>
      </c>
      <c r="R346" s="34" t="s">
        <v>49</v>
      </c>
      <c r="S346" s="35" t="n">
        <f>305745.45</f>
        <v>305745.45</v>
      </c>
      <c r="T346" s="32" t="n">
        <f>69060</f>
        <v>69060.0</v>
      </c>
      <c r="U346" s="32" t="n">
        <f>14816</f>
        <v>14816.0</v>
      </c>
      <c r="V346" s="32" t="n">
        <f>21086296117</f>
        <v>2.1086296117E10</v>
      </c>
      <c r="W346" s="32" t="n">
        <f>4544452417</f>
        <v>4.544452417E9</v>
      </c>
      <c r="X346" s="36" t="n">
        <f>22</f>
        <v>22.0</v>
      </c>
    </row>
    <row r="347">
      <c r="A347" s="27" t="s">
        <v>42</v>
      </c>
      <c r="B347" s="27" t="s">
        <v>1099</v>
      </c>
      <c r="C347" s="27" t="s">
        <v>1100</v>
      </c>
      <c r="D347" s="27" t="s">
        <v>1101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157700</f>
        <v>157700.0</v>
      </c>
      <c r="L347" s="34" t="s">
        <v>48</v>
      </c>
      <c r="M347" s="33" t="n">
        <f>170600</f>
        <v>170600.0</v>
      </c>
      <c r="N347" s="34" t="s">
        <v>54</v>
      </c>
      <c r="O347" s="33" t="n">
        <f>152700</f>
        <v>152700.0</v>
      </c>
      <c r="P347" s="34" t="s">
        <v>50</v>
      </c>
      <c r="Q347" s="33" t="n">
        <f>168000</f>
        <v>168000.0</v>
      </c>
      <c r="R347" s="34" t="s">
        <v>49</v>
      </c>
      <c r="S347" s="35" t="n">
        <f>160545.45</f>
        <v>160545.45</v>
      </c>
      <c r="T347" s="32" t="n">
        <f>43264</f>
        <v>43264.0</v>
      </c>
      <c r="U347" s="32" t="n">
        <f>5982</f>
        <v>5982.0</v>
      </c>
      <c r="V347" s="32" t="n">
        <f>6971539723</f>
        <v>6.971539723E9</v>
      </c>
      <c r="W347" s="32" t="n">
        <f>960433623</f>
        <v>9.60433623E8</v>
      </c>
      <c r="X347" s="36" t="n">
        <f>22</f>
        <v>22.0</v>
      </c>
    </row>
    <row r="348">
      <c r="A348" s="27" t="s">
        <v>42</v>
      </c>
      <c r="B348" s="27" t="s">
        <v>1102</v>
      </c>
      <c r="C348" s="27" t="s">
        <v>1103</v>
      </c>
      <c r="D348" s="27" t="s">
        <v>1104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680000</f>
        <v>680000.0</v>
      </c>
      <c r="L348" s="34" t="s">
        <v>48</v>
      </c>
      <c r="M348" s="33" t="n">
        <f>753000</f>
        <v>753000.0</v>
      </c>
      <c r="N348" s="34" t="s">
        <v>54</v>
      </c>
      <c r="O348" s="33" t="n">
        <f>661000</f>
        <v>661000.0</v>
      </c>
      <c r="P348" s="34" t="s">
        <v>50</v>
      </c>
      <c r="Q348" s="33" t="n">
        <f>731000</f>
        <v>731000.0</v>
      </c>
      <c r="R348" s="34" t="s">
        <v>49</v>
      </c>
      <c r="S348" s="35" t="n">
        <f>697500</f>
        <v>697500.0</v>
      </c>
      <c r="T348" s="32" t="n">
        <f>35707</f>
        <v>35707.0</v>
      </c>
      <c r="U348" s="32" t="n">
        <f>5813</f>
        <v>5813.0</v>
      </c>
      <c r="V348" s="32" t="n">
        <f>24954290066</f>
        <v>2.4954290066E10</v>
      </c>
      <c r="W348" s="32" t="n">
        <f>4066055066</f>
        <v>4.066055066E9</v>
      </c>
      <c r="X348" s="36" t="n">
        <f>22</f>
        <v>22.0</v>
      </c>
    </row>
    <row r="349">
      <c r="A349" s="27" t="s">
        <v>42</v>
      </c>
      <c r="B349" s="27" t="s">
        <v>1105</v>
      </c>
      <c r="C349" s="27" t="s">
        <v>1106</v>
      </c>
      <c r="D349" s="27" t="s">
        <v>1107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83900</f>
        <v>83900.0</v>
      </c>
      <c r="L349" s="34" t="s">
        <v>48</v>
      </c>
      <c r="M349" s="33" t="n">
        <f>90100</f>
        <v>90100.0</v>
      </c>
      <c r="N349" s="34" t="s">
        <v>54</v>
      </c>
      <c r="O349" s="33" t="n">
        <f>80700</f>
        <v>80700.0</v>
      </c>
      <c r="P349" s="34" t="s">
        <v>50</v>
      </c>
      <c r="Q349" s="33" t="n">
        <f>88200</f>
        <v>88200.0</v>
      </c>
      <c r="R349" s="34" t="s">
        <v>49</v>
      </c>
      <c r="S349" s="35" t="n">
        <f>84259.09</f>
        <v>84259.09</v>
      </c>
      <c r="T349" s="32" t="n">
        <f>100759</f>
        <v>100759.0</v>
      </c>
      <c r="U349" s="32" t="n">
        <f>18708</f>
        <v>18708.0</v>
      </c>
      <c r="V349" s="32" t="n">
        <f>8469622712</f>
        <v>8.469622712E9</v>
      </c>
      <c r="W349" s="32" t="n">
        <f>1568150912</f>
        <v>1.568150912E9</v>
      </c>
      <c r="X349" s="36" t="n">
        <f>22</f>
        <v>22.0</v>
      </c>
    </row>
    <row r="350">
      <c r="A350" s="27" t="s">
        <v>42</v>
      </c>
      <c r="B350" s="27" t="s">
        <v>1108</v>
      </c>
      <c r="C350" s="27" t="s">
        <v>1109</v>
      </c>
      <c r="D350" s="27" t="s">
        <v>1110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709000</f>
        <v>709000.0</v>
      </c>
      <c r="L350" s="34" t="s">
        <v>48</v>
      </c>
      <c r="M350" s="33" t="n">
        <f>773000</f>
        <v>773000.0</v>
      </c>
      <c r="N350" s="34" t="s">
        <v>54</v>
      </c>
      <c r="O350" s="33" t="n">
        <f>684000</f>
        <v>684000.0</v>
      </c>
      <c r="P350" s="34" t="s">
        <v>143</v>
      </c>
      <c r="Q350" s="33" t="n">
        <f>757000</f>
        <v>757000.0</v>
      </c>
      <c r="R350" s="34" t="s">
        <v>49</v>
      </c>
      <c r="S350" s="35" t="n">
        <f>727363.64</f>
        <v>727363.64</v>
      </c>
      <c r="T350" s="32" t="n">
        <f>33044</f>
        <v>33044.0</v>
      </c>
      <c r="U350" s="32" t="n">
        <f>5485</f>
        <v>5485.0</v>
      </c>
      <c r="V350" s="32" t="n">
        <f>23993334170</f>
        <v>2.399333417E10</v>
      </c>
      <c r="W350" s="32" t="n">
        <f>3999613170</f>
        <v>3.99961317E9</v>
      </c>
      <c r="X350" s="36" t="n">
        <f>22</f>
        <v>22.0</v>
      </c>
    </row>
    <row r="351">
      <c r="A351" s="27" t="s">
        <v>42</v>
      </c>
      <c r="B351" s="27" t="s">
        <v>1111</v>
      </c>
      <c r="C351" s="27" t="s">
        <v>1112</v>
      </c>
      <c r="D351" s="27" t="s">
        <v>1113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145600</f>
        <v>145600.0</v>
      </c>
      <c r="L351" s="34" t="s">
        <v>48</v>
      </c>
      <c r="M351" s="33" t="n">
        <f>155500</f>
        <v>155500.0</v>
      </c>
      <c r="N351" s="34" t="s">
        <v>54</v>
      </c>
      <c r="O351" s="33" t="n">
        <f>139800</f>
        <v>139800.0</v>
      </c>
      <c r="P351" s="34" t="s">
        <v>50</v>
      </c>
      <c r="Q351" s="33" t="n">
        <f>154100</f>
        <v>154100.0</v>
      </c>
      <c r="R351" s="34" t="s">
        <v>49</v>
      </c>
      <c r="S351" s="35" t="n">
        <f>146845.45</f>
        <v>146845.45</v>
      </c>
      <c r="T351" s="32" t="n">
        <f>40724</f>
        <v>40724.0</v>
      </c>
      <c r="U351" s="32" t="n">
        <f>7883</f>
        <v>7883.0</v>
      </c>
      <c r="V351" s="32" t="n">
        <f>5976446117</f>
        <v>5.976446117E9</v>
      </c>
      <c r="W351" s="32" t="n">
        <f>1154870817</f>
        <v>1.154870817E9</v>
      </c>
      <c r="X351" s="36" t="n">
        <f>22</f>
        <v>22.0</v>
      </c>
    </row>
    <row r="352">
      <c r="A352" s="27" t="s">
        <v>42</v>
      </c>
      <c r="B352" s="27" t="s">
        <v>1114</v>
      </c>
      <c r="C352" s="27" t="s">
        <v>1115</v>
      </c>
      <c r="D352" s="27" t="s">
        <v>1116</v>
      </c>
      <c r="E352" s="28" t="s">
        <v>46</v>
      </c>
      <c r="F352" s="29" t="s">
        <v>46</v>
      </c>
      <c r="G352" s="30" t="s">
        <v>46</v>
      </c>
      <c r="H352" s="31"/>
      <c r="I352" s="31" t="s">
        <v>609</v>
      </c>
      <c r="J352" s="32" t="n">
        <v>1.0</v>
      </c>
      <c r="K352" s="33" t="n">
        <f>227400</f>
        <v>227400.0</v>
      </c>
      <c r="L352" s="34" t="s">
        <v>48</v>
      </c>
      <c r="M352" s="33" t="n">
        <f>241100</f>
        <v>241100.0</v>
      </c>
      <c r="N352" s="34" t="s">
        <v>54</v>
      </c>
      <c r="O352" s="33" t="n">
        <f>217600</f>
        <v>217600.0</v>
      </c>
      <c r="P352" s="34" t="s">
        <v>50</v>
      </c>
      <c r="Q352" s="33" t="n">
        <f>238200</f>
        <v>238200.0</v>
      </c>
      <c r="R352" s="34" t="s">
        <v>49</v>
      </c>
      <c r="S352" s="35" t="n">
        <f>228900</f>
        <v>228900.0</v>
      </c>
      <c r="T352" s="32" t="n">
        <f>13832</f>
        <v>13832.0</v>
      </c>
      <c r="U352" s="32" t="n">
        <f>1844</f>
        <v>1844.0</v>
      </c>
      <c r="V352" s="32" t="n">
        <f>3166290460</f>
        <v>3.16629046E9</v>
      </c>
      <c r="W352" s="32" t="n">
        <f>421542860</f>
        <v>4.2154286E8</v>
      </c>
      <c r="X352" s="36" t="n">
        <f>22</f>
        <v>22.0</v>
      </c>
    </row>
    <row r="353">
      <c r="A353" s="27" t="s">
        <v>42</v>
      </c>
      <c r="B353" s="27" t="s">
        <v>1117</v>
      </c>
      <c r="C353" s="27" t="s">
        <v>1118</v>
      </c>
      <c r="D353" s="27" t="s">
        <v>1119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312000</f>
        <v>312000.0</v>
      </c>
      <c r="L353" s="34" t="s">
        <v>48</v>
      </c>
      <c r="M353" s="33" t="n">
        <f>338500</f>
        <v>338500.0</v>
      </c>
      <c r="N353" s="34" t="s">
        <v>54</v>
      </c>
      <c r="O353" s="33" t="n">
        <f>304000</f>
        <v>304000.0</v>
      </c>
      <c r="P353" s="34" t="s">
        <v>96</v>
      </c>
      <c r="Q353" s="33" t="n">
        <f>328000</f>
        <v>328000.0</v>
      </c>
      <c r="R353" s="34" t="s">
        <v>49</v>
      </c>
      <c r="S353" s="35" t="n">
        <f>316590.91</f>
        <v>316590.91</v>
      </c>
      <c r="T353" s="32" t="n">
        <f>161355</f>
        <v>161355.0</v>
      </c>
      <c r="U353" s="32" t="n">
        <f>47688</f>
        <v>47688.0</v>
      </c>
      <c r="V353" s="32" t="n">
        <f>51068476273</f>
        <v>5.1068476273E10</v>
      </c>
      <c r="W353" s="32" t="n">
        <f>15038809773</f>
        <v>1.5038809773E10</v>
      </c>
      <c r="X353" s="36" t="n">
        <f>22</f>
        <v>22.0</v>
      </c>
    </row>
    <row r="354">
      <c r="A354" s="27" t="s">
        <v>42</v>
      </c>
      <c r="B354" s="27" t="s">
        <v>1120</v>
      </c>
      <c r="C354" s="27" t="s">
        <v>1121</v>
      </c>
      <c r="D354" s="27" t="s">
        <v>1122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58400</f>
        <v>58400.0</v>
      </c>
      <c r="L354" s="34" t="s">
        <v>48</v>
      </c>
      <c r="M354" s="33" t="n">
        <f>62800</f>
        <v>62800.0</v>
      </c>
      <c r="N354" s="34" t="s">
        <v>54</v>
      </c>
      <c r="O354" s="33" t="n">
        <f>54700</f>
        <v>54700.0</v>
      </c>
      <c r="P354" s="34" t="s">
        <v>71</v>
      </c>
      <c r="Q354" s="33" t="n">
        <f>62300</f>
        <v>62300.0</v>
      </c>
      <c r="R354" s="34" t="s">
        <v>49</v>
      </c>
      <c r="S354" s="35" t="n">
        <f>59140.91</f>
        <v>59140.91</v>
      </c>
      <c r="T354" s="32" t="n">
        <f>591499</f>
        <v>591499.0</v>
      </c>
      <c r="U354" s="32" t="n">
        <f>134764</f>
        <v>134764.0</v>
      </c>
      <c r="V354" s="32" t="n">
        <f>34816975866</f>
        <v>3.4816975866E10</v>
      </c>
      <c r="W354" s="32" t="n">
        <f>7931674366</f>
        <v>7.931674366E9</v>
      </c>
      <c r="X354" s="36" t="n">
        <f>22</f>
        <v>22.0</v>
      </c>
    </row>
    <row r="355">
      <c r="A355" s="27" t="s">
        <v>42</v>
      </c>
      <c r="B355" s="27" t="s">
        <v>1123</v>
      </c>
      <c r="C355" s="27" t="s">
        <v>1124</v>
      </c>
      <c r="D355" s="27" t="s">
        <v>1125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104700</f>
        <v>104700.0</v>
      </c>
      <c r="L355" s="34" t="s">
        <v>48</v>
      </c>
      <c r="M355" s="33" t="n">
        <f>120000</f>
        <v>120000.0</v>
      </c>
      <c r="N355" s="34" t="s">
        <v>100</v>
      </c>
      <c r="O355" s="33" t="n">
        <f>104700</f>
        <v>104700.0</v>
      </c>
      <c r="P355" s="34" t="s">
        <v>48</v>
      </c>
      <c r="Q355" s="33" t="n">
        <f>115100</f>
        <v>115100.0</v>
      </c>
      <c r="R355" s="34" t="s">
        <v>49</v>
      </c>
      <c r="S355" s="35" t="n">
        <f>112586.36</f>
        <v>112586.36</v>
      </c>
      <c r="T355" s="32" t="n">
        <f>170298</f>
        <v>170298.0</v>
      </c>
      <c r="U355" s="32" t="n">
        <f>36130</f>
        <v>36130.0</v>
      </c>
      <c r="V355" s="32" t="n">
        <f>19249110915</f>
        <v>1.9249110915E10</v>
      </c>
      <c r="W355" s="32" t="n">
        <f>4105872315</f>
        <v>4.105872315E9</v>
      </c>
      <c r="X355" s="36" t="n">
        <f>22</f>
        <v>22.0</v>
      </c>
    </row>
    <row r="356">
      <c r="A356" s="27" t="s">
        <v>42</v>
      </c>
      <c r="B356" s="27" t="s">
        <v>1126</v>
      </c>
      <c r="C356" s="27" t="s">
        <v>1127</v>
      </c>
      <c r="D356" s="27" t="s">
        <v>1128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128800</f>
        <v>128800.0</v>
      </c>
      <c r="L356" s="34" t="s">
        <v>48</v>
      </c>
      <c r="M356" s="33" t="n">
        <f>138600</f>
        <v>138600.0</v>
      </c>
      <c r="N356" s="34" t="s">
        <v>54</v>
      </c>
      <c r="O356" s="33" t="n">
        <f>123400</f>
        <v>123400.0</v>
      </c>
      <c r="P356" s="34" t="s">
        <v>96</v>
      </c>
      <c r="Q356" s="33" t="n">
        <f>135000</f>
        <v>135000.0</v>
      </c>
      <c r="R356" s="34" t="s">
        <v>49</v>
      </c>
      <c r="S356" s="35" t="n">
        <f>129613.64</f>
        <v>129613.64</v>
      </c>
      <c r="T356" s="32" t="n">
        <f>159880</f>
        <v>159880.0</v>
      </c>
      <c r="U356" s="32" t="n">
        <f>79339</f>
        <v>79339.0</v>
      </c>
      <c r="V356" s="32" t="n">
        <f>20570202064</f>
        <v>2.0570202064E10</v>
      </c>
      <c r="W356" s="32" t="n">
        <f>10150338664</f>
        <v>1.0150338664E10</v>
      </c>
      <c r="X356" s="36" t="n">
        <f>22</f>
        <v>22.0</v>
      </c>
    </row>
    <row r="357">
      <c r="A357" s="27" t="s">
        <v>42</v>
      </c>
      <c r="B357" s="27" t="s">
        <v>1129</v>
      </c>
      <c r="C357" s="27" t="s">
        <v>1130</v>
      </c>
      <c r="D357" s="27" t="s">
        <v>1131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108700</f>
        <v>108700.0</v>
      </c>
      <c r="L357" s="34" t="s">
        <v>48</v>
      </c>
      <c r="M357" s="33" t="n">
        <f>111300</f>
        <v>111300.0</v>
      </c>
      <c r="N357" s="34" t="s">
        <v>49</v>
      </c>
      <c r="O357" s="33" t="n">
        <f>107200</f>
        <v>107200.0</v>
      </c>
      <c r="P357" s="34" t="s">
        <v>50</v>
      </c>
      <c r="Q357" s="33" t="n">
        <f>110700</f>
        <v>110700.0</v>
      </c>
      <c r="R357" s="34" t="s">
        <v>49</v>
      </c>
      <c r="S357" s="35" t="n">
        <f>109181.82</f>
        <v>109181.82</v>
      </c>
      <c r="T357" s="32" t="n">
        <f>18038</f>
        <v>18038.0</v>
      </c>
      <c r="U357" s="32" t="n">
        <f>2585</f>
        <v>2585.0</v>
      </c>
      <c r="V357" s="32" t="n">
        <f>1970890747</f>
        <v>1.970890747E9</v>
      </c>
      <c r="W357" s="32" t="n">
        <f>283742347</f>
        <v>2.83742347E8</v>
      </c>
      <c r="X357" s="36" t="n">
        <f>22</f>
        <v>22.0</v>
      </c>
    </row>
    <row r="358">
      <c r="A358" s="27" t="s">
        <v>42</v>
      </c>
      <c r="B358" s="27" t="s">
        <v>1132</v>
      </c>
      <c r="C358" s="27" t="s">
        <v>1133</v>
      </c>
      <c r="D358" s="27" t="s">
        <v>1134</v>
      </c>
      <c r="E358" s="28" t="s">
        <v>46</v>
      </c>
      <c r="F358" s="29" t="s">
        <v>46</v>
      </c>
      <c r="G358" s="30" t="s">
        <v>46</v>
      </c>
      <c r="H358" s="31"/>
      <c r="I358" s="31" t="s">
        <v>609</v>
      </c>
      <c r="J358" s="32" t="n">
        <v>1.0</v>
      </c>
      <c r="K358" s="33" t="n">
        <f>66700</f>
        <v>66700.0</v>
      </c>
      <c r="L358" s="34" t="s">
        <v>48</v>
      </c>
      <c r="M358" s="33" t="n">
        <f>68400</f>
        <v>68400.0</v>
      </c>
      <c r="N358" s="34" t="s">
        <v>49</v>
      </c>
      <c r="O358" s="33" t="n">
        <f>65500</f>
        <v>65500.0</v>
      </c>
      <c r="P358" s="34" t="s">
        <v>50</v>
      </c>
      <c r="Q358" s="33" t="n">
        <f>68300</f>
        <v>68300.0</v>
      </c>
      <c r="R358" s="34" t="s">
        <v>49</v>
      </c>
      <c r="S358" s="35" t="n">
        <f>66972.73</f>
        <v>66972.73</v>
      </c>
      <c r="T358" s="32" t="n">
        <f>1609</f>
        <v>1609.0</v>
      </c>
      <c r="U358" s="32" t="n">
        <f>8</f>
        <v>8.0</v>
      </c>
      <c r="V358" s="32" t="n">
        <f>107841700</f>
        <v>1.078417E8</v>
      </c>
      <c r="W358" s="32" t="n">
        <f>530000</f>
        <v>530000.0</v>
      </c>
      <c r="X358" s="36" t="n">
        <f>22</f>
        <v>22.0</v>
      </c>
    </row>
    <row r="359">
      <c r="A359" s="27" t="s">
        <v>42</v>
      </c>
      <c r="B359" s="27" t="s">
        <v>1135</v>
      </c>
      <c r="C359" s="27" t="s">
        <v>1136</v>
      </c>
      <c r="D359" s="27" t="s">
        <v>1137</v>
      </c>
      <c r="E359" s="28" t="s">
        <v>46</v>
      </c>
      <c r="F359" s="29" t="s">
        <v>46</v>
      </c>
      <c r="G359" s="30" t="s">
        <v>46</v>
      </c>
      <c r="H359" s="31"/>
      <c r="I359" s="31" t="s">
        <v>609</v>
      </c>
      <c r="J359" s="32" t="n">
        <v>1.0</v>
      </c>
      <c r="K359" s="33" t="n">
        <f>100800</f>
        <v>100800.0</v>
      </c>
      <c r="L359" s="34" t="s">
        <v>48</v>
      </c>
      <c r="M359" s="33" t="n">
        <f>102200</f>
        <v>102200.0</v>
      </c>
      <c r="N359" s="34" t="s">
        <v>78</v>
      </c>
      <c r="O359" s="33" t="n">
        <f>99600</f>
        <v>99600.0</v>
      </c>
      <c r="P359" s="34" t="s">
        <v>50</v>
      </c>
      <c r="Q359" s="33" t="n">
        <f>102000</f>
        <v>102000.0</v>
      </c>
      <c r="R359" s="34" t="s">
        <v>49</v>
      </c>
      <c r="S359" s="35" t="n">
        <f>100877.27</f>
        <v>100877.27</v>
      </c>
      <c r="T359" s="32" t="n">
        <f>4415</f>
        <v>4415.0</v>
      </c>
      <c r="U359" s="32" t="n">
        <f>128</f>
        <v>128.0</v>
      </c>
      <c r="V359" s="32" t="n">
        <f>444729196</f>
        <v>4.44729196E8</v>
      </c>
      <c r="W359" s="32" t="n">
        <f>12988596</f>
        <v>1.2988596E7</v>
      </c>
      <c r="X359" s="36" t="n">
        <f>22</f>
        <v>22.0</v>
      </c>
    </row>
    <row r="360">
      <c r="A360" s="27" t="s">
        <v>42</v>
      </c>
      <c r="B360" s="27" t="s">
        <v>1138</v>
      </c>
      <c r="C360" s="27" t="s">
        <v>1139</v>
      </c>
      <c r="D360" s="27" t="s">
        <v>1140</v>
      </c>
      <c r="E360" s="28" t="s">
        <v>46</v>
      </c>
      <c r="F360" s="29" t="s">
        <v>46</v>
      </c>
      <c r="G360" s="30" t="s">
        <v>46</v>
      </c>
      <c r="H360" s="31"/>
      <c r="I360" s="31" t="s">
        <v>609</v>
      </c>
      <c r="J360" s="32" t="n">
        <v>1.0</v>
      </c>
      <c r="K360" s="33" t="n">
        <f>117900</f>
        <v>117900.0</v>
      </c>
      <c r="L360" s="34" t="s">
        <v>48</v>
      </c>
      <c r="M360" s="33" t="n">
        <f>121700</f>
        <v>121700.0</v>
      </c>
      <c r="N360" s="34" t="s">
        <v>49</v>
      </c>
      <c r="O360" s="33" t="n">
        <f>116300</f>
        <v>116300.0</v>
      </c>
      <c r="P360" s="34" t="s">
        <v>61</v>
      </c>
      <c r="Q360" s="33" t="n">
        <f>121600</f>
        <v>121600.0</v>
      </c>
      <c r="R360" s="34" t="s">
        <v>49</v>
      </c>
      <c r="S360" s="35" t="n">
        <f>118322.73</f>
        <v>118322.73</v>
      </c>
      <c r="T360" s="32" t="n">
        <f>8466</f>
        <v>8466.0</v>
      </c>
      <c r="U360" s="32" t="n">
        <f>146</f>
        <v>146.0</v>
      </c>
      <c r="V360" s="32" t="n">
        <f>1001409604</f>
        <v>1.001409604E9</v>
      </c>
      <c r="W360" s="32" t="n">
        <f>17470104</f>
        <v>1.7470104E7</v>
      </c>
      <c r="X360" s="36" t="n">
        <f>22</f>
        <v>22.0</v>
      </c>
    </row>
    <row r="361">
      <c r="A361" s="27" t="s">
        <v>42</v>
      </c>
      <c r="B361" s="27" t="s">
        <v>1141</v>
      </c>
      <c r="C361" s="27" t="s">
        <v>1142</v>
      </c>
      <c r="D361" s="27" t="s">
        <v>1143</v>
      </c>
      <c r="E361" s="28" t="s">
        <v>46</v>
      </c>
      <c r="F361" s="29" t="s">
        <v>46</v>
      </c>
      <c r="G361" s="30" t="s">
        <v>46</v>
      </c>
      <c r="H361" s="31"/>
      <c r="I361" s="31" t="s">
        <v>609</v>
      </c>
      <c r="J361" s="32" t="n">
        <v>1.0</v>
      </c>
      <c r="K361" s="33" t="n">
        <f>92400</f>
        <v>92400.0</v>
      </c>
      <c r="L361" s="34" t="s">
        <v>48</v>
      </c>
      <c r="M361" s="33" t="n">
        <f>95700</f>
        <v>95700.0</v>
      </c>
      <c r="N361" s="34" t="s">
        <v>54</v>
      </c>
      <c r="O361" s="33" t="n">
        <f>91500</f>
        <v>91500.0</v>
      </c>
      <c r="P361" s="34" t="s">
        <v>50</v>
      </c>
      <c r="Q361" s="33" t="n">
        <f>95000</f>
        <v>95000.0</v>
      </c>
      <c r="R361" s="34" t="s">
        <v>49</v>
      </c>
      <c r="S361" s="35" t="n">
        <f>92772.73</f>
        <v>92772.73</v>
      </c>
      <c r="T361" s="32" t="n">
        <f>3109</f>
        <v>3109.0</v>
      </c>
      <c r="U361" s="32" t="n">
        <f>7</f>
        <v>7.0</v>
      </c>
      <c r="V361" s="32" t="n">
        <f>288882400</f>
        <v>2.888824E8</v>
      </c>
      <c r="W361" s="32" t="n">
        <f>646500</f>
        <v>646500.0</v>
      </c>
      <c r="X361" s="36" t="n">
        <f>22</f>
        <v>22.0</v>
      </c>
    </row>
    <row r="362">
      <c r="A362" s="27" t="s">
        <v>42</v>
      </c>
      <c r="B362" s="27" t="s">
        <v>1144</v>
      </c>
      <c r="C362" s="27" t="s">
        <v>1145</v>
      </c>
      <c r="D362" s="27" t="s">
        <v>1146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89000</f>
        <v>89000.0</v>
      </c>
      <c r="L362" s="34" t="s">
        <v>48</v>
      </c>
      <c r="M362" s="33" t="n">
        <f>91200</f>
        <v>91200.0</v>
      </c>
      <c r="N362" s="34" t="s">
        <v>49</v>
      </c>
      <c r="O362" s="33" t="n">
        <f>88600</f>
        <v>88600.0</v>
      </c>
      <c r="P362" s="34" t="s">
        <v>50</v>
      </c>
      <c r="Q362" s="33" t="n">
        <f>90800</f>
        <v>90800.0</v>
      </c>
      <c r="R362" s="34" t="s">
        <v>49</v>
      </c>
      <c r="S362" s="35" t="n">
        <f>89663.64</f>
        <v>89663.64</v>
      </c>
      <c r="T362" s="32" t="n">
        <f>17433</f>
        <v>17433.0</v>
      </c>
      <c r="U362" s="32" t="n">
        <f>111</f>
        <v>111.0</v>
      </c>
      <c r="V362" s="32" t="n">
        <f>1564390300</f>
        <v>1.5643903E9</v>
      </c>
      <c r="W362" s="32" t="n">
        <f>10034800</f>
        <v>1.00348E7</v>
      </c>
      <c r="X362" s="36" t="n">
        <f>22</f>
        <v>22.0</v>
      </c>
    </row>
    <row r="363">
      <c r="A363" s="27" t="s">
        <v>42</v>
      </c>
      <c r="B363" s="27" t="s">
        <v>1147</v>
      </c>
      <c r="C363" s="27" t="s">
        <v>1148</v>
      </c>
      <c r="D363" s="27" t="s">
        <v>1149</v>
      </c>
      <c r="E363" s="28" t="s">
        <v>46</v>
      </c>
      <c r="F363" s="29" t="s">
        <v>46</v>
      </c>
      <c r="G363" s="30" t="s">
        <v>46</v>
      </c>
      <c r="H363" s="31"/>
      <c r="I363" s="31" t="s">
        <v>609</v>
      </c>
      <c r="J363" s="32" t="n">
        <v>1.0</v>
      </c>
      <c r="K363" s="33" t="n">
        <f>90500</f>
        <v>90500.0</v>
      </c>
      <c r="L363" s="34" t="s">
        <v>48</v>
      </c>
      <c r="M363" s="33" t="n">
        <f>91900</f>
        <v>91900.0</v>
      </c>
      <c r="N363" s="34" t="s">
        <v>49</v>
      </c>
      <c r="O363" s="33" t="n">
        <f>89500</f>
        <v>89500.0</v>
      </c>
      <c r="P363" s="34" t="s">
        <v>62</v>
      </c>
      <c r="Q363" s="33" t="n">
        <f>91900</f>
        <v>91900.0</v>
      </c>
      <c r="R363" s="34" t="s">
        <v>49</v>
      </c>
      <c r="S363" s="35" t="n">
        <f>90513.64</f>
        <v>90513.64</v>
      </c>
      <c r="T363" s="32" t="n">
        <f>10316</f>
        <v>10316.0</v>
      </c>
      <c r="U363" s="32" t="n">
        <f>109</f>
        <v>109.0</v>
      </c>
      <c r="V363" s="32" t="n">
        <f>933794400</f>
        <v>9.337944E8</v>
      </c>
      <c r="W363" s="32" t="n">
        <f>9948200</f>
        <v>9948200.0</v>
      </c>
      <c r="X363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