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<sst xmlns="http://schemas.openxmlformats.org/spreadsheetml/2006/main" count="4323" uniqueCount="1138">
  <si>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</si>
  <si>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</si>
  <si>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</si>
  <si>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</si>
  <si>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</si>
  <si>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</si>
  <si>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</si>
  <si>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</si>
  <si>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</si>
  <si>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</si>
  <si>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</si>
  <si>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</si>
  <si>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</si>
  <si>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</si>
  <si>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</si>
  <si>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</si>
  <si>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</si>
  <si>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</si>
  <si>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</si>
  <si>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</si>
  <si>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</si>
  <si>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</si>
  <si>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</si>
  <si>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</si>
  <si>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</si>
  <si>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</si>
  <si>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</si>
  <si>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</si>
  <si>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</si>
  <si>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</si>
  <si>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</si>
  <si>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</si>
  <si>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</si>
  <si>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</si>
  <si>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</si>
  <si>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</si>
  <si>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</si>
  <si>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</si>
  <si>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</si>
  <si>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</si>
  <si>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</si>
  <si>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</si>
  <si>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2022/04</t>
  </si>
  <si>
    <t>1305</t>
  </si>
  <si>
    <t>ダイワ上場投信－トピックス　受益証券</t>
  </si>
  <si>
    <t>Daiwa ETF-TOPIX</t>
  </si>
  <si>
    <t/>
  </si>
  <si>
    <t>貸借</t>
  </si>
  <si>
    <t>1</t>
  </si>
  <si>
    <t>5</t>
  </si>
  <si>
    <t>27</t>
  </si>
  <si>
    <t>28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</si>
  <si>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</si>
  <si>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</si>
  <si>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</si>
  <si>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</si>
  <si>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</si>
  <si>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</si>
  <si>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</si>
  <si>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</si>
  <si>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</si>
  <si>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15</t>
  </si>
  <si>
    <t>26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</si>
  <si>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</si>
  <si>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</si>
  <si>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</si>
  <si>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</si>
  <si>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</si>
  <si>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</si>
  <si>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1313</t>
  </si>
  <si>
    <t>サムスンＫＯＤＥＸ２００証券上場指数投資信託[株式]　受益証券</t>
  </si>
  <si>
    <t>SAMSUNG KODEX200 SECURITIES EXCHANGE TRADED FUND [STOCK]</t>
  </si>
  <si>
    <t>4</t>
  </si>
  <si>
    <t>19</t>
  </si>
  <si>
    <t>1319</t>
  </si>
  <si>
    <t>ＮＥＸＴ　ＦＵＮＤＳ　日経３００株価指数連動型上場投信　受益証券</t>
  </si>
  <si>
    <t>NEXT FUNDS Nikkei 300 Index Exchange Traded Fund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</si>
  <si>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</si>
  <si>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</si>
  <si>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</si>
  <si>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</si>
  <si>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</si>
  <si>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</si>
  <si>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</si>
  <si>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</si>
  <si>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</si>
  <si>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8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</si>
  <si>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</si>
  <si>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</si>
  <si>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</si>
  <si>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確</t>
  </si>
  <si>
    <t>14</t>
  </si>
  <si>
    <t>7</t>
  </si>
  <si>
    <t>1324</t>
  </si>
  <si>
    <t>ＮＥＸＴ　ＦＵＮＤＳ　ロシア株式指数・ＲＴＳ連動型上場投信　受益証券</t>
  </si>
  <si>
    <t>NEXT FUNDS Russia RTS Linked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</si>
  <si>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</si>
  <si>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</si>
  <si>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</si>
  <si>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</si>
  <si>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</si>
  <si>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</si>
  <si>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</si>
  <si>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</si>
  <si>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</si>
  <si>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</si>
  <si>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</si>
  <si>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</si>
  <si>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</si>
  <si>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</si>
  <si>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</si>
  <si>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</si>
  <si>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</si>
  <si>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</si>
  <si>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20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</si>
  <si>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</si>
  <si>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</si>
  <si>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</si>
  <si>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</si>
  <si>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</si>
  <si>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</si>
  <si>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</si>
  <si>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</si>
  <si>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</si>
  <si>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</si>
  <si>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</si>
  <si>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</si>
  <si>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</si>
  <si>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</si>
  <si>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</si>
  <si>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</si>
  <si>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</si>
  <si>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</si>
  <si>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</si>
  <si>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</si>
  <si>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</si>
  <si>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</si>
  <si>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</si>
  <si>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</si>
  <si>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</si>
  <si>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</si>
  <si>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</si>
  <si>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</si>
  <si>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</si>
  <si>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</si>
  <si>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</si>
  <si>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</si>
  <si>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</si>
  <si>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</si>
  <si>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</si>
  <si>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</si>
  <si>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</si>
  <si>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</si>
  <si>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</si>
  <si>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</si>
  <si>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</si>
  <si>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</si>
  <si>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</si>
  <si>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</si>
  <si>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</si>
  <si>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</si>
  <si>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</si>
  <si>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</si>
  <si>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</si>
  <si>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</si>
  <si>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</si>
  <si>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21</t>
  </si>
  <si>
    <t>11</t>
  </si>
  <si>
    <t>25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</si>
  <si>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</si>
  <si>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</si>
  <si>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</si>
  <si>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</si>
  <si>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</si>
  <si>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</si>
  <si>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</si>
  <si>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</si>
  <si>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</si>
  <si>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</si>
  <si>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</si>
  <si>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</si>
  <si>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</si>
  <si>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</si>
  <si>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</si>
  <si>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</si>
  <si>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</si>
  <si>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</si>
  <si>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</si>
  <si>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</si>
  <si>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</si>
  <si>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</si>
  <si>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</si>
  <si>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</si>
  <si>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</si>
  <si>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</si>
  <si>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</si>
  <si>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</si>
  <si>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</si>
  <si>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</si>
  <si>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</si>
  <si>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</si>
  <si>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</si>
  <si>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</si>
  <si>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</si>
  <si>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</si>
  <si>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</si>
  <si>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</si>
  <si>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</si>
  <si>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</si>
  <si>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</si>
  <si>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</si>
  <si>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</si>
  <si>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</si>
  <si>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</si>
  <si>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</si>
  <si>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</si>
  <si>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</si>
  <si>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</si>
  <si>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</si>
  <si>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</si>
  <si>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</si>
  <si>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</si>
  <si>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</si>
  <si>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</si>
  <si>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</si>
  <si>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</si>
  <si>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6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</si>
  <si>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</si>
  <si>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</si>
  <si>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</si>
  <si>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</si>
  <si>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</si>
  <si>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</si>
  <si>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</si>
  <si>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</si>
  <si>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</si>
  <si>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</si>
  <si>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</si>
  <si>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</si>
  <si>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</si>
  <si>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</si>
  <si>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</si>
  <si>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</si>
  <si>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</si>
  <si>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</si>
  <si>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</si>
  <si>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</si>
  <si>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</si>
  <si>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</si>
  <si>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</si>
  <si>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</si>
  <si>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</si>
  <si>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</si>
  <si>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</si>
  <si>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12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</si>
  <si>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</si>
  <si>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</si>
  <si>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</si>
  <si>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</si>
  <si>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</si>
  <si>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</si>
  <si>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</si>
  <si>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</si>
  <si>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</si>
  <si>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22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</si>
  <si>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</si>
  <si>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</si>
  <si>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</si>
  <si>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</si>
  <si>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</si>
  <si>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</si>
  <si>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</si>
  <si>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</si>
  <si>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</si>
  <si>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</si>
  <si>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</si>
  <si>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</si>
  <si>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</si>
  <si>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</si>
  <si>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</si>
  <si>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</si>
  <si>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</si>
  <si>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</si>
  <si>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</si>
  <si>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</si>
  <si>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</si>
  <si>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</si>
  <si>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</si>
  <si>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</si>
  <si>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</si>
  <si>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</si>
  <si>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</si>
  <si>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</si>
  <si>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</si>
  <si>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</si>
  <si>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</si>
  <si>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</si>
  <si>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</si>
  <si>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</si>
  <si>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</si>
  <si>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</si>
  <si>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</si>
  <si>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</si>
  <si>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</si>
  <si>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</si>
  <si>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</si>
  <si>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</si>
  <si>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</si>
  <si>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</si>
  <si>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</si>
  <si>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</si>
  <si>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</si>
  <si>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</si>
  <si>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</si>
  <si>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</si>
  <si>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</si>
  <si>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</si>
  <si>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</si>
  <si>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</si>
  <si>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</si>
  <si>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</si>
  <si>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</si>
  <si>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</si>
  <si>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</si>
  <si>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</si>
  <si>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</si>
  <si>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</si>
  <si>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</si>
  <si>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</si>
  <si>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</si>
  <si>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</si>
  <si>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</si>
  <si>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</si>
  <si>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</si>
  <si>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</si>
  <si>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</si>
  <si>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</si>
  <si>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</si>
  <si>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</si>
  <si>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</si>
  <si>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</si>
  <si>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</si>
  <si>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</si>
  <si>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</si>
  <si>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</si>
  <si>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</si>
  <si>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</si>
  <si>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</si>
  <si>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</si>
  <si>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</si>
  <si>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</si>
  <si>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</si>
  <si>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</si>
  <si>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</si>
  <si>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</si>
  <si>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</si>
  <si>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</si>
  <si>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</si>
  <si>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</si>
  <si>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</si>
  <si>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</si>
  <si>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</si>
  <si>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</si>
  <si>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</si>
  <si>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</si>
  <si>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</si>
  <si>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</si>
  <si>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</si>
  <si>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</si>
  <si>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</si>
  <si>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</si>
  <si>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</si>
  <si>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</si>
  <si>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</si>
  <si>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</si>
  <si>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</si>
  <si>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</si>
  <si>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</si>
  <si>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</si>
  <si>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</si>
  <si>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</si>
  <si>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</si>
  <si>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1575</t>
  </si>
  <si>
    <t>ＣｈｉｎａＡＭＣ　ＣＳＩ　３００　Ｉｎｄｅｘ　ＥＴＦ－ＪＤＲ　受益証券</t>
  </si>
  <si>
    <t>ChinaAMC CSI 300 Index ETF-JDR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</si>
  <si>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</si>
  <si>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</si>
  <si>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</si>
  <si>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</si>
  <si>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</si>
  <si>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</si>
  <si>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</si>
  <si>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</si>
  <si>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</si>
  <si>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</si>
  <si>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</si>
  <si>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</si>
  <si>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</si>
  <si>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</si>
  <si>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</si>
  <si>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</si>
  <si>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</si>
  <si>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</si>
  <si>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</si>
  <si>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</si>
  <si>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</si>
  <si>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</si>
  <si>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</si>
  <si>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</si>
  <si>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</si>
  <si>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</si>
  <si>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</si>
  <si>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</si>
  <si>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</si>
  <si>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</si>
  <si>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</si>
  <si>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</si>
  <si>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</si>
  <si>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</si>
  <si>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</si>
  <si>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</si>
  <si>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</si>
  <si>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</si>
  <si>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</si>
  <si>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</si>
  <si>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ダイワ上場投信－ＪＰＸ日経４００　受益証券</t>
  </si>
  <si>
    <t>Daiwa ETF JPX-Nikkei 400</t>
  </si>
  <si>
    <t>13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</si>
  <si>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</si>
  <si>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</si>
  <si>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</si>
  <si>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</si>
  <si>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</si>
  <si>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</si>
  <si>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18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</si>
  <si>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</si>
  <si>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</si>
  <si>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</si>
  <si>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</si>
  <si>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</si>
  <si>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</si>
  <si>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</si>
  <si>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</si>
  <si>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</si>
  <si>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</si>
  <si>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</si>
  <si>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</si>
  <si>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</si>
  <si>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</si>
  <si>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</si>
  <si>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</si>
  <si>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</si>
  <si>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</si>
  <si>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</si>
  <si>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</si>
  <si>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</si>
  <si>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</si>
  <si>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</si>
  <si>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</si>
  <si>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</si>
  <si>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</si>
  <si>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</si>
  <si>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</si>
  <si>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</si>
  <si>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</si>
  <si>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</si>
  <si>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</si>
  <si>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</si>
  <si>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</si>
  <si>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</si>
  <si>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</si>
  <si>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</si>
  <si>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</si>
  <si>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</si>
  <si>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</si>
  <si>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</si>
  <si>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</si>
  <si>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</si>
  <si>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</si>
  <si>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</si>
  <si>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</si>
  <si>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</si>
  <si>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</si>
  <si>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</si>
  <si>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</si>
  <si>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</si>
  <si>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</si>
  <si>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</si>
  <si>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</si>
  <si>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</si>
  <si>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</si>
  <si>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</si>
  <si>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</si>
  <si>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</si>
  <si>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</si>
  <si>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</si>
  <si>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</si>
  <si>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</si>
  <si>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</si>
  <si>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</si>
  <si>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</si>
  <si>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</si>
  <si>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</si>
  <si>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</si>
  <si>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</si>
  <si>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</si>
  <si>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</si>
  <si>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</si>
  <si>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</si>
  <si>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</si>
  <si>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</si>
  <si>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</si>
  <si>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</si>
  <si>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</si>
  <si>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</si>
  <si>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</si>
  <si>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</si>
  <si>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</si>
  <si>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</si>
  <si>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</si>
  <si>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</si>
  <si>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</si>
  <si>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</si>
  <si>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</si>
  <si>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</si>
  <si>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</si>
  <si>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</si>
  <si>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</si>
  <si>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</si>
  <si>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</si>
  <si>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</si>
  <si>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</si>
  <si>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</si>
  <si>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</si>
  <si>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</si>
  <si>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</si>
  <si>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</si>
  <si>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</si>
  <si>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</si>
  <si>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</si>
  <si>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</si>
  <si>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</si>
  <si>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</si>
  <si>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</si>
  <si>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</si>
  <si>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</si>
  <si>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</si>
  <si>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</si>
  <si>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</si>
  <si>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</si>
  <si>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</si>
  <si>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</si>
  <si>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</si>
  <si>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</si>
  <si>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</si>
  <si>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</si>
  <si>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</si>
  <si>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</si>
  <si>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</si>
  <si>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</si>
  <si>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</si>
  <si>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</si>
  <si>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</si>
  <si>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</si>
  <si>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</si>
  <si>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</si>
  <si>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</si>
  <si>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</si>
  <si>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</si>
  <si>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</si>
  <si>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</si>
  <si>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</si>
  <si>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</si>
  <si>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</si>
  <si>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</si>
  <si>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</si>
  <si>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</si>
  <si>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</si>
  <si>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</si>
  <si>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</si>
  <si>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</si>
  <si>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</si>
  <si>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</si>
  <si>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</si>
  <si>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</si>
  <si>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</si>
  <si>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</si>
  <si>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</si>
  <si>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</si>
  <si>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</si>
  <si>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</si>
  <si>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</si>
  <si>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</si>
  <si>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</si>
  <si>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</si>
  <si>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</si>
  <si>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</si>
  <si>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</si>
  <si>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</si>
  <si>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</si>
  <si>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</si>
  <si>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</si>
  <si>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</si>
  <si>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</si>
  <si>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</si>
  <si>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</si>
  <si>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</si>
  <si>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</si>
  <si>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</si>
  <si>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</si>
  <si>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</si>
  <si>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</si>
  <si>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</si>
  <si>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</si>
  <si>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</si>
  <si>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</si>
  <si>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</si>
  <si>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</si>
  <si>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</si>
  <si>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</si>
  <si>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</si>
  <si>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</si>
  <si>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</si>
  <si>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</si>
  <si>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</si>
  <si>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</si>
  <si>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</si>
  <si>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</si>
  <si>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</si>
  <si>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</si>
  <si>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</si>
  <si>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</si>
  <si>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</si>
  <si>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</si>
  <si>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</si>
  <si>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</si>
  <si>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</si>
  <si>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</si>
  <si>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</si>
  <si>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</si>
  <si>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</si>
  <si>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</si>
  <si>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</si>
  <si>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</si>
  <si>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</si>
  <si>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</si>
  <si>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</si>
  <si>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</si>
  <si>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</si>
  <si>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</si>
  <si>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</si>
  <si>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</si>
  <si>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</si>
  <si>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</si>
  <si>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</si>
  <si>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</si>
  <si>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</si>
  <si>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</si>
  <si>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</si>
  <si>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</si>
  <si>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</si>
  <si>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</si>
  <si>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</si>
  <si>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</si>
  <si>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</si>
  <si>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</si>
  <si>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</si>
  <si>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</si>
  <si>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</si>
  <si>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</si>
  <si>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</si>
  <si>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</si>
  <si>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</si>
  <si>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</si>
  <si>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</si>
  <si>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</si>
  <si>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</si>
  <si>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</si>
  <si>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</si>
  <si>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</si>
  <si>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</si>
  <si>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</si>
  <si>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</si>
  <si>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</si>
  <si>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</si>
  <si>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</si>
  <si>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</si>
  <si>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</si>
  <si>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</si>
  <si>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</si>
  <si>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</si>
  <si>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</si>
  <si>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</si>
  <si>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</si>
  <si>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</si>
  <si>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</si>
  <si>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</si>
  <si>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</si>
  <si>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</si>
  <si>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</si>
  <si>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</si>
  <si>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</si>
  <si>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</si>
  <si>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</si>
  <si>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</si>
  <si>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</si>
  <si>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</si>
  <si>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</si>
  <si>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</si>
  <si>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</si>
  <si>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</si>
  <si>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</si>
  <si>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</si>
  <si>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</si>
  <si>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</si>
  <si>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</si>
  <si>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</si>
  <si>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</si>
  <si>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</si>
  <si>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</si>
  <si>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</si>
  <si>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</si>
  <si>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</si>
  <si>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</si>
  <si>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</si>
  <si>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</si>
  <si>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</si>
  <si>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</si>
  <si>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</si>
  <si>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</si>
  <si>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</si>
  <si>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</si>
  <si>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</si>
  <si>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</si>
  <si>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</si>
  <si>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</si>
  <si>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</si>
  <si>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</si>
  <si>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</si>
  <si>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</si>
  <si>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</si>
  <si>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</si>
  <si>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</si>
  <si>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</si>
  <si>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</si>
  <si>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</si>
  <si>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</si>
  <si>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</si>
  <si>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</si>
  <si>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</si>
  <si>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</si>
  <si>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</si>
  <si>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</si>
  <si>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</si>
  <si>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</si>
  <si>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</si>
  <si>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</si>
  <si>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</si>
  <si>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</si>
  <si>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</si>
  <si>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</si>
  <si>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</si>
  <si>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</si>
  <si>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</si>
  <si>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</si>
  <si>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</si>
  <si>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</si>
  <si>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</si>
  <si>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</si>
  <si>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</si>
  <si>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</si>
  <si>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</si>
  <si>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</si>
  <si>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</si>
  <si>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</si>
  <si>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</si>
  <si>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</si>
  <si>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</si>
  <si>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</si>
  <si>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</si>
  <si>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</si>
  <si>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</si>
  <si>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</si>
  <si>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</si>
  <si>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</si>
  <si>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</si>
  <si>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</si>
  <si>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</si>
  <si>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</si>
  <si>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</si>
  <si>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</si>
  <si>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</si>
  <si>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</si>
  <si>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</si>
  <si>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</si>
  <si>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</si>
  <si>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</si>
  <si>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</si>
  <si>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</si>
  <si>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</si>
  <si>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</si>
  <si>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</si>
  <si>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</si>
  <si>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</si>
  <si>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</si>
  <si>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</si>
  <si>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</si>
  <si>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</si>
  <si>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</si>
  <si>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</si>
  <si>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</si>
  <si>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</si>
  <si>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</si>
  <si>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</si>
  <si>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</si>
  <si>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</si>
  <si>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</si>
  <si>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</si>
  <si>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</si>
  <si>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</si>
  <si>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</si>
  <si>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</si>
  <si>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</si>
  <si>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</si>
  <si>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</si>
  <si>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</si>
  <si>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</si>
  <si>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</si>
  <si>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</si>
  <si>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</si>
  <si>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</si>
  <si>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</si>
  <si>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</si>
  <si>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</si>
  <si>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</si>
  <si>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</si>
  <si>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</si>
  <si>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</si>
  <si>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</si>
  <si>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</si>
  <si>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</si>
  <si>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</si>
  <si>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</si>
  <si>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</si>
  <si>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</si>
  <si>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</si>
  <si>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</si>
  <si>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</si>
  <si>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</si>
  <si>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</si>
  <si>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</si>
  <si>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</si>
  <si>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</si>
  <si>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</si>
  <si>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</si>
  <si>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</si>
  <si>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</si>
  <si>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</si>
  <si>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</si>
  <si>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</si>
  <si>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</si>
  <si>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</si>
  <si>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</si>
  <si>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</si>
  <si>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</si>
  <si>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</si>
  <si>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</si>
  <si>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</si>
  <si>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</si>
  <si>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</si>
  <si>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</si>
  <si>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</si>
  <si>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</si>
  <si>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</si>
  <si>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</si>
  <si>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</si>
  <si>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</si>
  <si>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</si>
  <si>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</si>
  <si>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</si>
  <si>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</si>
  <si>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</si>
  <si>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</si>
  <si>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</si>
  <si>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</si>
  <si>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</si>
  <si>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</si>
  <si>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</si>
  <si>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</si>
  <si>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</si>
  <si>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</si>
  <si>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</si>
  <si>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</si>
  <si>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</si>
  <si>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</si>
  <si>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</si>
  <si>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</si>
  <si>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</si>
  <si>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</si>
  <si>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</si>
  <si>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</si>
  <si>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</si>
  <si>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</si>
  <si>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</si>
  <si>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</si>
  <si>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</si>
  <si>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</si>
  <si>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</si>
  <si>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</si>
  <si>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</si>
  <si>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</si>
  <si>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</si>
  <si>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</si>
  <si>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</si>
  <si>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</si>
  <si>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</si>
  <si>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</si>
  <si>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</si>
  <si>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</si>
  <si>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</si>
  <si>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</si>
  <si>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</si>
  <si>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</si>
  <si>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</si>
  <si>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</si>
  <si>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</si>
  <si>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</si>
  <si>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</si>
  <si>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</si>
  <si>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</si>
  <si>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</si>
  <si>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 xml:space="preserve">新規上場  </t>
  </si>
  <si>
    <t xml:space="preserve">New Listing  </t>
  </si>
  <si>
    <t xml:space="preserve">2022/04/08  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</si>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</sst>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6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2058</f>
        <v>2058.0</v>
      </c>
      <c r="L7" s="34" t="s">
        <v>48</v>
      </c>
      <c r="M7" s="33" t="n">
        <f>2099.5</f>
        <v>2099.5</v>
      </c>
      <c r="N7" s="34" t="s">
        <v>49</v>
      </c>
      <c r="O7" s="33" t="n">
        <f>1962.5</f>
        <v>1962.5</v>
      </c>
      <c r="P7" s="34" t="s">
        <v>50</v>
      </c>
      <c r="Q7" s="33" t="n">
        <f>2022</f>
        <v>2022.0</v>
      </c>
      <c r="R7" s="34" t="s">
        <v>51</v>
      </c>
      <c r="S7" s="35" t="n">
        <f>2026.5</f>
        <v>2026.5</v>
      </c>
      <c r="T7" s="32" t="n">
        <f>3865590</f>
        <v>3865590.0</v>
      </c>
      <c r="U7" s="32" t="n">
        <f>137750</f>
        <v>137750.0</v>
      </c>
      <c r="V7" s="32" t="n">
        <f>7801882810</f>
        <v>7.80188281E9</v>
      </c>
      <c r="W7" s="32" t="n">
        <f>276478850</f>
        <v>2.7647885E8</v>
      </c>
      <c r="X7" s="36" t="n">
        <f>20</f>
        <v>20.0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2036</f>
        <v>2036.0</v>
      </c>
      <c r="L8" s="34" t="s">
        <v>48</v>
      </c>
      <c r="M8" s="33" t="n">
        <f>2076</f>
        <v>2076.0</v>
      </c>
      <c r="N8" s="34" t="s">
        <v>49</v>
      </c>
      <c r="O8" s="33" t="n">
        <f>1942</f>
        <v>1942.0</v>
      </c>
      <c r="P8" s="34" t="s">
        <v>50</v>
      </c>
      <c r="Q8" s="33" t="n">
        <f>2000</f>
        <v>2000.0</v>
      </c>
      <c r="R8" s="34" t="s">
        <v>51</v>
      </c>
      <c r="S8" s="35" t="n">
        <f>2003.68</f>
        <v>2003.68</v>
      </c>
      <c r="T8" s="32" t="n">
        <f>47685580</f>
        <v>4.768558E7</v>
      </c>
      <c r="U8" s="32" t="n">
        <f>15884920</f>
        <v>1.588492E7</v>
      </c>
      <c r="V8" s="32" t="n">
        <f>95993664276</f>
        <v>9.5993664276E10</v>
      </c>
      <c r="W8" s="32" t="n">
        <f>32344627791</f>
        <v>3.2344627791E10</v>
      </c>
      <c r="X8" s="36" t="n">
        <f>20</f>
        <v>20.0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2013</f>
        <v>2013.0</v>
      </c>
      <c r="L9" s="34" t="s">
        <v>48</v>
      </c>
      <c r="M9" s="33" t="n">
        <f>2051.5</f>
        <v>2051.5</v>
      </c>
      <c r="N9" s="34" t="s">
        <v>49</v>
      </c>
      <c r="O9" s="33" t="n">
        <f>1919.5</f>
        <v>1919.5</v>
      </c>
      <c r="P9" s="34" t="s">
        <v>50</v>
      </c>
      <c r="Q9" s="33" t="n">
        <f>1977.5</f>
        <v>1977.5</v>
      </c>
      <c r="R9" s="34" t="s">
        <v>51</v>
      </c>
      <c r="S9" s="35" t="n">
        <f>1981.83</f>
        <v>1981.83</v>
      </c>
      <c r="T9" s="32" t="n">
        <f>8322400</f>
        <v>8322400.0</v>
      </c>
      <c r="U9" s="32" t="n">
        <f>4002800</f>
        <v>4002800.0</v>
      </c>
      <c r="V9" s="32" t="n">
        <f>16667688076</f>
        <v>1.6667688076E10</v>
      </c>
      <c r="W9" s="32" t="n">
        <f>8099260326</f>
        <v>8.099260326E9</v>
      </c>
      <c r="X9" s="36" t="n">
        <f>20</f>
        <v>20.0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42130</f>
        <v>42130.0</v>
      </c>
      <c r="L10" s="34" t="s">
        <v>48</v>
      </c>
      <c r="M10" s="33" t="n">
        <f>43510</f>
        <v>43510.0</v>
      </c>
      <c r="N10" s="34" t="s">
        <v>61</v>
      </c>
      <c r="O10" s="33" t="n">
        <f>38800</f>
        <v>38800.0</v>
      </c>
      <c r="P10" s="34" t="s">
        <v>62</v>
      </c>
      <c r="Q10" s="33" t="n">
        <f>40500</f>
        <v>40500.0</v>
      </c>
      <c r="R10" s="34" t="s">
        <v>51</v>
      </c>
      <c r="S10" s="35" t="n">
        <f>42113</f>
        <v>42113.0</v>
      </c>
      <c r="T10" s="32" t="n">
        <f>4082</f>
        <v>4082.0</v>
      </c>
      <c r="U10" s="32" t="str">
        <f>"－"</f>
        <v>－</v>
      </c>
      <c r="V10" s="32" t="n">
        <f>169680280</f>
        <v>1.6968028E8</v>
      </c>
      <c r="W10" s="32" t="str">
        <f>"－"</f>
        <v>－</v>
      </c>
      <c r="X10" s="36" t="n">
        <f>20</f>
        <v>20.0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962.9</f>
        <v>962.9</v>
      </c>
      <c r="L11" s="34" t="s">
        <v>48</v>
      </c>
      <c r="M11" s="33" t="n">
        <f>980.1</f>
        <v>980.1</v>
      </c>
      <c r="N11" s="34" t="s">
        <v>49</v>
      </c>
      <c r="O11" s="33" t="n">
        <f>902.9</f>
        <v>902.9</v>
      </c>
      <c r="P11" s="34" t="s">
        <v>50</v>
      </c>
      <c r="Q11" s="33" t="n">
        <f>933.9</f>
        <v>933.9</v>
      </c>
      <c r="R11" s="34" t="s">
        <v>51</v>
      </c>
      <c r="S11" s="35" t="n">
        <f>941.04</f>
        <v>941.04</v>
      </c>
      <c r="T11" s="32" t="n">
        <f>67380</f>
        <v>67380.0</v>
      </c>
      <c r="U11" s="32" t="n">
        <f>40</f>
        <v>40.0</v>
      </c>
      <c r="V11" s="32" t="n">
        <f>63186320</f>
        <v>6.318632E7</v>
      </c>
      <c r="W11" s="32" t="n">
        <f>39302</f>
        <v>39302.0</v>
      </c>
      <c r="X11" s="36" t="n">
        <f>20</f>
        <v>20.0</v>
      </c>
    </row>
    <row r="12">
      <c r="A12" s="27" t="s">
        <v>42</v>
      </c>
      <c r="B12" s="27" t="s">
        <v>66</v>
      </c>
      <c r="C12" s="27" t="s">
        <v>67</v>
      </c>
      <c r="D12" s="27" t="s">
        <v>68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19740</f>
        <v>19740.0</v>
      </c>
      <c r="L12" s="34" t="s">
        <v>48</v>
      </c>
      <c r="M12" s="33" t="n">
        <f>19945</f>
        <v>19945.0</v>
      </c>
      <c r="N12" s="34" t="s">
        <v>49</v>
      </c>
      <c r="O12" s="33" t="n">
        <f>18405</f>
        <v>18405.0</v>
      </c>
      <c r="P12" s="34" t="s">
        <v>50</v>
      </c>
      <c r="Q12" s="33" t="n">
        <f>18985</f>
        <v>18985.0</v>
      </c>
      <c r="R12" s="34" t="s">
        <v>51</v>
      </c>
      <c r="S12" s="35" t="n">
        <f>19157.75</f>
        <v>19157.75</v>
      </c>
      <c r="T12" s="32" t="n">
        <f>962</f>
        <v>962.0</v>
      </c>
      <c r="U12" s="32" t="n">
        <f>1</f>
        <v>1.0</v>
      </c>
      <c r="V12" s="32" t="n">
        <f>18336780</f>
        <v>1.833678E7</v>
      </c>
      <c r="W12" s="32" t="n">
        <f>19855</f>
        <v>19855.0</v>
      </c>
      <c r="X12" s="36" t="n">
        <f>20</f>
        <v>20.0</v>
      </c>
    </row>
    <row r="13">
      <c r="A13" s="27" t="s">
        <v>42</v>
      </c>
      <c r="B13" s="27" t="s">
        <v>69</v>
      </c>
      <c r="C13" s="27" t="s">
        <v>70</v>
      </c>
      <c r="D13" s="27" t="s">
        <v>71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3949</f>
        <v>3949.0</v>
      </c>
      <c r="L13" s="34" t="s">
        <v>72</v>
      </c>
      <c r="M13" s="33" t="n">
        <f>3949</f>
        <v>3949.0</v>
      </c>
      <c r="N13" s="34" t="s">
        <v>72</v>
      </c>
      <c r="O13" s="33" t="n">
        <f>3641</f>
        <v>3641.0</v>
      </c>
      <c r="P13" s="34" t="s">
        <v>73</v>
      </c>
      <c r="Q13" s="33" t="n">
        <f>3872</f>
        <v>3872.0</v>
      </c>
      <c r="R13" s="34" t="s">
        <v>50</v>
      </c>
      <c r="S13" s="35" t="n">
        <f>3761.45</f>
        <v>3761.45</v>
      </c>
      <c r="T13" s="32" t="n">
        <f>650</f>
        <v>650.0</v>
      </c>
      <c r="U13" s="32" t="str">
        <f>"－"</f>
        <v>－</v>
      </c>
      <c r="V13" s="32" t="n">
        <f>2492050</f>
        <v>2492050.0</v>
      </c>
      <c r="W13" s="32" t="str">
        <f>"－"</f>
        <v>－</v>
      </c>
      <c r="X13" s="36" t="n">
        <f>11</f>
        <v>11.0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364.7</f>
        <v>364.7</v>
      </c>
      <c r="L14" s="34" t="s">
        <v>72</v>
      </c>
      <c r="M14" s="33" t="n">
        <f>364.7</f>
        <v>364.7</v>
      </c>
      <c r="N14" s="34" t="s">
        <v>72</v>
      </c>
      <c r="O14" s="33" t="n">
        <f>336.1</f>
        <v>336.1</v>
      </c>
      <c r="P14" s="34" t="s">
        <v>50</v>
      </c>
      <c r="Q14" s="33" t="n">
        <f>336.1</f>
        <v>336.1</v>
      </c>
      <c r="R14" s="34" t="s">
        <v>50</v>
      </c>
      <c r="S14" s="35" t="n">
        <f>352.37</f>
        <v>352.37</v>
      </c>
      <c r="T14" s="32" t="n">
        <f>38000</f>
        <v>38000.0</v>
      </c>
      <c r="U14" s="32" t="n">
        <f>2000</f>
        <v>2000.0</v>
      </c>
      <c r="V14" s="32" t="n">
        <f>13300400</f>
        <v>1.33004E7</v>
      </c>
      <c r="W14" s="32" t="n">
        <f>708000</f>
        <v>708000.0</v>
      </c>
      <c r="X14" s="36" t="n">
        <f>10</f>
        <v>10.0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28675</f>
        <v>28675.0</v>
      </c>
      <c r="L15" s="34" t="s">
        <v>48</v>
      </c>
      <c r="M15" s="33" t="n">
        <f>29070</f>
        <v>29070.0</v>
      </c>
      <c r="N15" s="34" t="s">
        <v>49</v>
      </c>
      <c r="O15" s="33" t="n">
        <f>27085</f>
        <v>27085.0</v>
      </c>
      <c r="P15" s="34" t="s">
        <v>50</v>
      </c>
      <c r="Q15" s="33" t="n">
        <f>27895</f>
        <v>27895.0</v>
      </c>
      <c r="R15" s="34" t="s">
        <v>51</v>
      </c>
      <c r="S15" s="35" t="n">
        <f>28120.25</f>
        <v>28120.25</v>
      </c>
      <c r="T15" s="32" t="n">
        <f>1040028</f>
        <v>1040028.0</v>
      </c>
      <c r="U15" s="32" t="n">
        <f>24579</f>
        <v>24579.0</v>
      </c>
      <c r="V15" s="32" t="n">
        <f>29125901651</f>
        <v>2.9125901651E10</v>
      </c>
      <c r="W15" s="32" t="n">
        <f>689305091</f>
        <v>6.89305091E8</v>
      </c>
      <c r="X15" s="36" t="n">
        <f>20</f>
        <v>20.0</v>
      </c>
    </row>
    <row r="16">
      <c r="A16" s="27" t="s">
        <v>42</v>
      </c>
      <c r="B16" s="27" t="s">
        <v>80</v>
      </c>
      <c r="C16" s="27" t="s">
        <v>81</v>
      </c>
      <c r="D16" s="27" t="s">
        <v>82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28740</f>
        <v>28740.0</v>
      </c>
      <c r="L16" s="34" t="s">
        <v>48</v>
      </c>
      <c r="M16" s="33" t="n">
        <f>29120</f>
        <v>29120.0</v>
      </c>
      <c r="N16" s="34" t="s">
        <v>49</v>
      </c>
      <c r="O16" s="33" t="n">
        <f>27145</f>
        <v>27145.0</v>
      </c>
      <c r="P16" s="34" t="s">
        <v>50</v>
      </c>
      <c r="Q16" s="33" t="n">
        <f>27970</f>
        <v>27970.0</v>
      </c>
      <c r="R16" s="34" t="s">
        <v>51</v>
      </c>
      <c r="S16" s="35" t="n">
        <f>28169.5</f>
        <v>28169.5</v>
      </c>
      <c r="T16" s="32" t="n">
        <f>5650043</f>
        <v>5650043.0</v>
      </c>
      <c r="U16" s="32" t="n">
        <f>318008</f>
        <v>318008.0</v>
      </c>
      <c r="V16" s="32" t="n">
        <f>158570886259</f>
        <v>1.58570886259E11</v>
      </c>
      <c r="W16" s="32" t="n">
        <f>8977973224</f>
        <v>8.977973224E9</v>
      </c>
      <c r="X16" s="36" t="n">
        <f>20</f>
        <v>20.0</v>
      </c>
    </row>
    <row r="17">
      <c r="A17" s="27" t="s">
        <v>42</v>
      </c>
      <c r="B17" s="27" t="s">
        <v>83</v>
      </c>
      <c r="C17" s="27" t="s">
        <v>84</v>
      </c>
      <c r="D17" s="27" t="s">
        <v>85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7732</f>
        <v>7732.0</v>
      </c>
      <c r="L17" s="34" t="s">
        <v>48</v>
      </c>
      <c r="M17" s="33" t="n">
        <f>7963</f>
        <v>7963.0</v>
      </c>
      <c r="N17" s="34" t="s">
        <v>86</v>
      </c>
      <c r="O17" s="33" t="n">
        <f>7130</f>
        <v>7130.0</v>
      </c>
      <c r="P17" s="34" t="s">
        <v>50</v>
      </c>
      <c r="Q17" s="33" t="n">
        <f>7450</f>
        <v>7450.0</v>
      </c>
      <c r="R17" s="34" t="s">
        <v>51</v>
      </c>
      <c r="S17" s="35" t="n">
        <f>7755.2</f>
        <v>7755.2</v>
      </c>
      <c r="T17" s="32" t="n">
        <f>5930</f>
        <v>5930.0</v>
      </c>
      <c r="U17" s="32" t="n">
        <f>80</f>
        <v>80.0</v>
      </c>
      <c r="V17" s="32" t="n">
        <f>45390910</f>
        <v>4.539091E7</v>
      </c>
      <c r="W17" s="32" t="n">
        <f>596000</f>
        <v>596000.0</v>
      </c>
      <c r="X17" s="36" t="n">
        <f>20</f>
        <v>20.0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 t="s">
        <v>90</v>
      </c>
      <c r="I18" s="31" t="s">
        <v>47</v>
      </c>
      <c r="J18" s="32" t="n">
        <v>100.0</v>
      </c>
      <c r="K18" s="33" t="n">
        <f>551.6</f>
        <v>551.6</v>
      </c>
      <c r="L18" s="34" t="s">
        <v>48</v>
      </c>
      <c r="M18" s="33" t="n">
        <f>629</f>
        <v>629.0</v>
      </c>
      <c r="N18" s="34" t="s">
        <v>91</v>
      </c>
      <c r="O18" s="33" t="n">
        <f>532</f>
        <v>532.0</v>
      </c>
      <c r="P18" s="34" t="s">
        <v>92</v>
      </c>
      <c r="Q18" s="33" t="n">
        <f>563.4</f>
        <v>563.4</v>
      </c>
      <c r="R18" s="34" t="s">
        <v>51</v>
      </c>
      <c r="S18" s="35" t="n">
        <f>580.7</f>
        <v>580.7</v>
      </c>
      <c r="T18" s="32" t="n">
        <f>272800</f>
        <v>272800.0</v>
      </c>
      <c r="U18" s="32" t="str">
        <f>"－"</f>
        <v>－</v>
      </c>
      <c r="V18" s="32" t="n">
        <f>159114990</f>
        <v>1.5911499E8</v>
      </c>
      <c r="W18" s="32" t="str">
        <f>"－"</f>
        <v>－</v>
      </c>
      <c r="X18" s="36" t="n">
        <f>20</f>
        <v>20.0</v>
      </c>
    </row>
    <row r="19">
      <c r="A19" s="27" t="s">
        <v>42</v>
      </c>
      <c r="B19" s="27" t="s">
        <v>93</v>
      </c>
      <c r="C19" s="27" t="s">
        <v>94</v>
      </c>
      <c r="D19" s="27" t="s">
        <v>95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str">
        <f>"－"</f>
        <v>－</v>
      </c>
      <c r="L19" s="34"/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5" t="str">
        <f>"－"</f>
        <v>－</v>
      </c>
      <c r="T19" s="32" t="str">
        <f>"－"</f>
        <v>－</v>
      </c>
      <c r="U19" s="32" t="str">
        <f>"－"</f>
        <v>－</v>
      </c>
      <c r="V19" s="32" t="str">
        <f>"－"</f>
        <v>－</v>
      </c>
      <c r="W19" s="32" t="str">
        <f>"－"</f>
        <v>－</v>
      </c>
      <c r="X19" s="36" t="str">
        <f>"－"</f>
        <v>－</v>
      </c>
    </row>
    <row r="20">
      <c r="A20" s="27" t="s">
        <v>42</v>
      </c>
      <c r="B20" s="27" t="s">
        <v>96</v>
      </c>
      <c r="C20" s="27" t="s">
        <v>97</v>
      </c>
      <c r="D20" s="27" t="s">
        <v>98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218</f>
        <v>218.0</v>
      </c>
      <c r="L20" s="34" t="s">
        <v>48</v>
      </c>
      <c r="M20" s="33" t="n">
        <f>230.4</f>
        <v>230.4</v>
      </c>
      <c r="N20" s="34" t="s">
        <v>73</v>
      </c>
      <c r="O20" s="33" t="n">
        <f>197</f>
        <v>197.0</v>
      </c>
      <c r="P20" s="34" t="s">
        <v>51</v>
      </c>
      <c r="Q20" s="33" t="n">
        <f>208.3</f>
        <v>208.3</v>
      </c>
      <c r="R20" s="34" t="s">
        <v>51</v>
      </c>
      <c r="S20" s="35" t="n">
        <f>220.12</f>
        <v>220.12</v>
      </c>
      <c r="T20" s="32" t="n">
        <f>875700</f>
        <v>875700.0</v>
      </c>
      <c r="U20" s="32" t="n">
        <f>1000</f>
        <v>1000.0</v>
      </c>
      <c r="V20" s="32" t="n">
        <f>193253430</f>
        <v>1.9325343E8</v>
      </c>
      <c r="W20" s="32" t="n">
        <f>221780</f>
        <v>221780.0</v>
      </c>
      <c r="X20" s="36" t="n">
        <f>20</f>
        <v>20.0</v>
      </c>
    </row>
    <row r="21">
      <c r="A21" s="27" t="s">
        <v>42</v>
      </c>
      <c r="B21" s="27" t="s">
        <v>99</v>
      </c>
      <c r="C21" s="27" t="s">
        <v>100</v>
      </c>
      <c r="D21" s="27" t="s">
        <v>101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22000</f>
        <v>22000.0</v>
      </c>
      <c r="L21" s="34" t="s">
        <v>48</v>
      </c>
      <c r="M21" s="33" t="n">
        <f>23630</f>
        <v>23630.0</v>
      </c>
      <c r="N21" s="34" t="s">
        <v>73</v>
      </c>
      <c r="O21" s="33" t="n">
        <f>21920</f>
        <v>21920.0</v>
      </c>
      <c r="P21" s="34" t="s">
        <v>72</v>
      </c>
      <c r="Q21" s="33" t="n">
        <f>22740</f>
        <v>22740.0</v>
      </c>
      <c r="R21" s="34" t="s">
        <v>51</v>
      </c>
      <c r="S21" s="35" t="n">
        <f>22821</f>
        <v>22821.0</v>
      </c>
      <c r="T21" s="32" t="n">
        <f>294586</f>
        <v>294586.0</v>
      </c>
      <c r="U21" s="32" t="n">
        <f>12700</f>
        <v>12700.0</v>
      </c>
      <c r="V21" s="32" t="n">
        <f>6727204870</f>
        <v>6.72720487E9</v>
      </c>
      <c r="W21" s="32" t="n">
        <f>297675300</f>
        <v>2.976753E8</v>
      </c>
      <c r="X21" s="36" t="n">
        <f>20</f>
        <v>20.0</v>
      </c>
    </row>
    <row r="22">
      <c r="A22" s="27" t="s">
        <v>42</v>
      </c>
      <c r="B22" s="27" t="s">
        <v>102</v>
      </c>
      <c r="C22" s="27" t="s">
        <v>103</v>
      </c>
      <c r="D22" s="27" t="s">
        <v>104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5946</f>
        <v>5946.0</v>
      </c>
      <c r="L22" s="34" t="s">
        <v>48</v>
      </c>
      <c r="M22" s="33" t="n">
        <f>6387</f>
        <v>6387.0</v>
      </c>
      <c r="N22" s="34" t="s">
        <v>73</v>
      </c>
      <c r="O22" s="33" t="n">
        <f>5920</f>
        <v>5920.0</v>
      </c>
      <c r="P22" s="34" t="s">
        <v>72</v>
      </c>
      <c r="Q22" s="33" t="n">
        <f>6120</f>
        <v>6120.0</v>
      </c>
      <c r="R22" s="34" t="s">
        <v>51</v>
      </c>
      <c r="S22" s="35" t="n">
        <f>6153.1</f>
        <v>6153.1</v>
      </c>
      <c r="T22" s="32" t="n">
        <f>435250</f>
        <v>435250.0</v>
      </c>
      <c r="U22" s="32" t="n">
        <f>4640</f>
        <v>4640.0</v>
      </c>
      <c r="V22" s="32" t="n">
        <f>2691483960</f>
        <v>2.69148396E9</v>
      </c>
      <c r="W22" s="32" t="n">
        <f>29604340</f>
        <v>2.960434E7</v>
      </c>
      <c r="X22" s="36" t="n">
        <f>20</f>
        <v>20.0</v>
      </c>
    </row>
    <row r="23">
      <c r="A23" s="27" t="s">
        <v>42</v>
      </c>
      <c r="B23" s="27" t="s">
        <v>105</v>
      </c>
      <c r="C23" s="27" t="s">
        <v>106</v>
      </c>
      <c r="D23" s="27" t="s">
        <v>107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1.0</v>
      </c>
      <c r="K23" s="33" t="n">
        <f>28670</f>
        <v>28670.0</v>
      </c>
      <c r="L23" s="34" t="s">
        <v>48</v>
      </c>
      <c r="M23" s="33" t="n">
        <f>29050</f>
        <v>29050.0</v>
      </c>
      <c r="N23" s="34" t="s">
        <v>49</v>
      </c>
      <c r="O23" s="33" t="n">
        <f>27065</f>
        <v>27065.0</v>
      </c>
      <c r="P23" s="34" t="s">
        <v>50</v>
      </c>
      <c r="Q23" s="33" t="n">
        <f>27895</f>
        <v>27895.0</v>
      </c>
      <c r="R23" s="34" t="s">
        <v>51</v>
      </c>
      <c r="S23" s="35" t="n">
        <f>28091.5</f>
        <v>28091.5</v>
      </c>
      <c r="T23" s="32" t="n">
        <f>654603</f>
        <v>654603.0</v>
      </c>
      <c r="U23" s="32" t="n">
        <f>79178</f>
        <v>79178.0</v>
      </c>
      <c r="V23" s="32" t="n">
        <f>18306995137</f>
        <v>1.8306995137E10</v>
      </c>
      <c r="W23" s="32" t="n">
        <f>2207952607</f>
        <v>2.207952607E9</v>
      </c>
      <c r="X23" s="36" t="n">
        <f>20</f>
        <v>20.0</v>
      </c>
    </row>
    <row r="24">
      <c r="A24" s="27" t="s">
        <v>42</v>
      </c>
      <c r="B24" s="27" t="s">
        <v>108</v>
      </c>
      <c r="C24" s="27" t="s">
        <v>109</v>
      </c>
      <c r="D24" s="27" t="s">
        <v>110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10.0</v>
      </c>
      <c r="K24" s="33" t="n">
        <f>28765</f>
        <v>28765.0</v>
      </c>
      <c r="L24" s="34" t="s">
        <v>48</v>
      </c>
      <c r="M24" s="33" t="n">
        <f>29170</f>
        <v>29170.0</v>
      </c>
      <c r="N24" s="34" t="s">
        <v>49</v>
      </c>
      <c r="O24" s="33" t="n">
        <f>27170</f>
        <v>27170.0</v>
      </c>
      <c r="P24" s="34" t="s">
        <v>50</v>
      </c>
      <c r="Q24" s="33" t="n">
        <f>28005</f>
        <v>28005.0</v>
      </c>
      <c r="R24" s="34" t="s">
        <v>51</v>
      </c>
      <c r="S24" s="35" t="n">
        <f>28209.5</f>
        <v>28209.5</v>
      </c>
      <c r="T24" s="32" t="n">
        <f>873360</f>
        <v>873360.0</v>
      </c>
      <c r="U24" s="32" t="n">
        <f>66550</f>
        <v>66550.0</v>
      </c>
      <c r="V24" s="32" t="n">
        <f>24546094034</f>
        <v>2.4546094034E10</v>
      </c>
      <c r="W24" s="32" t="n">
        <f>1855946784</f>
        <v>1.855946784E9</v>
      </c>
      <c r="X24" s="36" t="n">
        <f>20</f>
        <v>20.0</v>
      </c>
    </row>
    <row r="25">
      <c r="A25" s="27" t="s">
        <v>42</v>
      </c>
      <c r="B25" s="27" t="s">
        <v>111</v>
      </c>
      <c r="C25" s="27" t="s">
        <v>112</v>
      </c>
      <c r="D25" s="27" t="s">
        <v>113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2158</f>
        <v>2158.0</v>
      </c>
      <c r="L25" s="34" t="s">
        <v>48</v>
      </c>
      <c r="M25" s="33" t="n">
        <f>2208</f>
        <v>2208.0</v>
      </c>
      <c r="N25" s="34" t="s">
        <v>72</v>
      </c>
      <c r="O25" s="33" t="n">
        <f>2112</f>
        <v>2112.0</v>
      </c>
      <c r="P25" s="34" t="s">
        <v>114</v>
      </c>
      <c r="Q25" s="33" t="n">
        <f>2141</f>
        <v>2141.0</v>
      </c>
      <c r="R25" s="34" t="s">
        <v>51</v>
      </c>
      <c r="S25" s="35" t="n">
        <f>2151.4</f>
        <v>2151.4</v>
      </c>
      <c r="T25" s="32" t="n">
        <f>14138550</f>
        <v>1.413855E7</v>
      </c>
      <c r="U25" s="32" t="n">
        <f>3418140</f>
        <v>3418140.0</v>
      </c>
      <c r="V25" s="32" t="n">
        <f>30355977769</f>
        <v>3.0355977769E10</v>
      </c>
      <c r="W25" s="32" t="n">
        <f>7272933614</f>
        <v>7.272933614E9</v>
      </c>
      <c r="X25" s="36" t="n">
        <f>20</f>
        <v>20.0</v>
      </c>
    </row>
    <row r="26">
      <c r="A26" s="27" t="s">
        <v>42</v>
      </c>
      <c r="B26" s="27" t="s">
        <v>115</v>
      </c>
      <c r="C26" s="27" t="s">
        <v>116</v>
      </c>
      <c r="D26" s="27" t="s">
        <v>117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100.0</v>
      </c>
      <c r="K26" s="33" t="n">
        <f>2026</f>
        <v>2026.0</v>
      </c>
      <c r="L26" s="34" t="s">
        <v>48</v>
      </c>
      <c r="M26" s="33" t="n">
        <f>2076</f>
        <v>2076.0</v>
      </c>
      <c r="N26" s="34" t="s">
        <v>72</v>
      </c>
      <c r="O26" s="33" t="n">
        <f>1984.5</f>
        <v>1984.5</v>
      </c>
      <c r="P26" s="34" t="s">
        <v>114</v>
      </c>
      <c r="Q26" s="33" t="n">
        <f>2008.5</f>
        <v>2008.5</v>
      </c>
      <c r="R26" s="34" t="s">
        <v>51</v>
      </c>
      <c r="S26" s="35" t="n">
        <f>2014.8</f>
        <v>2014.8</v>
      </c>
      <c r="T26" s="32" t="n">
        <f>2205700</f>
        <v>2205700.0</v>
      </c>
      <c r="U26" s="32" t="n">
        <f>121100</f>
        <v>121100.0</v>
      </c>
      <c r="V26" s="32" t="n">
        <f>4460973154</f>
        <v>4.460973154E9</v>
      </c>
      <c r="W26" s="32" t="n">
        <f>243112254</f>
        <v>2.43112254E8</v>
      </c>
      <c r="X26" s="36" t="n">
        <f>20</f>
        <v>20.0</v>
      </c>
    </row>
    <row r="27">
      <c r="A27" s="27" t="s">
        <v>42</v>
      </c>
      <c r="B27" s="27" t="s">
        <v>118</v>
      </c>
      <c r="C27" s="27" t="s">
        <v>119</v>
      </c>
      <c r="D27" s="27" t="s">
        <v>120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1.0</v>
      </c>
      <c r="K27" s="33" t="n">
        <f>28650</f>
        <v>28650.0</v>
      </c>
      <c r="L27" s="34" t="s">
        <v>48</v>
      </c>
      <c r="M27" s="33" t="n">
        <f>29050</f>
        <v>29050.0</v>
      </c>
      <c r="N27" s="34" t="s">
        <v>49</v>
      </c>
      <c r="O27" s="33" t="n">
        <f>27070</f>
        <v>27070.0</v>
      </c>
      <c r="P27" s="34" t="s">
        <v>50</v>
      </c>
      <c r="Q27" s="33" t="n">
        <f>27880</f>
        <v>27880.0</v>
      </c>
      <c r="R27" s="34" t="s">
        <v>51</v>
      </c>
      <c r="S27" s="35" t="n">
        <f>28095.75</f>
        <v>28095.75</v>
      </c>
      <c r="T27" s="32" t="n">
        <f>291358</f>
        <v>291358.0</v>
      </c>
      <c r="U27" s="32" t="n">
        <f>7112</f>
        <v>7112.0</v>
      </c>
      <c r="V27" s="32" t="n">
        <f>8171749427</f>
        <v>8.171749427E9</v>
      </c>
      <c r="W27" s="32" t="n">
        <f>196080047</f>
        <v>1.96080047E8</v>
      </c>
      <c r="X27" s="36" t="n">
        <f>20</f>
        <v>20.0</v>
      </c>
    </row>
    <row r="28">
      <c r="A28" s="27" t="s">
        <v>42</v>
      </c>
      <c r="B28" s="27" t="s">
        <v>121</v>
      </c>
      <c r="C28" s="27" t="s">
        <v>122</v>
      </c>
      <c r="D28" s="27" t="s">
        <v>123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10.0</v>
      </c>
      <c r="K28" s="33" t="n">
        <f>2016.5</f>
        <v>2016.5</v>
      </c>
      <c r="L28" s="34" t="s">
        <v>48</v>
      </c>
      <c r="M28" s="33" t="n">
        <f>2055</f>
        <v>2055.0</v>
      </c>
      <c r="N28" s="34" t="s">
        <v>49</v>
      </c>
      <c r="O28" s="33" t="n">
        <f>1923</f>
        <v>1923.0</v>
      </c>
      <c r="P28" s="34" t="s">
        <v>50</v>
      </c>
      <c r="Q28" s="33" t="n">
        <f>1981.5</f>
        <v>1981.5</v>
      </c>
      <c r="R28" s="34" t="s">
        <v>51</v>
      </c>
      <c r="S28" s="35" t="n">
        <f>1985.13</f>
        <v>1985.13</v>
      </c>
      <c r="T28" s="32" t="n">
        <f>1912170</f>
        <v>1912170.0</v>
      </c>
      <c r="U28" s="32" t="n">
        <f>200030</f>
        <v>200030.0</v>
      </c>
      <c r="V28" s="32" t="n">
        <f>3800088400</f>
        <v>3.8000884E9</v>
      </c>
      <c r="W28" s="32" t="n">
        <f>401826755</f>
        <v>4.01826755E8</v>
      </c>
      <c r="X28" s="36" t="n">
        <f>20</f>
        <v>20.0</v>
      </c>
    </row>
    <row r="29">
      <c r="A29" s="27" t="s">
        <v>42</v>
      </c>
      <c r="B29" s="27" t="s">
        <v>124</v>
      </c>
      <c r="C29" s="27" t="s">
        <v>125</v>
      </c>
      <c r="D29" s="27" t="s">
        <v>126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14030</f>
        <v>14030.0</v>
      </c>
      <c r="L29" s="34" t="s">
        <v>48</v>
      </c>
      <c r="M29" s="33" t="n">
        <f>14590</f>
        <v>14590.0</v>
      </c>
      <c r="N29" s="34" t="s">
        <v>114</v>
      </c>
      <c r="O29" s="33" t="n">
        <f>14030</f>
        <v>14030.0</v>
      </c>
      <c r="P29" s="34" t="s">
        <v>48</v>
      </c>
      <c r="Q29" s="33" t="n">
        <f>14315</f>
        <v>14315.0</v>
      </c>
      <c r="R29" s="34" t="s">
        <v>51</v>
      </c>
      <c r="S29" s="35" t="n">
        <f>14267.25</f>
        <v>14267.25</v>
      </c>
      <c r="T29" s="32" t="n">
        <f>992</f>
        <v>992.0</v>
      </c>
      <c r="U29" s="32" t="str">
        <f>"－"</f>
        <v>－</v>
      </c>
      <c r="V29" s="32" t="n">
        <f>14207305</f>
        <v>1.4207305E7</v>
      </c>
      <c r="W29" s="32" t="str">
        <f>"－"</f>
        <v>－</v>
      </c>
      <c r="X29" s="36" t="n">
        <f>20</f>
        <v>20.0</v>
      </c>
    </row>
    <row r="30">
      <c r="A30" s="27" t="s">
        <v>42</v>
      </c>
      <c r="B30" s="27" t="s">
        <v>127</v>
      </c>
      <c r="C30" s="27" t="s">
        <v>128</v>
      </c>
      <c r="D30" s="27" t="s">
        <v>129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1016.5</f>
        <v>1016.5</v>
      </c>
      <c r="L30" s="34" t="s">
        <v>48</v>
      </c>
      <c r="M30" s="33" t="n">
        <f>1107</f>
        <v>1107.0</v>
      </c>
      <c r="N30" s="34" t="s">
        <v>50</v>
      </c>
      <c r="O30" s="33" t="n">
        <f>976</f>
        <v>976.0</v>
      </c>
      <c r="P30" s="34" t="s">
        <v>49</v>
      </c>
      <c r="Q30" s="33" t="n">
        <f>1039</f>
        <v>1039.0</v>
      </c>
      <c r="R30" s="34" t="s">
        <v>51</v>
      </c>
      <c r="S30" s="35" t="n">
        <f>1042.39</f>
        <v>1042.39</v>
      </c>
      <c r="T30" s="32" t="n">
        <f>7236890</f>
        <v>7236890.0</v>
      </c>
      <c r="U30" s="32" t="str">
        <f>"－"</f>
        <v>－</v>
      </c>
      <c r="V30" s="32" t="n">
        <f>7564420912</f>
        <v>7.564420912E9</v>
      </c>
      <c r="W30" s="32" t="str">
        <f>"－"</f>
        <v>－</v>
      </c>
      <c r="X30" s="36" t="n">
        <f>20</f>
        <v>20.0</v>
      </c>
    </row>
    <row r="31">
      <c r="A31" s="27" t="s">
        <v>42</v>
      </c>
      <c r="B31" s="27" t="s">
        <v>130</v>
      </c>
      <c r="C31" s="27" t="s">
        <v>131</v>
      </c>
      <c r="D31" s="27" t="s">
        <v>132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391</f>
        <v>391.0</v>
      </c>
      <c r="L31" s="34" t="s">
        <v>48</v>
      </c>
      <c r="M31" s="33" t="n">
        <f>435</f>
        <v>435.0</v>
      </c>
      <c r="N31" s="34" t="s">
        <v>50</v>
      </c>
      <c r="O31" s="33" t="n">
        <f>381</f>
        <v>381.0</v>
      </c>
      <c r="P31" s="34" t="s">
        <v>49</v>
      </c>
      <c r="Q31" s="33" t="n">
        <f>409</f>
        <v>409.0</v>
      </c>
      <c r="R31" s="34" t="s">
        <v>51</v>
      </c>
      <c r="S31" s="35" t="n">
        <f>405.7</f>
        <v>405.7</v>
      </c>
      <c r="T31" s="32" t="n">
        <f>1015536573</f>
        <v>1.015536573E9</v>
      </c>
      <c r="U31" s="32" t="n">
        <f>8188731</f>
        <v>8188731.0</v>
      </c>
      <c r="V31" s="32" t="n">
        <f>414898952264</f>
        <v>4.14898952264E11</v>
      </c>
      <c r="W31" s="32" t="n">
        <f>3258077953</f>
        <v>3.258077953E9</v>
      </c>
      <c r="X31" s="36" t="n">
        <f>20</f>
        <v>20.0</v>
      </c>
    </row>
    <row r="32">
      <c r="A32" s="27" t="s">
        <v>42</v>
      </c>
      <c r="B32" s="27" t="s">
        <v>133</v>
      </c>
      <c r="C32" s="27" t="s">
        <v>134</v>
      </c>
      <c r="D32" s="27" t="s">
        <v>135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26830</f>
        <v>26830.0</v>
      </c>
      <c r="L32" s="34" t="s">
        <v>48</v>
      </c>
      <c r="M32" s="33" t="n">
        <f>27500</f>
        <v>27500.0</v>
      </c>
      <c r="N32" s="34" t="s">
        <v>49</v>
      </c>
      <c r="O32" s="33" t="n">
        <f>23790</f>
        <v>23790.0</v>
      </c>
      <c r="P32" s="34" t="s">
        <v>50</v>
      </c>
      <c r="Q32" s="33" t="n">
        <f>25245</f>
        <v>25245.0</v>
      </c>
      <c r="R32" s="34" t="s">
        <v>51</v>
      </c>
      <c r="S32" s="35" t="n">
        <f>25696.5</f>
        <v>25696.5</v>
      </c>
      <c r="T32" s="32" t="n">
        <f>393749</f>
        <v>393749.0</v>
      </c>
      <c r="U32" s="32" t="str">
        <f>"－"</f>
        <v>－</v>
      </c>
      <c r="V32" s="32" t="n">
        <f>10036976775</f>
        <v>1.0036976775E10</v>
      </c>
      <c r="W32" s="32" t="str">
        <f>"－"</f>
        <v>－</v>
      </c>
      <c r="X32" s="36" t="n">
        <f>20</f>
        <v>20.0</v>
      </c>
    </row>
    <row r="33">
      <c r="A33" s="27" t="s">
        <v>42</v>
      </c>
      <c r="B33" s="27" t="s">
        <v>136</v>
      </c>
      <c r="C33" s="27" t="s">
        <v>137</v>
      </c>
      <c r="D33" s="27" t="s">
        <v>138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10.0</v>
      </c>
      <c r="K33" s="33" t="n">
        <f>955</f>
        <v>955.0</v>
      </c>
      <c r="L33" s="34" t="s">
        <v>48</v>
      </c>
      <c r="M33" s="33" t="n">
        <f>1061</f>
        <v>1061.0</v>
      </c>
      <c r="N33" s="34" t="s">
        <v>50</v>
      </c>
      <c r="O33" s="33" t="n">
        <f>930.6</f>
        <v>930.6</v>
      </c>
      <c r="P33" s="34" t="s">
        <v>49</v>
      </c>
      <c r="Q33" s="33" t="n">
        <f>999.1</f>
        <v>999.1</v>
      </c>
      <c r="R33" s="34" t="s">
        <v>51</v>
      </c>
      <c r="S33" s="35" t="n">
        <f>990.95</f>
        <v>990.95</v>
      </c>
      <c r="T33" s="32" t="n">
        <f>179890550</f>
        <v>1.7989055E8</v>
      </c>
      <c r="U33" s="32" t="n">
        <f>500280</f>
        <v>500280.0</v>
      </c>
      <c r="V33" s="32" t="n">
        <f>179527212973</f>
        <v>1.79527212973E11</v>
      </c>
      <c r="W33" s="32" t="n">
        <f>496314982</f>
        <v>4.96314982E8</v>
      </c>
      <c r="X33" s="36" t="n">
        <f>20</f>
        <v>20.0</v>
      </c>
    </row>
    <row r="34">
      <c r="A34" s="27" t="s">
        <v>42</v>
      </c>
      <c r="B34" s="27" t="s">
        <v>139</v>
      </c>
      <c r="C34" s="27" t="s">
        <v>140</v>
      </c>
      <c r="D34" s="27" t="s">
        <v>141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17915</f>
        <v>17915.0</v>
      </c>
      <c r="L34" s="34" t="s">
        <v>48</v>
      </c>
      <c r="M34" s="33" t="n">
        <f>18205</f>
        <v>18205.0</v>
      </c>
      <c r="N34" s="34" t="s">
        <v>49</v>
      </c>
      <c r="O34" s="33" t="n">
        <f>17095</f>
        <v>17095.0</v>
      </c>
      <c r="P34" s="34" t="s">
        <v>50</v>
      </c>
      <c r="Q34" s="33" t="n">
        <f>17580</f>
        <v>17580.0</v>
      </c>
      <c r="R34" s="34" t="s">
        <v>51</v>
      </c>
      <c r="S34" s="35" t="n">
        <f>17635</f>
        <v>17635.0</v>
      </c>
      <c r="T34" s="32" t="n">
        <f>1167</f>
        <v>1167.0</v>
      </c>
      <c r="U34" s="32" t="str">
        <f>"－"</f>
        <v>－</v>
      </c>
      <c r="V34" s="32" t="n">
        <f>20451045</f>
        <v>2.0451045E7</v>
      </c>
      <c r="W34" s="32" t="str">
        <f>"－"</f>
        <v>－</v>
      </c>
      <c r="X34" s="36" t="n">
        <f>20</f>
        <v>20.0</v>
      </c>
    </row>
    <row r="35">
      <c r="A35" s="27" t="s">
        <v>42</v>
      </c>
      <c r="B35" s="27" t="s">
        <v>142</v>
      </c>
      <c r="C35" s="27" t="s">
        <v>143</v>
      </c>
      <c r="D35" s="27" t="s">
        <v>144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22250</f>
        <v>22250.0</v>
      </c>
      <c r="L35" s="34" t="s">
        <v>48</v>
      </c>
      <c r="M35" s="33" t="n">
        <f>22860</f>
        <v>22860.0</v>
      </c>
      <c r="N35" s="34" t="s">
        <v>49</v>
      </c>
      <c r="O35" s="33" t="n">
        <f>19770</f>
        <v>19770.0</v>
      </c>
      <c r="P35" s="34" t="s">
        <v>50</v>
      </c>
      <c r="Q35" s="33" t="n">
        <f>20970</f>
        <v>20970.0</v>
      </c>
      <c r="R35" s="34" t="s">
        <v>51</v>
      </c>
      <c r="S35" s="35" t="n">
        <f>21358.75</f>
        <v>21358.75</v>
      </c>
      <c r="T35" s="32" t="n">
        <f>1106059</f>
        <v>1106059.0</v>
      </c>
      <c r="U35" s="32" t="n">
        <f>16</f>
        <v>16.0</v>
      </c>
      <c r="V35" s="32" t="n">
        <f>23497422630</f>
        <v>2.349742263E10</v>
      </c>
      <c r="W35" s="32" t="n">
        <f>338120</f>
        <v>338120.0</v>
      </c>
      <c r="X35" s="36" t="n">
        <f>20</f>
        <v>20.0</v>
      </c>
    </row>
    <row r="36">
      <c r="A36" s="27" t="s">
        <v>42</v>
      </c>
      <c r="B36" s="27" t="s">
        <v>145</v>
      </c>
      <c r="C36" s="27" t="s">
        <v>146</v>
      </c>
      <c r="D36" s="27" t="s">
        <v>147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1022</f>
        <v>1022.0</v>
      </c>
      <c r="L36" s="34" t="s">
        <v>48</v>
      </c>
      <c r="M36" s="33" t="n">
        <f>1135</f>
        <v>1135.0</v>
      </c>
      <c r="N36" s="34" t="s">
        <v>50</v>
      </c>
      <c r="O36" s="33" t="n">
        <f>994</f>
        <v>994.0</v>
      </c>
      <c r="P36" s="34" t="s">
        <v>49</v>
      </c>
      <c r="Q36" s="33" t="n">
        <f>1068</f>
        <v>1068.0</v>
      </c>
      <c r="R36" s="34" t="s">
        <v>51</v>
      </c>
      <c r="S36" s="35" t="n">
        <f>1058.75</f>
        <v>1058.75</v>
      </c>
      <c r="T36" s="32" t="n">
        <f>22926943</f>
        <v>2.2926943E7</v>
      </c>
      <c r="U36" s="32" t="n">
        <f>446</f>
        <v>446.0</v>
      </c>
      <c r="V36" s="32" t="n">
        <f>24438601255</f>
        <v>2.4438601255E10</v>
      </c>
      <c r="W36" s="32" t="n">
        <f>477150</f>
        <v>477150.0</v>
      </c>
      <c r="X36" s="36" t="n">
        <f>20</f>
        <v>20.0</v>
      </c>
    </row>
    <row r="37">
      <c r="A37" s="27" t="s">
        <v>42</v>
      </c>
      <c r="B37" s="27" t="s">
        <v>148</v>
      </c>
      <c r="C37" s="27" t="s">
        <v>149</v>
      </c>
      <c r="D37" s="27" t="s">
        <v>150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18545</f>
        <v>18545.0</v>
      </c>
      <c r="L37" s="34" t="s">
        <v>48</v>
      </c>
      <c r="M37" s="33" t="n">
        <f>19290</f>
        <v>19290.0</v>
      </c>
      <c r="N37" s="34" t="s">
        <v>49</v>
      </c>
      <c r="O37" s="33" t="n">
        <f>16835</f>
        <v>16835.0</v>
      </c>
      <c r="P37" s="34" t="s">
        <v>50</v>
      </c>
      <c r="Q37" s="33" t="n">
        <f>17890</f>
        <v>17890.0</v>
      </c>
      <c r="R37" s="34" t="s">
        <v>51</v>
      </c>
      <c r="S37" s="35" t="n">
        <f>17988.75</f>
        <v>17988.75</v>
      </c>
      <c r="T37" s="32" t="n">
        <f>169448</f>
        <v>169448.0</v>
      </c>
      <c r="U37" s="32" t="str">
        <f>"－"</f>
        <v>－</v>
      </c>
      <c r="V37" s="32" t="n">
        <f>3047917535</f>
        <v>3.047917535E9</v>
      </c>
      <c r="W37" s="32" t="str">
        <f>"－"</f>
        <v>－</v>
      </c>
      <c r="X37" s="36" t="n">
        <f>20</f>
        <v>20.0</v>
      </c>
    </row>
    <row r="38">
      <c r="A38" s="27" t="s">
        <v>42</v>
      </c>
      <c r="B38" s="27" t="s">
        <v>151</v>
      </c>
      <c r="C38" s="27" t="s">
        <v>152</v>
      </c>
      <c r="D38" s="27" t="s">
        <v>153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1471</f>
        <v>1471.0</v>
      </c>
      <c r="L38" s="34" t="s">
        <v>48</v>
      </c>
      <c r="M38" s="33" t="n">
        <f>1605</f>
        <v>1605.0</v>
      </c>
      <c r="N38" s="34" t="s">
        <v>50</v>
      </c>
      <c r="O38" s="33" t="n">
        <f>1413</f>
        <v>1413.0</v>
      </c>
      <c r="P38" s="34" t="s">
        <v>49</v>
      </c>
      <c r="Q38" s="33" t="n">
        <f>1513</f>
        <v>1513.0</v>
      </c>
      <c r="R38" s="34" t="s">
        <v>51</v>
      </c>
      <c r="S38" s="35" t="n">
        <f>1513.15</f>
        <v>1513.15</v>
      </c>
      <c r="T38" s="32" t="n">
        <f>1308642</f>
        <v>1308642.0</v>
      </c>
      <c r="U38" s="32" t="str">
        <f>"－"</f>
        <v>－</v>
      </c>
      <c r="V38" s="32" t="n">
        <f>1985106763</f>
        <v>1.985106763E9</v>
      </c>
      <c r="W38" s="32" t="str">
        <f>"－"</f>
        <v>－</v>
      </c>
      <c r="X38" s="36" t="n">
        <f>20</f>
        <v>20.0</v>
      </c>
    </row>
    <row r="39">
      <c r="A39" s="27" t="s">
        <v>42</v>
      </c>
      <c r="B39" s="27" t="s">
        <v>154</v>
      </c>
      <c r="C39" s="27" t="s">
        <v>155</v>
      </c>
      <c r="D39" s="27" t="s">
        <v>156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27825</f>
        <v>27825.0</v>
      </c>
      <c r="L39" s="34" t="s">
        <v>48</v>
      </c>
      <c r="M39" s="33" t="n">
        <f>28195</f>
        <v>28195.0</v>
      </c>
      <c r="N39" s="34" t="s">
        <v>49</v>
      </c>
      <c r="O39" s="33" t="n">
        <f>26270</f>
        <v>26270.0</v>
      </c>
      <c r="P39" s="34" t="s">
        <v>50</v>
      </c>
      <c r="Q39" s="33" t="n">
        <f>27055</f>
        <v>27055.0</v>
      </c>
      <c r="R39" s="34" t="s">
        <v>51</v>
      </c>
      <c r="S39" s="35" t="n">
        <f>27265.5</f>
        <v>27265.5</v>
      </c>
      <c r="T39" s="32" t="n">
        <f>313192</f>
        <v>313192.0</v>
      </c>
      <c r="U39" s="32" t="n">
        <f>13280</f>
        <v>13280.0</v>
      </c>
      <c r="V39" s="32" t="n">
        <f>8543044960</f>
        <v>8.54304496E9</v>
      </c>
      <c r="W39" s="32" t="n">
        <f>371573230</f>
        <v>3.7157323E8</v>
      </c>
      <c r="X39" s="36" t="n">
        <f>20</f>
        <v>20.0</v>
      </c>
    </row>
    <row r="40">
      <c r="A40" s="27" t="s">
        <v>42</v>
      </c>
      <c r="B40" s="27" t="s">
        <v>157</v>
      </c>
      <c r="C40" s="27" t="s">
        <v>158</v>
      </c>
      <c r="D40" s="27" t="s">
        <v>159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5420</f>
        <v>5420.0</v>
      </c>
      <c r="L40" s="34" t="s">
        <v>48</v>
      </c>
      <c r="M40" s="33" t="n">
        <f>5680</f>
        <v>5680.0</v>
      </c>
      <c r="N40" s="34" t="s">
        <v>49</v>
      </c>
      <c r="O40" s="33" t="n">
        <f>5130</f>
        <v>5130.0</v>
      </c>
      <c r="P40" s="34" t="s">
        <v>51</v>
      </c>
      <c r="Q40" s="33" t="n">
        <f>5180</f>
        <v>5180.0</v>
      </c>
      <c r="R40" s="34" t="s">
        <v>51</v>
      </c>
      <c r="S40" s="35" t="n">
        <f>5360.5</f>
        <v>5360.5</v>
      </c>
      <c r="T40" s="32" t="n">
        <f>8623</f>
        <v>8623.0</v>
      </c>
      <c r="U40" s="32" t="str">
        <f>"－"</f>
        <v>－</v>
      </c>
      <c r="V40" s="32" t="n">
        <f>46368340</f>
        <v>4.636834E7</v>
      </c>
      <c r="W40" s="32" t="str">
        <f>"－"</f>
        <v>－</v>
      </c>
      <c r="X40" s="36" t="n">
        <f>20</f>
        <v>20.0</v>
      </c>
    </row>
    <row r="41">
      <c r="A41" s="27" t="s">
        <v>42</v>
      </c>
      <c r="B41" s="27" t="s">
        <v>160</v>
      </c>
      <c r="C41" s="27" t="s">
        <v>161</v>
      </c>
      <c r="D41" s="27" t="s">
        <v>162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10090</f>
        <v>10090.0</v>
      </c>
      <c r="L41" s="34" t="s">
        <v>48</v>
      </c>
      <c r="M41" s="33" t="n">
        <f>10585</f>
        <v>10585.0</v>
      </c>
      <c r="N41" s="34" t="s">
        <v>114</v>
      </c>
      <c r="O41" s="33" t="n">
        <f>9763</f>
        <v>9763.0</v>
      </c>
      <c r="P41" s="34" t="s">
        <v>50</v>
      </c>
      <c r="Q41" s="33" t="n">
        <f>9920</f>
        <v>9920.0</v>
      </c>
      <c r="R41" s="34" t="s">
        <v>51</v>
      </c>
      <c r="S41" s="35" t="n">
        <f>10220.9</f>
        <v>10220.9</v>
      </c>
      <c r="T41" s="32" t="n">
        <f>1808</f>
        <v>1808.0</v>
      </c>
      <c r="U41" s="32" t="str">
        <f>"－"</f>
        <v>－</v>
      </c>
      <c r="V41" s="32" t="n">
        <f>18533246</f>
        <v>1.8533246E7</v>
      </c>
      <c r="W41" s="32" t="str">
        <f>"－"</f>
        <v>－</v>
      </c>
      <c r="X41" s="36" t="n">
        <f>20</f>
        <v>20.0</v>
      </c>
    </row>
    <row r="42">
      <c r="A42" s="27" t="s">
        <v>42</v>
      </c>
      <c r="B42" s="27" t="s">
        <v>163</v>
      </c>
      <c r="C42" s="27" t="s">
        <v>164</v>
      </c>
      <c r="D42" s="27" t="s">
        <v>165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18880</f>
        <v>18880.0</v>
      </c>
      <c r="L42" s="34" t="s">
        <v>48</v>
      </c>
      <c r="M42" s="33" t="n">
        <f>19395</f>
        <v>19395.0</v>
      </c>
      <c r="N42" s="34" t="s">
        <v>166</v>
      </c>
      <c r="O42" s="33" t="n">
        <f>18270</f>
        <v>18270.0</v>
      </c>
      <c r="P42" s="34" t="s">
        <v>167</v>
      </c>
      <c r="Q42" s="33" t="n">
        <f>18640</f>
        <v>18640.0</v>
      </c>
      <c r="R42" s="34" t="s">
        <v>168</v>
      </c>
      <c r="S42" s="35" t="n">
        <f>18758.18</f>
        <v>18758.18</v>
      </c>
      <c r="T42" s="32" t="n">
        <f>84</f>
        <v>84.0</v>
      </c>
      <c r="U42" s="32" t="str">
        <f>"－"</f>
        <v>－</v>
      </c>
      <c r="V42" s="32" t="n">
        <f>1562295</f>
        <v>1562295.0</v>
      </c>
      <c r="W42" s="32" t="str">
        <f>"－"</f>
        <v>－</v>
      </c>
      <c r="X42" s="36" t="n">
        <f>11</f>
        <v>11.0</v>
      </c>
    </row>
    <row r="43">
      <c r="A43" s="27" t="s">
        <v>42</v>
      </c>
      <c r="B43" s="27" t="s">
        <v>169</v>
      </c>
      <c r="C43" s="27" t="s">
        <v>170</v>
      </c>
      <c r="D43" s="27" t="s">
        <v>171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16655</f>
        <v>16655.0</v>
      </c>
      <c r="L43" s="34" t="s">
        <v>72</v>
      </c>
      <c r="M43" s="33" t="n">
        <f>17165</f>
        <v>17165.0</v>
      </c>
      <c r="N43" s="34" t="s">
        <v>168</v>
      </c>
      <c r="O43" s="33" t="n">
        <f>15940</f>
        <v>15940.0</v>
      </c>
      <c r="P43" s="34" t="s">
        <v>92</v>
      </c>
      <c r="Q43" s="33" t="n">
        <f>17165</f>
        <v>17165.0</v>
      </c>
      <c r="R43" s="34" t="s">
        <v>168</v>
      </c>
      <c r="S43" s="35" t="n">
        <f>16827.5</f>
        <v>16827.5</v>
      </c>
      <c r="T43" s="32" t="n">
        <f>109</f>
        <v>109.0</v>
      </c>
      <c r="U43" s="32" t="str">
        <f>"－"</f>
        <v>－</v>
      </c>
      <c r="V43" s="32" t="n">
        <f>1770920</f>
        <v>1770920.0</v>
      </c>
      <c r="W43" s="32" t="str">
        <f>"－"</f>
        <v>－</v>
      </c>
      <c r="X43" s="36" t="n">
        <f>6</f>
        <v>6.0</v>
      </c>
    </row>
    <row r="44">
      <c r="A44" s="27" t="s">
        <v>42</v>
      </c>
      <c r="B44" s="27" t="s">
        <v>172</v>
      </c>
      <c r="C44" s="27" t="s">
        <v>173</v>
      </c>
      <c r="D44" s="27" t="s">
        <v>174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11055</f>
        <v>11055.0</v>
      </c>
      <c r="L44" s="34" t="s">
        <v>48</v>
      </c>
      <c r="M44" s="33" t="n">
        <f>11970</f>
        <v>11970.0</v>
      </c>
      <c r="N44" s="34" t="s">
        <v>166</v>
      </c>
      <c r="O44" s="33" t="n">
        <f>10960</f>
        <v>10960.0</v>
      </c>
      <c r="P44" s="34" t="s">
        <v>50</v>
      </c>
      <c r="Q44" s="33" t="n">
        <f>11410</f>
        <v>11410.0</v>
      </c>
      <c r="R44" s="34" t="s">
        <v>51</v>
      </c>
      <c r="S44" s="35" t="n">
        <f>11521.5</f>
        <v>11521.5</v>
      </c>
      <c r="T44" s="32" t="n">
        <f>1801</f>
        <v>1801.0</v>
      </c>
      <c r="U44" s="32" t="str">
        <f>"－"</f>
        <v>－</v>
      </c>
      <c r="V44" s="32" t="n">
        <f>20896900</f>
        <v>2.08969E7</v>
      </c>
      <c r="W44" s="32" t="str">
        <f>"－"</f>
        <v>－</v>
      </c>
      <c r="X44" s="36" t="n">
        <f>20</f>
        <v>20.0</v>
      </c>
    </row>
    <row r="45">
      <c r="A45" s="27" t="s">
        <v>42</v>
      </c>
      <c r="B45" s="27" t="s">
        <v>175</v>
      </c>
      <c r="C45" s="27" t="s">
        <v>176</v>
      </c>
      <c r="D45" s="27" t="s">
        <v>177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5850</f>
        <v>5850.0</v>
      </c>
      <c r="L45" s="34" t="s">
        <v>48</v>
      </c>
      <c r="M45" s="33" t="n">
        <f>6130</f>
        <v>6130.0</v>
      </c>
      <c r="N45" s="34" t="s">
        <v>114</v>
      </c>
      <c r="O45" s="33" t="n">
        <f>5560</f>
        <v>5560.0</v>
      </c>
      <c r="P45" s="34" t="s">
        <v>50</v>
      </c>
      <c r="Q45" s="33" t="n">
        <f>5710</f>
        <v>5710.0</v>
      </c>
      <c r="R45" s="34" t="s">
        <v>51</v>
      </c>
      <c r="S45" s="35" t="n">
        <f>5898.5</f>
        <v>5898.5</v>
      </c>
      <c r="T45" s="32" t="n">
        <f>2826</f>
        <v>2826.0</v>
      </c>
      <c r="U45" s="32" t="str">
        <f>"－"</f>
        <v>－</v>
      </c>
      <c r="V45" s="32" t="n">
        <f>16638640</f>
        <v>1.663864E7</v>
      </c>
      <c r="W45" s="32" t="str">
        <f>"－"</f>
        <v>－</v>
      </c>
      <c r="X45" s="36" t="n">
        <f>20</f>
        <v>20.0</v>
      </c>
    </row>
    <row r="46">
      <c r="A46" s="27" t="s">
        <v>42</v>
      </c>
      <c r="B46" s="27" t="s">
        <v>178</v>
      </c>
      <c r="C46" s="27" t="s">
        <v>179</v>
      </c>
      <c r="D46" s="27" t="s">
        <v>180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3135</f>
        <v>3135.0</v>
      </c>
      <c r="L46" s="34" t="s">
        <v>48</v>
      </c>
      <c r="M46" s="33" t="n">
        <f>3310</f>
        <v>3310.0</v>
      </c>
      <c r="N46" s="34" t="s">
        <v>61</v>
      </c>
      <c r="O46" s="33" t="n">
        <f>3040</f>
        <v>3040.0</v>
      </c>
      <c r="P46" s="34" t="s">
        <v>50</v>
      </c>
      <c r="Q46" s="33" t="n">
        <f>3190</f>
        <v>3190.0</v>
      </c>
      <c r="R46" s="34" t="s">
        <v>51</v>
      </c>
      <c r="S46" s="35" t="n">
        <f>3220.75</f>
        <v>3220.75</v>
      </c>
      <c r="T46" s="32" t="n">
        <f>6878</f>
        <v>6878.0</v>
      </c>
      <c r="U46" s="32" t="str">
        <f>"－"</f>
        <v>－</v>
      </c>
      <c r="V46" s="32" t="n">
        <f>22259425</f>
        <v>2.2259425E7</v>
      </c>
      <c r="W46" s="32" t="str">
        <f>"－"</f>
        <v>－</v>
      </c>
      <c r="X46" s="36" t="n">
        <f>20</f>
        <v>20.0</v>
      </c>
    </row>
    <row r="47">
      <c r="A47" s="27" t="s">
        <v>42</v>
      </c>
      <c r="B47" s="27" t="s">
        <v>181</v>
      </c>
      <c r="C47" s="27" t="s">
        <v>182</v>
      </c>
      <c r="D47" s="27" t="s">
        <v>183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3070</f>
        <v>3070.0</v>
      </c>
      <c r="L47" s="34" t="s">
        <v>48</v>
      </c>
      <c r="M47" s="33" t="n">
        <f>3320</f>
        <v>3320.0</v>
      </c>
      <c r="N47" s="34" t="s">
        <v>114</v>
      </c>
      <c r="O47" s="33" t="n">
        <f>2968</f>
        <v>2968.0</v>
      </c>
      <c r="P47" s="34" t="s">
        <v>50</v>
      </c>
      <c r="Q47" s="33" t="n">
        <f>3055</f>
        <v>3055.0</v>
      </c>
      <c r="R47" s="34" t="s">
        <v>51</v>
      </c>
      <c r="S47" s="35" t="n">
        <f>3130.75</f>
        <v>3130.75</v>
      </c>
      <c r="T47" s="32" t="n">
        <f>4129</f>
        <v>4129.0</v>
      </c>
      <c r="U47" s="32" t="str">
        <f>"－"</f>
        <v>－</v>
      </c>
      <c r="V47" s="32" t="n">
        <f>12888884</f>
        <v>1.2888884E7</v>
      </c>
      <c r="W47" s="32" t="str">
        <f>"－"</f>
        <v>－</v>
      </c>
      <c r="X47" s="36" t="n">
        <f>20</f>
        <v>20.0</v>
      </c>
    </row>
    <row r="48">
      <c r="A48" s="27" t="s">
        <v>42</v>
      </c>
      <c r="B48" s="27" t="s">
        <v>184</v>
      </c>
      <c r="C48" s="27" t="s">
        <v>185</v>
      </c>
      <c r="D48" s="27" t="s">
        <v>186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53870</f>
        <v>53870.0</v>
      </c>
      <c r="L48" s="34" t="s">
        <v>48</v>
      </c>
      <c r="M48" s="33" t="n">
        <f>56210</f>
        <v>56210.0</v>
      </c>
      <c r="N48" s="34" t="s">
        <v>166</v>
      </c>
      <c r="O48" s="33" t="n">
        <f>51760</f>
        <v>51760.0</v>
      </c>
      <c r="P48" s="34" t="s">
        <v>50</v>
      </c>
      <c r="Q48" s="33" t="n">
        <f>53350</f>
        <v>53350.0</v>
      </c>
      <c r="R48" s="34" t="s">
        <v>51</v>
      </c>
      <c r="S48" s="35" t="n">
        <f>54375.79</f>
        <v>54375.79</v>
      </c>
      <c r="T48" s="32" t="n">
        <f>1439</f>
        <v>1439.0</v>
      </c>
      <c r="U48" s="32" t="str">
        <f>"－"</f>
        <v>－</v>
      </c>
      <c r="V48" s="32" t="n">
        <f>78021210</f>
        <v>7.802121E7</v>
      </c>
      <c r="W48" s="32" t="str">
        <f>"－"</f>
        <v>－</v>
      </c>
      <c r="X48" s="36" t="n">
        <f>19</f>
        <v>19.0</v>
      </c>
    </row>
    <row r="49">
      <c r="A49" s="27" t="s">
        <v>42</v>
      </c>
      <c r="B49" s="27" t="s">
        <v>187</v>
      </c>
      <c r="C49" s="27" t="s">
        <v>188</v>
      </c>
      <c r="D49" s="27" t="s">
        <v>189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38010</f>
        <v>38010.0</v>
      </c>
      <c r="L49" s="34" t="s">
        <v>48</v>
      </c>
      <c r="M49" s="33" t="n">
        <f>39810</f>
        <v>39810.0</v>
      </c>
      <c r="N49" s="34" t="s">
        <v>48</v>
      </c>
      <c r="O49" s="33" t="n">
        <f>36990</f>
        <v>36990.0</v>
      </c>
      <c r="P49" s="34" t="s">
        <v>51</v>
      </c>
      <c r="Q49" s="33" t="n">
        <f>37090</f>
        <v>37090.0</v>
      </c>
      <c r="R49" s="34" t="s">
        <v>51</v>
      </c>
      <c r="S49" s="35" t="n">
        <f>37901.54</f>
        <v>37901.54</v>
      </c>
      <c r="T49" s="32" t="n">
        <f>125</f>
        <v>125.0</v>
      </c>
      <c r="U49" s="32" t="n">
        <f>4</f>
        <v>4.0</v>
      </c>
      <c r="V49" s="32" t="n">
        <f>4760630</f>
        <v>4760630.0</v>
      </c>
      <c r="W49" s="32" t="n">
        <f>150120</f>
        <v>150120.0</v>
      </c>
      <c r="X49" s="36" t="n">
        <f>13</f>
        <v>13.0</v>
      </c>
    </row>
    <row r="50">
      <c r="A50" s="27" t="s">
        <v>42</v>
      </c>
      <c r="B50" s="27" t="s">
        <v>190</v>
      </c>
      <c r="C50" s="27" t="s">
        <v>191</v>
      </c>
      <c r="D50" s="27" t="s">
        <v>192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28000</f>
        <v>28000.0</v>
      </c>
      <c r="L50" s="34" t="s">
        <v>48</v>
      </c>
      <c r="M50" s="33" t="n">
        <f>28390</f>
        <v>28390.0</v>
      </c>
      <c r="N50" s="34" t="s">
        <v>49</v>
      </c>
      <c r="O50" s="33" t="n">
        <f>26350</f>
        <v>26350.0</v>
      </c>
      <c r="P50" s="34" t="s">
        <v>50</v>
      </c>
      <c r="Q50" s="33" t="n">
        <f>27045</f>
        <v>27045.0</v>
      </c>
      <c r="R50" s="34" t="s">
        <v>51</v>
      </c>
      <c r="S50" s="35" t="n">
        <f>27298.68</f>
        <v>27298.68</v>
      </c>
      <c r="T50" s="32" t="n">
        <f>128073</f>
        <v>128073.0</v>
      </c>
      <c r="U50" s="32" t="n">
        <f>75987</f>
        <v>75987.0</v>
      </c>
      <c r="V50" s="32" t="n">
        <f>3532483541</f>
        <v>3.532483541E9</v>
      </c>
      <c r="W50" s="32" t="n">
        <f>2111973141</f>
        <v>2.111973141E9</v>
      </c>
      <c r="X50" s="36" t="n">
        <f>19</f>
        <v>19.0</v>
      </c>
    </row>
    <row r="51">
      <c r="A51" s="27" t="s">
        <v>42</v>
      </c>
      <c r="B51" s="27" t="s">
        <v>193</v>
      </c>
      <c r="C51" s="27" t="s">
        <v>194</v>
      </c>
      <c r="D51" s="27" t="s">
        <v>195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10.0</v>
      </c>
      <c r="K51" s="33" t="n">
        <f>2026.5</f>
        <v>2026.5</v>
      </c>
      <c r="L51" s="34" t="s">
        <v>48</v>
      </c>
      <c r="M51" s="33" t="n">
        <f>2094.5</f>
        <v>2094.5</v>
      </c>
      <c r="N51" s="34" t="s">
        <v>72</v>
      </c>
      <c r="O51" s="33" t="n">
        <f>2000</f>
        <v>2000.0</v>
      </c>
      <c r="P51" s="34" t="s">
        <v>114</v>
      </c>
      <c r="Q51" s="33" t="n">
        <f>2029</f>
        <v>2029.0</v>
      </c>
      <c r="R51" s="34" t="s">
        <v>51</v>
      </c>
      <c r="S51" s="35" t="n">
        <f>2036.75</f>
        <v>2036.75</v>
      </c>
      <c r="T51" s="32" t="n">
        <f>489660</f>
        <v>489660.0</v>
      </c>
      <c r="U51" s="32" t="n">
        <f>75000</f>
        <v>75000.0</v>
      </c>
      <c r="V51" s="32" t="n">
        <f>996151530</f>
        <v>9.9615153E8</v>
      </c>
      <c r="W51" s="32" t="n">
        <f>152021500</f>
        <v>1.520215E8</v>
      </c>
      <c r="X51" s="36" t="n">
        <f>20</f>
        <v>20.0</v>
      </c>
    </row>
    <row r="52">
      <c r="A52" s="27" t="s">
        <v>42</v>
      </c>
      <c r="B52" s="27" t="s">
        <v>196</v>
      </c>
      <c r="C52" s="27" t="s">
        <v>197</v>
      </c>
      <c r="D52" s="27" t="s">
        <v>198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10.0</v>
      </c>
      <c r="K52" s="33" t="n">
        <f>1609.5</f>
        <v>1609.5</v>
      </c>
      <c r="L52" s="34" t="s">
        <v>72</v>
      </c>
      <c r="M52" s="33" t="n">
        <f>1609.5</f>
        <v>1609.5</v>
      </c>
      <c r="N52" s="34" t="s">
        <v>72</v>
      </c>
      <c r="O52" s="33" t="n">
        <f>1534</f>
        <v>1534.0</v>
      </c>
      <c r="P52" s="34" t="s">
        <v>92</v>
      </c>
      <c r="Q52" s="33" t="n">
        <f>1543.5</f>
        <v>1543.5</v>
      </c>
      <c r="R52" s="34" t="s">
        <v>50</v>
      </c>
      <c r="S52" s="35" t="n">
        <f>1561.5</f>
        <v>1561.5</v>
      </c>
      <c r="T52" s="32" t="n">
        <f>6370</f>
        <v>6370.0</v>
      </c>
      <c r="U52" s="32" t="str">
        <f>"－"</f>
        <v>－</v>
      </c>
      <c r="V52" s="32" t="n">
        <f>10112245</f>
        <v>1.0112245E7</v>
      </c>
      <c r="W52" s="32" t="str">
        <f>"－"</f>
        <v>－</v>
      </c>
      <c r="X52" s="36" t="n">
        <f>11</f>
        <v>11.0</v>
      </c>
    </row>
    <row r="53">
      <c r="A53" s="27" t="s">
        <v>42</v>
      </c>
      <c r="B53" s="27" t="s">
        <v>199</v>
      </c>
      <c r="C53" s="27" t="s">
        <v>200</v>
      </c>
      <c r="D53" s="27" t="s">
        <v>201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4280</f>
        <v>4280.0</v>
      </c>
      <c r="L53" s="34" t="s">
        <v>48</v>
      </c>
      <c r="M53" s="33" t="n">
        <f>4515</f>
        <v>4515.0</v>
      </c>
      <c r="N53" s="34" t="s">
        <v>50</v>
      </c>
      <c r="O53" s="33" t="n">
        <f>4220</f>
        <v>4220.0</v>
      </c>
      <c r="P53" s="34" t="s">
        <v>49</v>
      </c>
      <c r="Q53" s="33" t="n">
        <f>4380</f>
        <v>4380.0</v>
      </c>
      <c r="R53" s="34" t="s">
        <v>51</v>
      </c>
      <c r="S53" s="35" t="n">
        <f>4360.75</f>
        <v>4360.75</v>
      </c>
      <c r="T53" s="32" t="n">
        <f>1181016</f>
        <v>1181016.0</v>
      </c>
      <c r="U53" s="32" t="n">
        <f>474000</f>
        <v>474000.0</v>
      </c>
      <c r="V53" s="32" t="n">
        <f>5144383080</f>
        <v>5.14438308E9</v>
      </c>
      <c r="W53" s="32" t="n">
        <f>2055254200</f>
        <v>2.0552542E9</v>
      </c>
      <c r="X53" s="36" t="n">
        <f>20</f>
        <v>20.0</v>
      </c>
    </row>
    <row r="54">
      <c r="A54" s="27" t="s">
        <v>42</v>
      </c>
      <c r="B54" s="27" t="s">
        <v>202</v>
      </c>
      <c r="C54" s="27" t="s">
        <v>203</v>
      </c>
      <c r="D54" s="27" t="s">
        <v>204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5060</f>
        <v>5060.0</v>
      </c>
      <c r="L54" s="34" t="s">
        <v>48</v>
      </c>
      <c r="M54" s="33" t="n">
        <f>5280</f>
        <v>5280.0</v>
      </c>
      <c r="N54" s="34" t="s">
        <v>50</v>
      </c>
      <c r="O54" s="33" t="n">
        <f>4950</f>
        <v>4950.0</v>
      </c>
      <c r="P54" s="34" t="s">
        <v>49</v>
      </c>
      <c r="Q54" s="33" t="n">
        <f>5130</f>
        <v>5130.0</v>
      </c>
      <c r="R54" s="34" t="s">
        <v>51</v>
      </c>
      <c r="S54" s="35" t="n">
        <f>5131</f>
        <v>5131.0</v>
      </c>
      <c r="T54" s="32" t="n">
        <f>54815</f>
        <v>54815.0</v>
      </c>
      <c r="U54" s="32" t="n">
        <f>45000</f>
        <v>45000.0</v>
      </c>
      <c r="V54" s="32" t="n">
        <f>276157990</f>
        <v>2.7615799E8</v>
      </c>
      <c r="W54" s="32" t="n">
        <f>225463500</f>
        <v>2.254635E8</v>
      </c>
      <c r="X54" s="36" t="n">
        <f>20</f>
        <v>20.0</v>
      </c>
    </row>
    <row r="55">
      <c r="A55" s="27" t="s">
        <v>42</v>
      </c>
      <c r="B55" s="27" t="s">
        <v>205</v>
      </c>
      <c r="C55" s="27" t="s">
        <v>206</v>
      </c>
      <c r="D55" s="27" t="s">
        <v>207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16915</f>
        <v>16915.0</v>
      </c>
      <c r="L55" s="34" t="s">
        <v>48</v>
      </c>
      <c r="M55" s="33" t="n">
        <f>17385</f>
        <v>17385.0</v>
      </c>
      <c r="N55" s="34" t="s">
        <v>49</v>
      </c>
      <c r="O55" s="33" t="n">
        <f>15020</f>
        <v>15020.0</v>
      </c>
      <c r="P55" s="34" t="s">
        <v>50</v>
      </c>
      <c r="Q55" s="33" t="n">
        <f>15960</f>
        <v>15960.0</v>
      </c>
      <c r="R55" s="34" t="s">
        <v>51</v>
      </c>
      <c r="S55" s="35" t="n">
        <f>16233.25</f>
        <v>16233.25</v>
      </c>
      <c r="T55" s="32" t="n">
        <f>11488857</f>
        <v>1.1488857E7</v>
      </c>
      <c r="U55" s="32" t="n">
        <f>15010</f>
        <v>15010.0</v>
      </c>
      <c r="V55" s="32" t="n">
        <f>185608231850</f>
        <v>1.8560823185E11</v>
      </c>
      <c r="W55" s="32" t="n">
        <f>240199840</f>
        <v>2.4019984E8</v>
      </c>
      <c r="X55" s="36" t="n">
        <f>20</f>
        <v>20.0</v>
      </c>
    </row>
    <row r="56">
      <c r="A56" s="27" t="s">
        <v>42</v>
      </c>
      <c r="B56" s="27" t="s">
        <v>208</v>
      </c>
      <c r="C56" s="27" t="s">
        <v>209</v>
      </c>
      <c r="D56" s="27" t="s">
        <v>210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1568</f>
        <v>1568.0</v>
      </c>
      <c r="L56" s="34" t="s">
        <v>48</v>
      </c>
      <c r="M56" s="33" t="n">
        <f>1741</f>
        <v>1741.0</v>
      </c>
      <c r="N56" s="34" t="s">
        <v>50</v>
      </c>
      <c r="O56" s="33" t="n">
        <f>1525</f>
        <v>1525.0</v>
      </c>
      <c r="P56" s="34" t="s">
        <v>49</v>
      </c>
      <c r="Q56" s="33" t="n">
        <f>1640</f>
        <v>1640.0</v>
      </c>
      <c r="R56" s="34" t="s">
        <v>51</v>
      </c>
      <c r="S56" s="35" t="n">
        <f>1625.4</f>
        <v>1625.4</v>
      </c>
      <c r="T56" s="32" t="n">
        <f>155054456</f>
        <v>1.55054456E8</v>
      </c>
      <c r="U56" s="32" t="n">
        <f>500021</f>
        <v>500021.0</v>
      </c>
      <c r="V56" s="32" t="n">
        <f>253376368275</f>
        <v>2.53376368275E11</v>
      </c>
      <c r="W56" s="32" t="n">
        <f>782055004</f>
        <v>7.82055004E8</v>
      </c>
      <c r="X56" s="36" t="n">
        <f>20</f>
        <v>20.0</v>
      </c>
    </row>
    <row r="57">
      <c r="A57" s="27" t="s">
        <v>42</v>
      </c>
      <c r="B57" s="27" t="s">
        <v>211</v>
      </c>
      <c r="C57" s="27" t="s">
        <v>212</v>
      </c>
      <c r="D57" s="27" t="s">
        <v>213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14730</f>
        <v>14730.0</v>
      </c>
      <c r="L57" s="34" t="s">
        <v>48</v>
      </c>
      <c r="M57" s="33" t="n">
        <f>15120</f>
        <v>15120.0</v>
      </c>
      <c r="N57" s="34" t="s">
        <v>49</v>
      </c>
      <c r="O57" s="33" t="n">
        <f>13400</f>
        <v>13400.0</v>
      </c>
      <c r="P57" s="34" t="s">
        <v>50</v>
      </c>
      <c r="Q57" s="33" t="n">
        <f>14280</f>
        <v>14280.0</v>
      </c>
      <c r="R57" s="34" t="s">
        <v>51</v>
      </c>
      <c r="S57" s="35" t="n">
        <f>14270.25</f>
        <v>14270.25</v>
      </c>
      <c r="T57" s="32" t="n">
        <f>2511</f>
        <v>2511.0</v>
      </c>
      <c r="U57" s="32" t="str">
        <f>"－"</f>
        <v>－</v>
      </c>
      <c r="V57" s="32" t="n">
        <f>35855020</f>
        <v>3.585502E7</v>
      </c>
      <c r="W57" s="32" t="str">
        <f>"－"</f>
        <v>－</v>
      </c>
      <c r="X57" s="36" t="n">
        <f>20</f>
        <v>20.0</v>
      </c>
    </row>
    <row r="58">
      <c r="A58" s="27" t="s">
        <v>42</v>
      </c>
      <c r="B58" s="27" t="s">
        <v>214</v>
      </c>
      <c r="C58" s="27" t="s">
        <v>215</v>
      </c>
      <c r="D58" s="27" t="s">
        <v>216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4855</f>
        <v>4855.0</v>
      </c>
      <c r="L58" s="34" t="s">
        <v>48</v>
      </c>
      <c r="M58" s="33" t="n">
        <f>5080</f>
        <v>5080.0</v>
      </c>
      <c r="N58" s="34" t="s">
        <v>50</v>
      </c>
      <c r="O58" s="33" t="n">
        <f>4785</f>
        <v>4785.0</v>
      </c>
      <c r="P58" s="34" t="s">
        <v>72</v>
      </c>
      <c r="Q58" s="33" t="n">
        <f>5050</f>
        <v>5050.0</v>
      </c>
      <c r="R58" s="34" t="s">
        <v>51</v>
      </c>
      <c r="S58" s="35" t="n">
        <f>4966.43</f>
        <v>4966.43</v>
      </c>
      <c r="T58" s="32" t="n">
        <f>175</f>
        <v>175.0</v>
      </c>
      <c r="U58" s="32" t="str">
        <f>"－"</f>
        <v>－</v>
      </c>
      <c r="V58" s="32" t="n">
        <f>868165</f>
        <v>868165.0</v>
      </c>
      <c r="W58" s="32" t="str">
        <f>"－"</f>
        <v>－</v>
      </c>
      <c r="X58" s="36" t="n">
        <f>14</f>
        <v>14.0</v>
      </c>
    </row>
    <row r="59">
      <c r="A59" s="27" t="s">
        <v>42</v>
      </c>
      <c r="B59" s="27" t="s">
        <v>217</v>
      </c>
      <c r="C59" s="27" t="s">
        <v>218</v>
      </c>
      <c r="D59" s="27" t="s">
        <v>219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1895</f>
        <v>1895.0</v>
      </c>
      <c r="L59" s="34" t="s">
        <v>48</v>
      </c>
      <c r="M59" s="33" t="n">
        <f>2074</f>
        <v>2074.0</v>
      </c>
      <c r="N59" s="34" t="s">
        <v>50</v>
      </c>
      <c r="O59" s="33" t="n">
        <f>1836</f>
        <v>1836.0</v>
      </c>
      <c r="P59" s="34" t="s">
        <v>72</v>
      </c>
      <c r="Q59" s="33" t="n">
        <f>1958</f>
        <v>1958.0</v>
      </c>
      <c r="R59" s="34" t="s">
        <v>51</v>
      </c>
      <c r="S59" s="35" t="n">
        <f>1957.45</f>
        <v>1957.45</v>
      </c>
      <c r="T59" s="32" t="n">
        <f>31985</f>
        <v>31985.0</v>
      </c>
      <c r="U59" s="32" t="str">
        <f>"－"</f>
        <v>－</v>
      </c>
      <c r="V59" s="32" t="n">
        <f>63279827</f>
        <v>6.3279827E7</v>
      </c>
      <c r="W59" s="32" t="str">
        <f>"－"</f>
        <v>－</v>
      </c>
      <c r="X59" s="36" t="n">
        <f>20</f>
        <v>20.0</v>
      </c>
    </row>
    <row r="60">
      <c r="A60" s="27" t="s">
        <v>42</v>
      </c>
      <c r="B60" s="27" t="s">
        <v>220</v>
      </c>
      <c r="C60" s="27" t="s">
        <v>221</v>
      </c>
      <c r="D60" s="27" t="s">
        <v>222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10.0</v>
      </c>
      <c r="K60" s="33" t="n">
        <f>14000</f>
        <v>14000.0</v>
      </c>
      <c r="L60" s="34" t="s">
        <v>48</v>
      </c>
      <c r="M60" s="33" t="n">
        <f>14550</f>
        <v>14550.0</v>
      </c>
      <c r="N60" s="34" t="s">
        <v>49</v>
      </c>
      <c r="O60" s="33" t="n">
        <f>12875</f>
        <v>12875.0</v>
      </c>
      <c r="P60" s="34" t="s">
        <v>50</v>
      </c>
      <c r="Q60" s="33" t="n">
        <f>13530</f>
        <v>13530.0</v>
      </c>
      <c r="R60" s="34" t="s">
        <v>51</v>
      </c>
      <c r="S60" s="35" t="n">
        <f>13645.83</f>
        <v>13645.83</v>
      </c>
      <c r="T60" s="32" t="n">
        <f>3280</f>
        <v>3280.0</v>
      </c>
      <c r="U60" s="32" t="n">
        <f>10</f>
        <v>10.0</v>
      </c>
      <c r="V60" s="32" t="n">
        <f>44480400</f>
        <v>4.44804E7</v>
      </c>
      <c r="W60" s="32" t="n">
        <f>134300</f>
        <v>134300.0</v>
      </c>
      <c r="X60" s="36" t="n">
        <f>18</f>
        <v>18.0</v>
      </c>
    </row>
    <row r="61">
      <c r="A61" s="27" t="s">
        <v>42</v>
      </c>
      <c r="B61" s="27" t="s">
        <v>223</v>
      </c>
      <c r="C61" s="27" t="s">
        <v>224</v>
      </c>
      <c r="D61" s="27" t="s">
        <v>225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10.0</v>
      </c>
      <c r="K61" s="33" t="n">
        <f>4570</f>
        <v>4570.0</v>
      </c>
      <c r="L61" s="34" t="s">
        <v>226</v>
      </c>
      <c r="M61" s="33" t="n">
        <f>5362</f>
        <v>5362.0</v>
      </c>
      <c r="N61" s="34" t="s">
        <v>61</v>
      </c>
      <c r="O61" s="33" t="n">
        <f>4570</f>
        <v>4570.0</v>
      </c>
      <c r="P61" s="34" t="s">
        <v>226</v>
      </c>
      <c r="Q61" s="33" t="n">
        <f>4755</f>
        <v>4755.0</v>
      </c>
      <c r="R61" s="34" t="s">
        <v>50</v>
      </c>
      <c r="S61" s="35" t="n">
        <f>4663</f>
        <v>4663.0</v>
      </c>
      <c r="T61" s="32" t="n">
        <f>1700</f>
        <v>1700.0</v>
      </c>
      <c r="U61" s="32" t="str">
        <f>"－"</f>
        <v>－</v>
      </c>
      <c r="V61" s="32" t="n">
        <f>8139590</f>
        <v>8139590.0</v>
      </c>
      <c r="W61" s="32" t="str">
        <f>"－"</f>
        <v>－</v>
      </c>
      <c r="X61" s="36" t="n">
        <f>9</f>
        <v>9.0</v>
      </c>
    </row>
    <row r="62">
      <c r="A62" s="27" t="s">
        <v>42</v>
      </c>
      <c r="B62" s="27" t="s">
        <v>227</v>
      </c>
      <c r="C62" s="27" t="s">
        <v>228</v>
      </c>
      <c r="D62" s="27" t="s">
        <v>229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10.0</v>
      </c>
      <c r="K62" s="33" t="n">
        <f>1858</f>
        <v>1858.0</v>
      </c>
      <c r="L62" s="34" t="s">
        <v>48</v>
      </c>
      <c r="M62" s="33" t="n">
        <f>2035.5</f>
        <v>2035.5</v>
      </c>
      <c r="N62" s="34" t="s">
        <v>50</v>
      </c>
      <c r="O62" s="33" t="n">
        <f>1826</f>
        <v>1826.0</v>
      </c>
      <c r="P62" s="34" t="s">
        <v>49</v>
      </c>
      <c r="Q62" s="33" t="n">
        <f>1939</f>
        <v>1939.0</v>
      </c>
      <c r="R62" s="34" t="s">
        <v>51</v>
      </c>
      <c r="S62" s="35" t="n">
        <f>1926.13</f>
        <v>1926.13</v>
      </c>
      <c r="T62" s="32" t="n">
        <f>70540</f>
        <v>70540.0</v>
      </c>
      <c r="U62" s="32" t="str">
        <f>"－"</f>
        <v>－</v>
      </c>
      <c r="V62" s="32" t="n">
        <f>137342530</f>
        <v>1.3734253E8</v>
      </c>
      <c r="W62" s="32" t="str">
        <f>"－"</f>
        <v>－</v>
      </c>
      <c r="X62" s="36" t="n">
        <f>20</f>
        <v>20.0</v>
      </c>
    </row>
    <row r="63">
      <c r="A63" s="27" t="s">
        <v>42</v>
      </c>
      <c r="B63" s="27" t="s">
        <v>230</v>
      </c>
      <c r="C63" s="27" t="s">
        <v>231</v>
      </c>
      <c r="D63" s="27" t="s">
        <v>232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758</f>
        <v>758.0</v>
      </c>
      <c r="L63" s="34" t="s">
        <v>48</v>
      </c>
      <c r="M63" s="33" t="n">
        <f>829</f>
        <v>829.0</v>
      </c>
      <c r="N63" s="34" t="s">
        <v>50</v>
      </c>
      <c r="O63" s="33" t="n">
        <f>734</f>
        <v>734.0</v>
      </c>
      <c r="P63" s="34" t="s">
        <v>48</v>
      </c>
      <c r="Q63" s="33" t="n">
        <f>785</f>
        <v>785.0</v>
      </c>
      <c r="R63" s="34" t="s">
        <v>51</v>
      </c>
      <c r="S63" s="35" t="n">
        <f>784.15</f>
        <v>784.15</v>
      </c>
      <c r="T63" s="32" t="n">
        <f>53121</f>
        <v>53121.0</v>
      </c>
      <c r="U63" s="32" t="str">
        <f>"－"</f>
        <v>－</v>
      </c>
      <c r="V63" s="32" t="n">
        <f>41836236</f>
        <v>4.1836236E7</v>
      </c>
      <c r="W63" s="32" t="str">
        <f>"－"</f>
        <v>－</v>
      </c>
      <c r="X63" s="36" t="n">
        <f>20</f>
        <v>20.0</v>
      </c>
    </row>
    <row r="64">
      <c r="A64" s="27" t="s">
        <v>42</v>
      </c>
      <c r="B64" s="27" t="s">
        <v>233</v>
      </c>
      <c r="C64" s="27" t="s">
        <v>234</v>
      </c>
      <c r="D64" s="27" t="s">
        <v>235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1978.5</f>
        <v>1978.5</v>
      </c>
      <c r="L64" s="34" t="s">
        <v>48</v>
      </c>
      <c r="M64" s="33" t="n">
        <f>2015</f>
        <v>2015.0</v>
      </c>
      <c r="N64" s="34" t="s">
        <v>49</v>
      </c>
      <c r="O64" s="33" t="n">
        <f>1886.5</f>
        <v>1886.5</v>
      </c>
      <c r="P64" s="34" t="s">
        <v>50</v>
      </c>
      <c r="Q64" s="33" t="n">
        <f>1945</f>
        <v>1945.0</v>
      </c>
      <c r="R64" s="34" t="s">
        <v>51</v>
      </c>
      <c r="S64" s="35" t="n">
        <f>1947.45</f>
        <v>1947.45</v>
      </c>
      <c r="T64" s="32" t="n">
        <f>370150</f>
        <v>370150.0</v>
      </c>
      <c r="U64" s="32" t="n">
        <f>38700</f>
        <v>38700.0</v>
      </c>
      <c r="V64" s="32" t="n">
        <f>714620715</f>
        <v>7.14620715E8</v>
      </c>
      <c r="W64" s="32" t="n">
        <f>74972985</f>
        <v>7.4972985E7</v>
      </c>
      <c r="X64" s="36" t="n">
        <f>20</f>
        <v>20.0</v>
      </c>
    </row>
    <row r="65">
      <c r="A65" s="27" t="s">
        <v>42</v>
      </c>
      <c r="B65" s="27" t="s">
        <v>236</v>
      </c>
      <c r="C65" s="27" t="s">
        <v>237</v>
      </c>
      <c r="D65" s="27" t="s">
        <v>238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17835</f>
        <v>17835.0</v>
      </c>
      <c r="L65" s="34" t="s">
        <v>48</v>
      </c>
      <c r="M65" s="33" t="n">
        <f>18075</f>
        <v>18075.0</v>
      </c>
      <c r="N65" s="34" t="s">
        <v>49</v>
      </c>
      <c r="O65" s="33" t="n">
        <f>17060</f>
        <v>17060.0</v>
      </c>
      <c r="P65" s="34" t="s">
        <v>50</v>
      </c>
      <c r="Q65" s="33" t="n">
        <f>17375</f>
        <v>17375.0</v>
      </c>
      <c r="R65" s="34" t="s">
        <v>51</v>
      </c>
      <c r="S65" s="35" t="n">
        <f>17453</f>
        <v>17453.0</v>
      </c>
      <c r="T65" s="32" t="n">
        <f>326</f>
        <v>326.0</v>
      </c>
      <c r="U65" s="32" t="str">
        <f>"－"</f>
        <v>－</v>
      </c>
      <c r="V65" s="32" t="n">
        <f>5661755</f>
        <v>5661755.0</v>
      </c>
      <c r="W65" s="32" t="str">
        <f>"－"</f>
        <v>－</v>
      </c>
      <c r="X65" s="36" t="n">
        <f>20</f>
        <v>20.0</v>
      </c>
    </row>
    <row r="66">
      <c r="A66" s="27" t="s">
        <v>42</v>
      </c>
      <c r="B66" s="27" t="s">
        <v>239</v>
      </c>
      <c r="C66" s="27" t="s">
        <v>240</v>
      </c>
      <c r="D66" s="27" t="s">
        <v>241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1988</f>
        <v>1988.0</v>
      </c>
      <c r="L66" s="34" t="s">
        <v>48</v>
      </c>
      <c r="M66" s="33" t="n">
        <f>2030</f>
        <v>2030.0</v>
      </c>
      <c r="N66" s="34" t="s">
        <v>49</v>
      </c>
      <c r="O66" s="33" t="n">
        <f>1896</f>
        <v>1896.0</v>
      </c>
      <c r="P66" s="34" t="s">
        <v>50</v>
      </c>
      <c r="Q66" s="33" t="n">
        <f>1955</f>
        <v>1955.0</v>
      </c>
      <c r="R66" s="34" t="s">
        <v>51</v>
      </c>
      <c r="S66" s="35" t="n">
        <f>1959.25</f>
        <v>1959.25</v>
      </c>
      <c r="T66" s="32" t="n">
        <f>3483256</f>
        <v>3483256.0</v>
      </c>
      <c r="U66" s="32" t="n">
        <f>155561</f>
        <v>155561.0</v>
      </c>
      <c r="V66" s="32" t="n">
        <f>6788311562</f>
        <v>6.788311562E9</v>
      </c>
      <c r="W66" s="32" t="n">
        <f>298906034</f>
        <v>2.98906034E8</v>
      </c>
      <c r="X66" s="36" t="n">
        <f>20</f>
        <v>20.0</v>
      </c>
    </row>
    <row r="67">
      <c r="A67" s="27" t="s">
        <v>42</v>
      </c>
      <c r="B67" s="27" t="s">
        <v>242</v>
      </c>
      <c r="C67" s="27" t="s">
        <v>243</v>
      </c>
      <c r="D67" s="27" t="s">
        <v>244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2070</f>
        <v>2070.0</v>
      </c>
      <c r="L67" s="34" t="s">
        <v>48</v>
      </c>
      <c r="M67" s="33" t="n">
        <f>2120</f>
        <v>2120.0</v>
      </c>
      <c r="N67" s="34" t="s">
        <v>72</v>
      </c>
      <c r="O67" s="33" t="n">
        <f>2024</f>
        <v>2024.0</v>
      </c>
      <c r="P67" s="34" t="s">
        <v>114</v>
      </c>
      <c r="Q67" s="33" t="n">
        <f>2053</f>
        <v>2053.0</v>
      </c>
      <c r="R67" s="34" t="s">
        <v>51</v>
      </c>
      <c r="S67" s="35" t="n">
        <f>2062.3</f>
        <v>2062.3</v>
      </c>
      <c r="T67" s="32" t="n">
        <f>7290790</f>
        <v>7290790.0</v>
      </c>
      <c r="U67" s="32" t="n">
        <f>3440174</f>
        <v>3440174.0</v>
      </c>
      <c r="V67" s="32" t="n">
        <f>15118512160</f>
        <v>1.511851216E10</v>
      </c>
      <c r="W67" s="32" t="n">
        <f>7176562506</f>
        <v>7.176562506E9</v>
      </c>
      <c r="X67" s="36" t="n">
        <f>20</f>
        <v>20.0</v>
      </c>
    </row>
    <row r="68">
      <c r="A68" s="27" t="s">
        <v>42</v>
      </c>
      <c r="B68" s="27" t="s">
        <v>245</v>
      </c>
      <c r="C68" s="27" t="s">
        <v>246</v>
      </c>
      <c r="D68" s="27" t="s">
        <v>247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1860</f>
        <v>1860.0</v>
      </c>
      <c r="L68" s="34" t="s">
        <v>48</v>
      </c>
      <c r="M68" s="33" t="n">
        <f>1883</f>
        <v>1883.0</v>
      </c>
      <c r="N68" s="34" t="s">
        <v>49</v>
      </c>
      <c r="O68" s="33" t="n">
        <f>1802</f>
        <v>1802.0</v>
      </c>
      <c r="P68" s="34" t="s">
        <v>50</v>
      </c>
      <c r="Q68" s="33" t="n">
        <f>1840</f>
        <v>1840.0</v>
      </c>
      <c r="R68" s="34" t="s">
        <v>51</v>
      </c>
      <c r="S68" s="35" t="n">
        <f>1838.9</f>
        <v>1838.9</v>
      </c>
      <c r="T68" s="32" t="n">
        <f>8950</f>
        <v>8950.0</v>
      </c>
      <c r="U68" s="32" t="n">
        <f>4</f>
        <v>4.0</v>
      </c>
      <c r="V68" s="32" t="n">
        <f>16326524</f>
        <v>1.6326524E7</v>
      </c>
      <c r="W68" s="32" t="n">
        <f>7415</f>
        <v>7415.0</v>
      </c>
      <c r="X68" s="36" t="n">
        <f>20</f>
        <v>20.0</v>
      </c>
    </row>
    <row r="69">
      <c r="A69" s="27" t="s">
        <v>42</v>
      </c>
      <c r="B69" s="27" t="s">
        <v>248</v>
      </c>
      <c r="C69" s="27" t="s">
        <v>249</v>
      </c>
      <c r="D69" s="27" t="s">
        <v>250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2359</f>
        <v>2359.0</v>
      </c>
      <c r="L69" s="34" t="s">
        <v>48</v>
      </c>
      <c r="M69" s="33" t="n">
        <f>2381</f>
        <v>2381.0</v>
      </c>
      <c r="N69" s="34" t="s">
        <v>72</v>
      </c>
      <c r="O69" s="33" t="n">
        <f>2271</f>
        <v>2271.0</v>
      </c>
      <c r="P69" s="34" t="s">
        <v>92</v>
      </c>
      <c r="Q69" s="33" t="n">
        <f>2360</f>
        <v>2360.0</v>
      </c>
      <c r="R69" s="34" t="s">
        <v>51</v>
      </c>
      <c r="S69" s="35" t="n">
        <f>2328.4</f>
        <v>2328.4</v>
      </c>
      <c r="T69" s="32" t="n">
        <f>3917583</f>
        <v>3917583.0</v>
      </c>
      <c r="U69" s="32" t="n">
        <f>3682400</f>
        <v>3682400.0</v>
      </c>
      <c r="V69" s="32" t="n">
        <f>8928438863</f>
        <v>8.928438863E9</v>
      </c>
      <c r="W69" s="32" t="n">
        <f>8384246579</f>
        <v>8.384246579E9</v>
      </c>
      <c r="X69" s="36" t="n">
        <f>20</f>
        <v>20.0</v>
      </c>
    </row>
    <row r="70">
      <c r="A70" s="27" t="s">
        <v>42</v>
      </c>
      <c r="B70" s="27" t="s">
        <v>251</v>
      </c>
      <c r="C70" s="27" t="s">
        <v>252</v>
      </c>
      <c r="D70" s="27" t="s">
        <v>253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24350</f>
        <v>24350.0</v>
      </c>
      <c r="L70" s="34" t="s">
        <v>48</v>
      </c>
      <c r="M70" s="33" t="n">
        <f>24560</f>
        <v>24560.0</v>
      </c>
      <c r="N70" s="34" t="s">
        <v>48</v>
      </c>
      <c r="O70" s="33" t="n">
        <f>23440</f>
        <v>23440.0</v>
      </c>
      <c r="P70" s="34" t="s">
        <v>254</v>
      </c>
      <c r="Q70" s="33" t="n">
        <f>23700</f>
        <v>23700.0</v>
      </c>
      <c r="R70" s="34" t="s">
        <v>168</v>
      </c>
      <c r="S70" s="35" t="n">
        <f>23950</f>
        <v>23950.0</v>
      </c>
      <c r="T70" s="32" t="n">
        <f>141</f>
        <v>141.0</v>
      </c>
      <c r="U70" s="32" t="str">
        <f>"－"</f>
        <v>－</v>
      </c>
      <c r="V70" s="32" t="n">
        <f>3407140</f>
        <v>3407140.0</v>
      </c>
      <c r="W70" s="32" t="str">
        <f>"－"</f>
        <v>－</v>
      </c>
      <c r="X70" s="36" t="n">
        <f>10</f>
        <v>10.0</v>
      </c>
    </row>
    <row r="71">
      <c r="A71" s="27" t="s">
        <v>42</v>
      </c>
      <c r="B71" s="27" t="s">
        <v>255</v>
      </c>
      <c r="C71" s="27" t="s">
        <v>256</v>
      </c>
      <c r="D71" s="27" t="s">
        <v>257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19660</f>
        <v>19660.0</v>
      </c>
      <c r="L71" s="34" t="s">
        <v>48</v>
      </c>
      <c r="M71" s="33" t="n">
        <f>20020</f>
        <v>20020.0</v>
      </c>
      <c r="N71" s="34" t="s">
        <v>49</v>
      </c>
      <c r="O71" s="33" t="n">
        <f>18750</f>
        <v>18750.0</v>
      </c>
      <c r="P71" s="34" t="s">
        <v>50</v>
      </c>
      <c r="Q71" s="33" t="n">
        <f>18750</f>
        <v>18750.0</v>
      </c>
      <c r="R71" s="34" t="s">
        <v>50</v>
      </c>
      <c r="S71" s="35" t="n">
        <f>19346.36</f>
        <v>19346.36</v>
      </c>
      <c r="T71" s="32" t="n">
        <f>225</f>
        <v>225.0</v>
      </c>
      <c r="U71" s="32" t="str">
        <f>"－"</f>
        <v>－</v>
      </c>
      <c r="V71" s="32" t="n">
        <f>4309760</f>
        <v>4309760.0</v>
      </c>
      <c r="W71" s="32" t="str">
        <f>"－"</f>
        <v>－</v>
      </c>
      <c r="X71" s="36" t="n">
        <f>11</f>
        <v>11.0</v>
      </c>
    </row>
    <row r="72">
      <c r="A72" s="27" t="s">
        <v>42</v>
      </c>
      <c r="B72" s="27" t="s">
        <v>258</v>
      </c>
      <c r="C72" s="27" t="s">
        <v>259</v>
      </c>
      <c r="D72" s="27" t="s">
        <v>260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2020</f>
        <v>2020.0</v>
      </c>
      <c r="L72" s="34" t="s">
        <v>48</v>
      </c>
      <c r="M72" s="33" t="n">
        <f>2046</f>
        <v>2046.0</v>
      </c>
      <c r="N72" s="34" t="s">
        <v>49</v>
      </c>
      <c r="O72" s="33" t="n">
        <f>1935</f>
        <v>1935.0</v>
      </c>
      <c r="P72" s="34" t="s">
        <v>50</v>
      </c>
      <c r="Q72" s="33" t="n">
        <f>1975</f>
        <v>1975.0</v>
      </c>
      <c r="R72" s="34" t="s">
        <v>51</v>
      </c>
      <c r="S72" s="35" t="n">
        <f>1988.26</f>
        <v>1988.26</v>
      </c>
      <c r="T72" s="32" t="n">
        <f>1330</f>
        <v>1330.0</v>
      </c>
      <c r="U72" s="32" t="str">
        <f>"－"</f>
        <v>－</v>
      </c>
      <c r="V72" s="32" t="n">
        <f>2655762</f>
        <v>2655762.0</v>
      </c>
      <c r="W72" s="32" t="str">
        <f>"－"</f>
        <v>－</v>
      </c>
      <c r="X72" s="36" t="n">
        <f>19</f>
        <v>19.0</v>
      </c>
    </row>
    <row r="73">
      <c r="A73" s="27" t="s">
        <v>42</v>
      </c>
      <c r="B73" s="27" t="s">
        <v>261</v>
      </c>
      <c r="C73" s="27" t="s">
        <v>262</v>
      </c>
      <c r="D73" s="27" t="s">
        <v>263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2172</f>
        <v>2172.0</v>
      </c>
      <c r="L73" s="34" t="s">
        <v>48</v>
      </c>
      <c r="M73" s="33" t="n">
        <f>2172</f>
        <v>2172.0</v>
      </c>
      <c r="N73" s="34" t="s">
        <v>48</v>
      </c>
      <c r="O73" s="33" t="n">
        <f>2056</f>
        <v>2056.0</v>
      </c>
      <c r="P73" s="34" t="s">
        <v>264</v>
      </c>
      <c r="Q73" s="33" t="n">
        <f>2083</f>
        <v>2083.0</v>
      </c>
      <c r="R73" s="34" t="s">
        <v>51</v>
      </c>
      <c r="S73" s="35" t="n">
        <f>2100.75</f>
        <v>2100.75</v>
      </c>
      <c r="T73" s="32" t="n">
        <f>5770257</f>
        <v>5770257.0</v>
      </c>
      <c r="U73" s="32" t="n">
        <f>4045335</f>
        <v>4045335.0</v>
      </c>
      <c r="V73" s="32" t="n">
        <f>12057234817</f>
        <v>1.2057234817E10</v>
      </c>
      <c r="W73" s="32" t="n">
        <f>8440142170</f>
        <v>8.44014217E9</v>
      </c>
      <c r="X73" s="36" t="n">
        <f>20</f>
        <v>20.0</v>
      </c>
    </row>
    <row r="74">
      <c r="A74" s="27" t="s">
        <v>42</v>
      </c>
      <c r="B74" s="27" t="s">
        <v>265</v>
      </c>
      <c r="C74" s="27" t="s">
        <v>266</v>
      </c>
      <c r="D74" s="27" t="s">
        <v>267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2122</f>
        <v>2122.0</v>
      </c>
      <c r="L74" s="34" t="s">
        <v>48</v>
      </c>
      <c r="M74" s="33" t="n">
        <f>2180</f>
        <v>2180.0</v>
      </c>
      <c r="N74" s="34" t="s">
        <v>49</v>
      </c>
      <c r="O74" s="33" t="n">
        <f>1982</f>
        <v>1982.0</v>
      </c>
      <c r="P74" s="34" t="s">
        <v>254</v>
      </c>
      <c r="Q74" s="33" t="n">
        <f>2016</f>
        <v>2016.0</v>
      </c>
      <c r="R74" s="34" t="s">
        <v>51</v>
      </c>
      <c r="S74" s="35" t="n">
        <f>2052.8</f>
        <v>2052.8</v>
      </c>
      <c r="T74" s="32" t="n">
        <f>647</f>
        <v>647.0</v>
      </c>
      <c r="U74" s="32" t="str">
        <f>"－"</f>
        <v>－</v>
      </c>
      <c r="V74" s="32" t="n">
        <f>1328702</f>
        <v>1328702.0</v>
      </c>
      <c r="W74" s="32" t="str">
        <f>"－"</f>
        <v>－</v>
      </c>
      <c r="X74" s="36" t="n">
        <f>20</f>
        <v>20.0</v>
      </c>
    </row>
    <row r="75">
      <c r="A75" s="27" t="s">
        <v>42</v>
      </c>
      <c r="B75" s="27" t="s">
        <v>268</v>
      </c>
      <c r="C75" s="27" t="s">
        <v>269</v>
      </c>
      <c r="D75" s="27" t="s">
        <v>270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10.0</v>
      </c>
      <c r="K75" s="33" t="n">
        <f>2002.5</f>
        <v>2002.5</v>
      </c>
      <c r="L75" s="34" t="s">
        <v>48</v>
      </c>
      <c r="M75" s="33" t="n">
        <f>2020.5</f>
        <v>2020.5</v>
      </c>
      <c r="N75" s="34" t="s">
        <v>49</v>
      </c>
      <c r="O75" s="33" t="n">
        <f>1919</f>
        <v>1919.0</v>
      </c>
      <c r="P75" s="34" t="s">
        <v>50</v>
      </c>
      <c r="Q75" s="33" t="n">
        <f>1950</f>
        <v>1950.0</v>
      </c>
      <c r="R75" s="34" t="s">
        <v>51</v>
      </c>
      <c r="S75" s="35" t="n">
        <f>1963.05</f>
        <v>1963.05</v>
      </c>
      <c r="T75" s="32" t="n">
        <f>2070</f>
        <v>2070.0</v>
      </c>
      <c r="U75" s="32" t="str">
        <f>"－"</f>
        <v>－</v>
      </c>
      <c r="V75" s="32" t="n">
        <f>4051475</f>
        <v>4051475.0</v>
      </c>
      <c r="W75" s="32" t="str">
        <f>"－"</f>
        <v>－</v>
      </c>
      <c r="X75" s="36" t="n">
        <f>20</f>
        <v>20.0</v>
      </c>
    </row>
    <row r="76">
      <c r="A76" s="27" t="s">
        <v>42</v>
      </c>
      <c r="B76" s="27" t="s">
        <v>271</v>
      </c>
      <c r="C76" s="27" t="s">
        <v>272</v>
      </c>
      <c r="D76" s="27" t="s">
        <v>273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29600</f>
        <v>29600.0</v>
      </c>
      <c r="L76" s="34" t="s">
        <v>51</v>
      </c>
      <c r="M76" s="33" t="n">
        <f>29600</f>
        <v>29600.0</v>
      </c>
      <c r="N76" s="34" t="s">
        <v>51</v>
      </c>
      <c r="O76" s="33" t="n">
        <f>29600</f>
        <v>29600.0</v>
      </c>
      <c r="P76" s="34" t="s">
        <v>51</v>
      </c>
      <c r="Q76" s="33" t="n">
        <f>29600</f>
        <v>29600.0</v>
      </c>
      <c r="R76" s="34" t="s">
        <v>51</v>
      </c>
      <c r="S76" s="35" t="n">
        <f>29600</f>
        <v>29600.0</v>
      </c>
      <c r="T76" s="32" t="n">
        <f>1</f>
        <v>1.0</v>
      </c>
      <c r="U76" s="32" t="str">
        <f>"－"</f>
        <v>－</v>
      </c>
      <c r="V76" s="32" t="n">
        <f>29600</f>
        <v>29600.0</v>
      </c>
      <c r="W76" s="32" t="str">
        <f>"－"</f>
        <v>－</v>
      </c>
      <c r="X76" s="36" t="n">
        <f>1</f>
        <v>1.0</v>
      </c>
    </row>
    <row r="77">
      <c r="A77" s="27" t="s">
        <v>42</v>
      </c>
      <c r="B77" s="27" t="s">
        <v>274</v>
      </c>
      <c r="C77" s="27" t="s">
        <v>275</v>
      </c>
      <c r="D77" s="27" t="s">
        <v>276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21825</f>
        <v>21825.0</v>
      </c>
      <c r="L77" s="34" t="s">
        <v>48</v>
      </c>
      <c r="M77" s="33" t="n">
        <f>22455</f>
        <v>22455.0</v>
      </c>
      <c r="N77" s="34" t="s">
        <v>51</v>
      </c>
      <c r="O77" s="33" t="n">
        <f>21565</f>
        <v>21565.0</v>
      </c>
      <c r="P77" s="34" t="s">
        <v>167</v>
      </c>
      <c r="Q77" s="33" t="n">
        <f>22455</f>
        <v>22455.0</v>
      </c>
      <c r="R77" s="34" t="s">
        <v>51</v>
      </c>
      <c r="S77" s="35" t="n">
        <f>21872</f>
        <v>21872.0</v>
      </c>
      <c r="T77" s="32" t="n">
        <f>166098</f>
        <v>166098.0</v>
      </c>
      <c r="U77" s="32" t="n">
        <f>122340</f>
        <v>122340.0</v>
      </c>
      <c r="V77" s="32" t="n">
        <f>3675789276</f>
        <v>3.675789276E9</v>
      </c>
      <c r="W77" s="32" t="n">
        <f>2720947636</f>
        <v>2.720947636E9</v>
      </c>
      <c r="X77" s="36" t="n">
        <f>20</f>
        <v>20.0</v>
      </c>
    </row>
    <row r="78">
      <c r="A78" s="27" t="s">
        <v>42</v>
      </c>
      <c r="B78" s="27" t="s">
        <v>277</v>
      </c>
      <c r="C78" s="27" t="s">
        <v>278</v>
      </c>
      <c r="D78" s="27" t="s">
        <v>279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16865</f>
        <v>16865.0</v>
      </c>
      <c r="L78" s="34" t="s">
        <v>48</v>
      </c>
      <c r="M78" s="33" t="n">
        <f>16865</f>
        <v>16865.0</v>
      </c>
      <c r="N78" s="34" t="s">
        <v>48</v>
      </c>
      <c r="O78" s="33" t="n">
        <f>15985</f>
        <v>15985.0</v>
      </c>
      <c r="P78" s="34" t="s">
        <v>264</v>
      </c>
      <c r="Q78" s="33" t="n">
        <f>16200</f>
        <v>16200.0</v>
      </c>
      <c r="R78" s="34" t="s">
        <v>51</v>
      </c>
      <c r="S78" s="35" t="n">
        <f>16325.75</f>
        <v>16325.75</v>
      </c>
      <c r="T78" s="32" t="n">
        <f>208849</f>
        <v>208849.0</v>
      </c>
      <c r="U78" s="32" t="n">
        <f>97604</f>
        <v>97604.0</v>
      </c>
      <c r="V78" s="32" t="n">
        <f>3416065084</f>
        <v>3.416065084E9</v>
      </c>
      <c r="W78" s="32" t="n">
        <f>1587673419</f>
        <v>1.587673419E9</v>
      </c>
      <c r="X78" s="36" t="n">
        <f>20</f>
        <v>20.0</v>
      </c>
    </row>
    <row r="79">
      <c r="A79" s="27" t="s">
        <v>42</v>
      </c>
      <c r="B79" s="27" t="s">
        <v>280</v>
      </c>
      <c r="C79" s="27" t="s">
        <v>281</v>
      </c>
      <c r="D79" s="27" t="s">
        <v>282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10.0</v>
      </c>
      <c r="K79" s="33" t="n">
        <f>2060.5</f>
        <v>2060.5</v>
      </c>
      <c r="L79" s="34" t="s">
        <v>48</v>
      </c>
      <c r="M79" s="33" t="n">
        <f>2111</f>
        <v>2111.0</v>
      </c>
      <c r="N79" s="34" t="s">
        <v>72</v>
      </c>
      <c r="O79" s="33" t="n">
        <f>2015.5</f>
        <v>2015.5</v>
      </c>
      <c r="P79" s="34" t="s">
        <v>114</v>
      </c>
      <c r="Q79" s="33" t="n">
        <f>2041.5</f>
        <v>2041.5</v>
      </c>
      <c r="R79" s="34" t="s">
        <v>51</v>
      </c>
      <c r="S79" s="35" t="n">
        <f>2049.8</f>
        <v>2049.8</v>
      </c>
      <c r="T79" s="32" t="n">
        <f>1332800</f>
        <v>1332800.0</v>
      </c>
      <c r="U79" s="32" t="n">
        <f>169540</f>
        <v>169540.0</v>
      </c>
      <c r="V79" s="32" t="n">
        <f>2735051657</f>
        <v>2.735051657E9</v>
      </c>
      <c r="W79" s="32" t="n">
        <f>346679992</f>
        <v>3.46679992E8</v>
      </c>
      <c r="X79" s="36" t="n">
        <f>20</f>
        <v>20.0</v>
      </c>
    </row>
    <row r="80">
      <c r="A80" s="27" t="s">
        <v>42</v>
      </c>
      <c r="B80" s="27" t="s">
        <v>283</v>
      </c>
      <c r="C80" s="27" t="s">
        <v>284</v>
      </c>
      <c r="D80" s="27" t="s">
        <v>285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40820</f>
        <v>40820.0</v>
      </c>
      <c r="L80" s="34" t="s">
        <v>48</v>
      </c>
      <c r="M80" s="33" t="n">
        <f>41440</f>
        <v>41440.0</v>
      </c>
      <c r="N80" s="34" t="s">
        <v>49</v>
      </c>
      <c r="O80" s="33" t="n">
        <f>38530</f>
        <v>38530.0</v>
      </c>
      <c r="P80" s="34" t="s">
        <v>92</v>
      </c>
      <c r="Q80" s="33" t="n">
        <f>39990</f>
        <v>39990.0</v>
      </c>
      <c r="R80" s="34" t="s">
        <v>51</v>
      </c>
      <c r="S80" s="35" t="n">
        <f>39888.5</f>
        <v>39888.5</v>
      </c>
      <c r="T80" s="32" t="n">
        <f>79814</f>
        <v>79814.0</v>
      </c>
      <c r="U80" s="32" t="n">
        <f>2428</f>
        <v>2428.0</v>
      </c>
      <c r="V80" s="32" t="n">
        <f>3183501904</f>
        <v>3.183501904E9</v>
      </c>
      <c r="W80" s="32" t="n">
        <f>95759084</f>
        <v>9.5759084E7</v>
      </c>
      <c r="X80" s="36" t="n">
        <f>20</f>
        <v>20.0</v>
      </c>
    </row>
    <row r="81">
      <c r="A81" s="27" t="s">
        <v>42</v>
      </c>
      <c r="B81" s="27" t="s">
        <v>286</v>
      </c>
      <c r="C81" s="27" t="s">
        <v>287</v>
      </c>
      <c r="D81" s="27" t="s">
        <v>288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str">
        <f>"－"</f>
        <v>－</v>
      </c>
      <c r="L81" s="34"/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5" t="str">
        <f>"－"</f>
        <v>－</v>
      </c>
      <c r="T81" s="32" t="str">
        <f>"－"</f>
        <v>－</v>
      </c>
      <c r="U81" s="32" t="str">
        <f>"－"</f>
        <v>－</v>
      </c>
      <c r="V81" s="32" t="str">
        <f>"－"</f>
        <v>－</v>
      </c>
      <c r="W81" s="32" t="str">
        <f>"－"</f>
        <v>－</v>
      </c>
      <c r="X81" s="36" t="str">
        <f>"－"</f>
        <v>－</v>
      </c>
    </row>
    <row r="82">
      <c r="A82" s="27" t="s">
        <v>42</v>
      </c>
      <c r="B82" s="27" t="s">
        <v>289</v>
      </c>
      <c r="C82" s="27" t="s">
        <v>290</v>
      </c>
      <c r="D82" s="27" t="s">
        <v>291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15665</f>
        <v>15665.0</v>
      </c>
      <c r="L82" s="34" t="s">
        <v>48</v>
      </c>
      <c r="M82" s="33" t="n">
        <f>16035</f>
        <v>16035.0</v>
      </c>
      <c r="N82" s="34" t="s">
        <v>49</v>
      </c>
      <c r="O82" s="33" t="n">
        <f>14850</f>
        <v>14850.0</v>
      </c>
      <c r="P82" s="34" t="s">
        <v>50</v>
      </c>
      <c r="Q82" s="33" t="n">
        <f>15100</f>
        <v>15100.0</v>
      </c>
      <c r="R82" s="34" t="s">
        <v>51</v>
      </c>
      <c r="S82" s="35" t="n">
        <f>15402.75</f>
        <v>15402.75</v>
      </c>
      <c r="T82" s="32" t="n">
        <f>510</f>
        <v>510.0</v>
      </c>
      <c r="U82" s="32" t="str">
        <f>"－"</f>
        <v>－</v>
      </c>
      <c r="V82" s="32" t="n">
        <f>7860110</f>
        <v>7860110.0</v>
      </c>
      <c r="W82" s="32" t="str">
        <f>"－"</f>
        <v>－</v>
      </c>
      <c r="X82" s="36" t="n">
        <f>20</f>
        <v>20.0</v>
      </c>
    </row>
    <row r="83">
      <c r="A83" s="27" t="s">
        <v>42</v>
      </c>
      <c r="B83" s="27" t="s">
        <v>292</v>
      </c>
      <c r="C83" s="27" t="s">
        <v>293</v>
      </c>
      <c r="D83" s="27" t="s">
        <v>294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15430</f>
        <v>15430.0</v>
      </c>
      <c r="L83" s="34" t="s">
        <v>48</v>
      </c>
      <c r="M83" s="33" t="n">
        <f>15925</f>
        <v>15925.0</v>
      </c>
      <c r="N83" s="34" t="s">
        <v>49</v>
      </c>
      <c r="O83" s="33" t="n">
        <f>14645</f>
        <v>14645.0</v>
      </c>
      <c r="P83" s="34" t="s">
        <v>50</v>
      </c>
      <c r="Q83" s="33" t="n">
        <f>15155</f>
        <v>15155.0</v>
      </c>
      <c r="R83" s="34" t="s">
        <v>51</v>
      </c>
      <c r="S83" s="35" t="n">
        <f>15259.5</f>
        <v>15259.5</v>
      </c>
      <c r="T83" s="32" t="n">
        <f>825</f>
        <v>825.0</v>
      </c>
      <c r="U83" s="32" t="str">
        <f>"－"</f>
        <v>－</v>
      </c>
      <c r="V83" s="32" t="n">
        <f>12555490</f>
        <v>1.255549E7</v>
      </c>
      <c r="W83" s="32" t="str">
        <f>"－"</f>
        <v>－</v>
      </c>
      <c r="X83" s="36" t="n">
        <f>20</f>
        <v>20.0</v>
      </c>
    </row>
    <row r="84">
      <c r="A84" s="27" t="s">
        <v>42</v>
      </c>
      <c r="B84" s="27" t="s">
        <v>295</v>
      </c>
      <c r="C84" s="27" t="s">
        <v>296</v>
      </c>
      <c r="D84" s="27" t="s">
        <v>297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19655</f>
        <v>19655.0</v>
      </c>
      <c r="L84" s="34" t="s">
        <v>48</v>
      </c>
      <c r="M84" s="33" t="n">
        <f>20135</f>
        <v>20135.0</v>
      </c>
      <c r="N84" s="34" t="s">
        <v>226</v>
      </c>
      <c r="O84" s="33" t="n">
        <f>18830</f>
        <v>18830.0</v>
      </c>
      <c r="P84" s="34" t="s">
        <v>92</v>
      </c>
      <c r="Q84" s="33" t="n">
        <f>19450</f>
        <v>19450.0</v>
      </c>
      <c r="R84" s="34" t="s">
        <v>51</v>
      </c>
      <c r="S84" s="35" t="n">
        <f>19358.5</f>
        <v>19358.5</v>
      </c>
      <c r="T84" s="32" t="n">
        <f>17398</f>
        <v>17398.0</v>
      </c>
      <c r="U84" s="32" t="str">
        <f>"－"</f>
        <v>－</v>
      </c>
      <c r="V84" s="32" t="n">
        <f>341777720</f>
        <v>3.4177772E8</v>
      </c>
      <c r="W84" s="32" t="str">
        <f>"－"</f>
        <v>－</v>
      </c>
      <c r="X84" s="36" t="n">
        <f>20</f>
        <v>20.0</v>
      </c>
    </row>
    <row r="85">
      <c r="A85" s="27" t="s">
        <v>42</v>
      </c>
      <c r="B85" s="27" t="s">
        <v>298</v>
      </c>
      <c r="C85" s="27" t="s">
        <v>299</v>
      </c>
      <c r="D85" s="27" t="s">
        <v>300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10.0</v>
      </c>
      <c r="K85" s="33" t="n">
        <f>10920</f>
        <v>10920.0</v>
      </c>
      <c r="L85" s="34" t="s">
        <v>48</v>
      </c>
      <c r="M85" s="33" t="n">
        <f>11500</f>
        <v>11500.0</v>
      </c>
      <c r="N85" s="34" t="s">
        <v>168</v>
      </c>
      <c r="O85" s="33" t="n">
        <f>10880</f>
        <v>10880.0</v>
      </c>
      <c r="P85" s="34" t="s">
        <v>48</v>
      </c>
      <c r="Q85" s="33" t="n">
        <f>11500</f>
        <v>11500.0</v>
      </c>
      <c r="R85" s="34" t="s">
        <v>51</v>
      </c>
      <c r="S85" s="35" t="n">
        <f>11207.75</f>
        <v>11207.75</v>
      </c>
      <c r="T85" s="32" t="n">
        <f>18100</f>
        <v>18100.0</v>
      </c>
      <c r="U85" s="32" t="n">
        <f>10010</f>
        <v>10010.0</v>
      </c>
      <c r="V85" s="32" t="n">
        <f>203759050</f>
        <v>2.0375905E8</v>
      </c>
      <c r="W85" s="32" t="n">
        <f>112712000</f>
        <v>1.12712E8</v>
      </c>
      <c r="X85" s="36" t="n">
        <f>20</f>
        <v>20.0</v>
      </c>
    </row>
    <row r="86">
      <c r="A86" s="27" t="s">
        <v>42</v>
      </c>
      <c r="B86" s="27" t="s">
        <v>301</v>
      </c>
      <c r="C86" s="27" t="s">
        <v>302</v>
      </c>
      <c r="D86" s="27" t="s">
        <v>303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2348</f>
        <v>2348.0</v>
      </c>
      <c r="L86" s="34" t="s">
        <v>48</v>
      </c>
      <c r="M86" s="33" t="n">
        <f>2355</f>
        <v>2355.0</v>
      </c>
      <c r="N86" s="34" t="s">
        <v>49</v>
      </c>
      <c r="O86" s="33" t="n">
        <f>2114</f>
        <v>2114.0</v>
      </c>
      <c r="P86" s="34" t="s">
        <v>73</v>
      </c>
      <c r="Q86" s="33" t="n">
        <f>2180</f>
        <v>2180.0</v>
      </c>
      <c r="R86" s="34" t="s">
        <v>51</v>
      </c>
      <c r="S86" s="35" t="n">
        <f>2236.4</f>
        <v>2236.4</v>
      </c>
      <c r="T86" s="32" t="n">
        <f>366389</f>
        <v>366389.0</v>
      </c>
      <c r="U86" s="32" t="n">
        <f>67663</f>
        <v>67663.0</v>
      </c>
      <c r="V86" s="32" t="n">
        <f>829714390</f>
        <v>8.2971439E8</v>
      </c>
      <c r="W86" s="32" t="n">
        <f>154927971</f>
        <v>1.54927971E8</v>
      </c>
      <c r="X86" s="36" t="n">
        <f>20</f>
        <v>20.0</v>
      </c>
    </row>
    <row r="87">
      <c r="A87" s="27" t="s">
        <v>42</v>
      </c>
      <c r="B87" s="27" t="s">
        <v>304</v>
      </c>
      <c r="C87" s="27" t="s">
        <v>305</v>
      </c>
      <c r="D87" s="27" t="s">
        <v>306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2236</f>
        <v>2236.0</v>
      </c>
      <c r="L87" s="34" t="s">
        <v>48</v>
      </c>
      <c r="M87" s="33" t="n">
        <f>2243</f>
        <v>2243.0</v>
      </c>
      <c r="N87" s="34" t="s">
        <v>49</v>
      </c>
      <c r="O87" s="33" t="n">
        <f>2121</f>
        <v>2121.0</v>
      </c>
      <c r="P87" s="34" t="s">
        <v>168</v>
      </c>
      <c r="Q87" s="33" t="n">
        <f>2128</f>
        <v>2128.0</v>
      </c>
      <c r="R87" s="34" t="s">
        <v>51</v>
      </c>
      <c r="S87" s="35" t="n">
        <f>2164.75</f>
        <v>2164.75</v>
      </c>
      <c r="T87" s="32" t="n">
        <f>179663</f>
        <v>179663.0</v>
      </c>
      <c r="U87" s="32" t="str">
        <f>"－"</f>
        <v>－</v>
      </c>
      <c r="V87" s="32" t="n">
        <f>389459170</f>
        <v>3.8945917E8</v>
      </c>
      <c r="W87" s="32" t="str">
        <f>"－"</f>
        <v>－</v>
      </c>
      <c r="X87" s="36" t="n">
        <f>20</f>
        <v>20.0</v>
      </c>
    </row>
    <row r="88">
      <c r="A88" s="27" t="s">
        <v>42</v>
      </c>
      <c r="B88" s="27" t="s">
        <v>307</v>
      </c>
      <c r="C88" s="27" t="s">
        <v>308</v>
      </c>
      <c r="D88" s="27" t="s">
        <v>309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14920</f>
        <v>14920.0</v>
      </c>
      <c r="L88" s="34" t="s">
        <v>48</v>
      </c>
      <c r="M88" s="33" t="n">
        <f>14995</f>
        <v>14995.0</v>
      </c>
      <c r="N88" s="34" t="s">
        <v>72</v>
      </c>
      <c r="O88" s="33" t="n">
        <f>14235</f>
        <v>14235.0</v>
      </c>
      <c r="P88" s="34" t="s">
        <v>50</v>
      </c>
      <c r="Q88" s="33" t="n">
        <f>14660</f>
        <v>14660.0</v>
      </c>
      <c r="R88" s="34" t="s">
        <v>51</v>
      </c>
      <c r="S88" s="35" t="n">
        <f>14642</f>
        <v>14642.0</v>
      </c>
      <c r="T88" s="32" t="n">
        <f>3158</f>
        <v>3158.0</v>
      </c>
      <c r="U88" s="32" t="str">
        <f>"－"</f>
        <v>－</v>
      </c>
      <c r="V88" s="32" t="n">
        <f>46789565</f>
        <v>4.6789565E7</v>
      </c>
      <c r="W88" s="32" t="str">
        <f>"－"</f>
        <v>－</v>
      </c>
      <c r="X88" s="36" t="n">
        <f>20</f>
        <v>20.0</v>
      </c>
    </row>
    <row r="89">
      <c r="A89" s="27" t="s">
        <v>42</v>
      </c>
      <c r="B89" s="27" t="s">
        <v>310</v>
      </c>
      <c r="C89" s="27" t="s">
        <v>311</v>
      </c>
      <c r="D89" s="27" t="s">
        <v>312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8886</f>
        <v>8886.0</v>
      </c>
      <c r="L89" s="34" t="s">
        <v>48</v>
      </c>
      <c r="M89" s="33" t="n">
        <f>8941</f>
        <v>8941.0</v>
      </c>
      <c r="N89" s="34" t="s">
        <v>168</v>
      </c>
      <c r="O89" s="33" t="n">
        <f>8700</f>
        <v>8700.0</v>
      </c>
      <c r="P89" s="34" t="s">
        <v>86</v>
      </c>
      <c r="Q89" s="33" t="n">
        <f>8772</f>
        <v>8772.0</v>
      </c>
      <c r="R89" s="34" t="s">
        <v>51</v>
      </c>
      <c r="S89" s="35" t="n">
        <f>8773.4</f>
        <v>8773.4</v>
      </c>
      <c r="T89" s="32" t="n">
        <f>558</f>
        <v>558.0</v>
      </c>
      <c r="U89" s="32" t="str">
        <f>"－"</f>
        <v>－</v>
      </c>
      <c r="V89" s="32" t="n">
        <f>4913968</f>
        <v>4913968.0</v>
      </c>
      <c r="W89" s="32" t="str">
        <f>"－"</f>
        <v>－</v>
      </c>
      <c r="X89" s="36" t="n">
        <f>20</f>
        <v>20.0</v>
      </c>
    </row>
    <row r="90">
      <c r="A90" s="27" t="s">
        <v>42</v>
      </c>
      <c r="B90" s="27" t="s">
        <v>313</v>
      </c>
      <c r="C90" s="27" t="s">
        <v>314</v>
      </c>
      <c r="D90" s="27" t="s">
        <v>315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7205</f>
        <v>7205.0</v>
      </c>
      <c r="L90" s="34" t="s">
        <v>48</v>
      </c>
      <c r="M90" s="33" t="n">
        <f>7756</f>
        <v>7756.0</v>
      </c>
      <c r="N90" s="34" t="s">
        <v>73</v>
      </c>
      <c r="O90" s="33" t="n">
        <f>7183</f>
        <v>7183.0</v>
      </c>
      <c r="P90" s="34" t="s">
        <v>72</v>
      </c>
      <c r="Q90" s="33" t="n">
        <f>7458</f>
        <v>7458.0</v>
      </c>
      <c r="R90" s="34" t="s">
        <v>51</v>
      </c>
      <c r="S90" s="35" t="n">
        <f>7486.05</f>
        <v>7486.05</v>
      </c>
      <c r="T90" s="32" t="n">
        <f>3398674</f>
        <v>3398674.0</v>
      </c>
      <c r="U90" s="32" t="n">
        <f>157982</f>
        <v>157982.0</v>
      </c>
      <c r="V90" s="32" t="n">
        <f>25672480921</f>
        <v>2.5672480921E10</v>
      </c>
      <c r="W90" s="32" t="n">
        <f>1202411890</f>
        <v>1.20241189E9</v>
      </c>
      <c r="X90" s="36" t="n">
        <f>20</f>
        <v>20.0</v>
      </c>
    </row>
    <row r="91">
      <c r="A91" s="27" t="s">
        <v>42</v>
      </c>
      <c r="B91" s="27" t="s">
        <v>316</v>
      </c>
      <c r="C91" s="27" t="s">
        <v>317</v>
      </c>
      <c r="D91" s="27" t="s">
        <v>318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3625</f>
        <v>3625.0</v>
      </c>
      <c r="L91" s="34" t="s">
        <v>48</v>
      </c>
      <c r="M91" s="33" t="n">
        <f>3925</f>
        <v>3925.0</v>
      </c>
      <c r="N91" s="34" t="s">
        <v>73</v>
      </c>
      <c r="O91" s="33" t="n">
        <f>3550</f>
        <v>3550.0</v>
      </c>
      <c r="P91" s="34" t="s">
        <v>92</v>
      </c>
      <c r="Q91" s="33" t="n">
        <f>3595</f>
        <v>3595.0</v>
      </c>
      <c r="R91" s="34" t="s">
        <v>51</v>
      </c>
      <c r="S91" s="35" t="n">
        <f>3693.25</f>
        <v>3693.25</v>
      </c>
      <c r="T91" s="32" t="n">
        <f>839984</f>
        <v>839984.0</v>
      </c>
      <c r="U91" s="32" t="str">
        <f>"－"</f>
        <v>－</v>
      </c>
      <c r="V91" s="32" t="n">
        <f>3104076730</f>
        <v>3.10407673E9</v>
      </c>
      <c r="W91" s="32" t="str">
        <f>"－"</f>
        <v>－</v>
      </c>
      <c r="X91" s="36" t="n">
        <f>20</f>
        <v>20.0</v>
      </c>
    </row>
    <row r="92">
      <c r="A92" s="27" t="s">
        <v>42</v>
      </c>
      <c r="B92" s="27" t="s">
        <v>319</v>
      </c>
      <c r="C92" s="27" t="s">
        <v>320</v>
      </c>
      <c r="D92" s="27" t="s">
        <v>321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9124</f>
        <v>9124.0</v>
      </c>
      <c r="L92" s="34" t="s">
        <v>48</v>
      </c>
      <c r="M92" s="33" t="n">
        <f>10000</f>
        <v>10000.0</v>
      </c>
      <c r="N92" s="34" t="s">
        <v>73</v>
      </c>
      <c r="O92" s="33" t="n">
        <f>8951</f>
        <v>8951.0</v>
      </c>
      <c r="P92" s="34" t="s">
        <v>51</v>
      </c>
      <c r="Q92" s="33" t="n">
        <f>8951</f>
        <v>8951.0</v>
      </c>
      <c r="R92" s="34" t="s">
        <v>51</v>
      </c>
      <c r="S92" s="35" t="n">
        <f>9409.4</f>
        <v>9409.4</v>
      </c>
      <c r="T92" s="32" t="n">
        <f>365326</f>
        <v>365326.0</v>
      </c>
      <c r="U92" s="32" t="n">
        <f>3000</f>
        <v>3000.0</v>
      </c>
      <c r="V92" s="32" t="n">
        <f>3447533706</f>
        <v>3.447533706E9</v>
      </c>
      <c r="W92" s="32" t="n">
        <f>29960000</f>
        <v>2.996E7</v>
      </c>
      <c r="X92" s="36" t="n">
        <f>20</f>
        <v>20.0</v>
      </c>
    </row>
    <row r="93">
      <c r="A93" s="27" t="s">
        <v>42</v>
      </c>
      <c r="B93" s="27" t="s">
        <v>322</v>
      </c>
      <c r="C93" s="27" t="s">
        <v>323</v>
      </c>
      <c r="D93" s="27" t="s">
        <v>324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83300</f>
        <v>83300.0</v>
      </c>
      <c r="L93" s="34" t="s">
        <v>48</v>
      </c>
      <c r="M93" s="33" t="n">
        <f>93950</f>
        <v>93950.0</v>
      </c>
      <c r="N93" s="34" t="s">
        <v>166</v>
      </c>
      <c r="O93" s="33" t="n">
        <f>80500</f>
        <v>80500.0</v>
      </c>
      <c r="P93" s="34" t="s">
        <v>92</v>
      </c>
      <c r="Q93" s="33" t="n">
        <f>86210</f>
        <v>86210.0</v>
      </c>
      <c r="R93" s="34" t="s">
        <v>51</v>
      </c>
      <c r="S93" s="35" t="n">
        <f>87653.5</f>
        <v>87653.5</v>
      </c>
      <c r="T93" s="32" t="n">
        <f>13514</f>
        <v>13514.0</v>
      </c>
      <c r="U93" s="32" t="n">
        <f>7</f>
        <v>7.0</v>
      </c>
      <c r="V93" s="32" t="n">
        <f>1192943960</f>
        <v>1.19294396E9</v>
      </c>
      <c r="W93" s="32" t="n">
        <f>631910</f>
        <v>631910.0</v>
      </c>
      <c r="X93" s="36" t="n">
        <f>20</f>
        <v>20.0</v>
      </c>
    </row>
    <row r="94">
      <c r="A94" s="27" t="s">
        <v>42</v>
      </c>
      <c r="B94" s="27" t="s">
        <v>325</v>
      </c>
      <c r="C94" s="27" t="s">
        <v>326</v>
      </c>
      <c r="D94" s="27" t="s">
        <v>327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18390</f>
        <v>18390.0</v>
      </c>
      <c r="L94" s="34" t="s">
        <v>48</v>
      </c>
      <c r="M94" s="33" t="n">
        <f>18850</f>
        <v>18850.0</v>
      </c>
      <c r="N94" s="34" t="s">
        <v>49</v>
      </c>
      <c r="O94" s="33" t="n">
        <f>16735</f>
        <v>16735.0</v>
      </c>
      <c r="P94" s="34" t="s">
        <v>50</v>
      </c>
      <c r="Q94" s="33" t="n">
        <f>17400</f>
        <v>17400.0</v>
      </c>
      <c r="R94" s="34" t="s">
        <v>51</v>
      </c>
      <c r="S94" s="35" t="n">
        <f>17997.25</f>
        <v>17997.25</v>
      </c>
      <c r="T94" s="32" t="n">
        <f>2671303</f>
        <v>2671303.0</v>
      </c>
      <c r="U94" s="32" t="n">
        <f>16677</f>
        <v>16677.0</v>
      </c>
      <c r="V94" s="32" t="n">
        <f>47552152816</f>
        <v>4.7552152816E10</v>
      </c>
      <c r="W94" s="32" t="n">
        <f>288485841</f>
        <v>2.88485841E8</v>
      </c>
      <c r="X94" s="36" t="n">
        <f>20</f>
        <v>20.0</v>
      </c>
    </row>
    <row r="95">
      <c r="A95" s="27" t="s">
        <v>42</v>
      </c>
      <c r="B95" s="27" t="s">
        <v>328</v>
      </c>
      <c r="C95" s="27" t="s">
        <v>329</v>
      </c>
      <c r="D95" s="27" t="s">
        <v>330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41580</f>
        <v>41580.0</v>
      </c>
      <c r="L95" s="34" t="s">
        <v>48</v>
      </c>
      <c r="M95" s="33" t="n">
        <f>44500</f>
        <v>44500.0</v>
      </c>
      <c r="N95" s="34" t="s">
        <v>166</v>
      </c>
      <c r="O95" s="33" t="n">
        <f>41560</f>
        <v>41560.0</v>
      </c>
      <c r="P95" s="34" t="s">
        <v>48</v>
      </c>
      <c r="Q95" s="33" t="n">
        <f>42670</f>
        <v>42670.0</v>
      </c>
      <c r="R95" s="34" t="s">
        <v>51</v>
      </c>
      <c r="S95" s="35" t="n">
        <f>42598</f>
        <v>42598.0</v>
      </c>
      <c r="T95" s="32" t="n">
        <f>404430</f>
        <v>404430.0</v>
      </c>
      <c r="U95" s="32" t="n">
        <f>67810</f>
        <v>67810.0</v>
      </c>
      <c r="V95" s="32" t="n">
        <f>17191357131</f>
        <v>1.7191357131E10</v>
      </c>
      <c r="W95" s="32" t="n">
        <f>2886797121</f>
        <v>2.886797121E9</v>
      </c>
      <c r="X95" s="36" t="n">
        <f>20</f>
        <v>20.0</v>
      </c>
    </row>
    <row r="96">
      <c r="A96" s="27" t="s">
        <v>42</v>
      </c>
      <c r="B96" s="27" t="s">
        <v>331</v>
      </c>
      <c r="C96" s="27" t="s">
        <v>332</v>
      </c>
      <c r="D96" s="27" t="s">
        <v>333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10.0</v>
      </c>
      <c r="K96" s="33" t="n">
        <f>6014</f>
        <v>6014.0</v>
      </c>
      <c r="L96" s="34" t="s">
        <v>48</v>
      </c>
      <c r="M96" s="33" t="n">
        <f>6259</f>
        <v>6259.0</v>
      </c>
      <c r="N96" s="34" t="s">
        <v>166</v>
      </c>
      <c r="O96" s="33" t="n">
        <f>5774</f>
        <v>5774.0</v>
      </c>
      <c r="P96" s="34" t="s">
        <v>50</v>
      </c>
      <c r="Q96" s="33" t="n">
        <f>5968</f>
        <v>5968.0</v>
      </c>
      <c r="R96" s="34" t="s">
        <v>51</v>
      </c>
      <c r="S96" s="35" t="n">
        <f>6050.75</f>
        <v>6050.75</v>
      </c>
      <c r="T96" s="32" t="n">
        <f>1977430</f>
        <v>1977430.0</v>
      </c>
      <c r="U96" s="32" t="str">
        <f>"－"</f>
        <v>－</v>
      </c>
      <c r="V96" s="32" t="n">
        <f>11943283750</f>
        <v>1.194328375E10</v>
      </c>
      <c r="W96" s="32" t="str">
        <f>"－"</f>
        <v>－</v>
      </c>
      <c r="X96" s="36" t="n">
        <f>20</f>
        <v>20.0</v>
      </c>
    </row>
    <row r="97">
      <c r="A97" s="27" t="s">
        <v>42</v>
      </c>
      <c r="B97" s="27" t="s">
        <v>334</v>
      </c>
      <c r="C97" s="27" t="s">
        <v>335</v>
      </c>
      <c r="D97" s="27" t="s">
        <v>336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3855</f>
        <v>3855.0</v>
      </c>
      <c r="L97" s="34" t="s">
        <v>48</v>
      </c>
      <c r="M97" s="33" t="n">
        <f>4008</f>
        <v>4008.0</v>
      </c>
      <c r="N97" s="34" t="s">
        <v>114</v>
      </c>
      <c r="O97" s="33" t="n">
        <f>3702</f>
        <v>3702.0</v>
      </c>
      <c r="P97" s="34" t="s">
        <v>50</v>
      </c>
      <c r="Q97" s="33" t="n">
        <f>3820</f>
        <v>3820.0</v>
      </c>
      <c r="R97" s="34" t="s">
        <v>51</v>
      </c>
      <c r="S97" s="35" t="n">
        <f>3875.05</f>
        <v>3875.05</v>
      </c>
      <c r="T97" s="32" t="n">
        <f>101570</f>
        <v>101570.0</v>
      </c>
      <c r="U97" s="32" t="str">
        <f>"－"</f>
        <v>－</v>
      </c>
      <c r="V97" s="32" t="n">
        <f>392715700</f>
        <v>3.927157E8</v>
      </c>
      <c r="W97" s="32" t="str">
        <f>"－"</f>
        <v>－</v>
      </c>
      <c r="X97" s="36" t="n">
        <f>20</f>
        <v>20.0</v>
      </c>
    </row>
    <row r="98">
      <c r="A98" s="27" t="s">
        <v>42</v>
      </c>
      <c r="B98" s="27" t="s">
        <v>337</v>
      </c>
      <c r="C98" s="27" t="s">
        <v>338</v>
      </c>
      <c r="D98" s="27" t="s">
        <v>339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4739</f>
        <v>4739.0</v>
      </c>
      <c r="L98" s="34" t="s">
        <v>48</v>
      </c>
      <c r="M98" s="33" t="n">
        <f>4878</f>
        <v>4878.0</v>
      </c>
      <c r="N98" s="34" t="s">
        <v>49</v>
      </c>
      <c r="O98" s="33" t="n">
        <f>4276</f>
        <v>4276.0</v>
      </c>
      <c r="P98" s="34" t="s">
        <v>50</v>
      </c>
      <c r="Q98" s="33" t="n">
        <f>4441</f>
        <v>4441.0</v>
      </c>
      <c r="R98" s="34" t="s">
        <v>51</v>
      </c>
      <c r="S98" s="35" t="n">
        <f>4594.3</f>
        <v>4594.3</v>
      </c>
      <c r="T98" s="32" t="n">
        <f>8420</f>
        <v>8420.0</v>
      </c>
      <c r="U98" s="32" t="str">
        <f>"－"</f>
        <v>－</v>
      </c>
      <c r="V98" s="32" t="n">
        <f>38369090</f>
        <v>3.836909E7</v>
      </c>
      <c r="W98" s="32" t="str">
        <f>"－"</f>
        <v>－</v>
      </c>
      <c r="X98" s="36" t="n">
        <f>20</f>
        <v>20.0</v>
      </c>
    </row>
    <row r="99">
      <c r="A99" s="27" t="s">
        <v>42</v>
      </c>
      <c r="B99" s="27" t="s">
        <v>340</v>
      </c>
      <c r="C99" s="27" t="s">
        <v>341</v>
      </c>
      <c r="D99" s="27" t="s">
        <v>342</v>
      </c>
      <c r="E99" s="28" t="s">
        <v>46</v>
      </c>
      <c r="F99" s="29" t="s">
        <v>46</v>
      </c>
      <c r="G99" s="30" t="s">
        <v>46</v>
      </c>
      <c r="H99" s="31" t="s">
        <v>90</v>
      </c>
      <c r="I99" s="31" t="s">
        <v>47</v>
      </c>
      <c r="J99" s="32" t="n">
        <v>1.0</v>
      </c>
      <c r="K99" s="33" t="n">
        <f>1969</f>
        <v>1969.0</v>
      </c>
      <c r="L99" s="34" t="s">
        <v>48</v>
      </c>
      <c r="M99" s="33" t="n">
        <f>2499</f>
        <v>2499.0</v>
      </c>
      <c r="N99" s="34" t="s">
        <v>51</v>
      </c>
      <c r="O99" s="33" t="n">
        <f>1838</f>
        <v>1838.0</v>
      </c>
      <c r="P99" s="34" t="s">
        <v>49</v>
      </c>
      <c r="Q99" s="33" t="n">
        <f>2483</f>
        <v>2483.0</v>
      </c>
      <c r="R99" s="34" t="s">
        <v>51</v>
      </c>
      <c r="S99" s="35" t="n">
        <f>2085.4</f>
        <v>2085.4</v>
      </c>
      <c r="T99" s="32" t="n">
        <f>26944240</f>
        <v>2.694424E7</v>
      </c>
      <c r="U99" s="32" t="n">
        <f>41556</f>
        <v>41556.0</v>
      </c>
      <c r="V99" s="32" t="n">
        <f>57023922878</f>
        <v>5.7023922878E10</v>
      </c>
      <c r="W99" s="32" t="n">
        <f>78706911</f>
        <v>7.8706911E7</v>
      </c>
      <c r="X99" s="36" t="n">
        <f>20</f>
        <v>20.0</v>
      </c>
    </row>
    <row r="100">
      <c r="A100" s="27" t="s">
        <v>42</v>
      </c>
      <c r="B100" s="27" t="s">
        <v>343</v>
      </c>
      <c r="C100" s="27" t="s">
        <v>344</v>
      </c>
      <c r="D100" s="27" t="s">
        <v>345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3246</f>
        <v>3246.0</v>
      </c>
      <c r="L100" s="34" t="s">
        <v>48</v>
      </c>
      <c r="M100" s="33" t="n">
        <f>3378</f>
        <v>3378.0</v>
      </c>
      <c r="N100" s="34" t="s">
        <v>166</v>
      </c>
      <c r="O100" s="33" t="n">
        <f>3121</f>
        <v>3121.0</v>
      </c>
      <c r="P100" s="34" t="s">
        <v>50</v>
      </c>
      <c r="Q100" s="33" t="n">
        <f>3224</f>
        <v>3224.0</v>
      </c>
      <c r="R100" s="34" t="s">
        <v>51</v>
      </c>
      <c r="S100" s="35" t="n">
        <f>3275.45</f>
        <v>3275.45</v>
      </c>
      <c r="T100" s="32" t="n">
        <f>78450</f>
        <v>78450.0</v>
      </c>
      <c r="U100" s="32" t="str">
        <f>"－"</f>
        <v>－</v>
      </c>
      <c r="V100" s="32" t="n">
        <f>255007290</f>
        <v>2.5500729E8</v>
      </c>
      <c r="W100" s="32" t="str">
        <f>"－"</f>
        <v>－</v>
      </c>
      <c r="X100" s="36" t="n">
        <f>20</f>
        <v>20.0</v>
      </c>
    </row>
    <row r="101">
      <c r="A101" s="27" t="s">
        <v>42</v>
      </c>
      <c r="B101" s="27" t="s">
        <v>346</v>
      </c>
      <c r="C101" s="27" t="s">
        <v>347</v>
      </c>
      <c r="D101" s="27" t="s">
        <v>348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1950</f>
        <v>1950.0</v>
      </c>
      <c r="L101" s="34" t="s">
        <v>48</v>
      </c>
      <c r="M101" s="33" t="n">
        <f>2062</f>
        <v>2062.0</v>
      </c>
      <c r="N101" s="34" t="s">
        <v>166</v>
      </c>
      <c r="O101" s="33" t="n">
        <f>1921.5</f>
        <v>1921.5</v>
      </c>
      <c r="P101" s="34" t="s">
        <v>50</v>
      </c>
      <c r="Q101" s="33" t="n">
        <f>1977</f>
        <v>1977.0</v>
      </c>
      <c r="R101" s="34" t="s">
        <v>51</v>
      </c>
      <c r="S101" s="35" t="n">
        <f>1990.38</f>
        <v>1990.38</v>
      </c>
      <c r="T101" s="32" t="n">
        <f>199990</f>
        <v>199990.0</v>
      </c>
      <c r="U101" s="32" t="n">
        <f>110180</f>
        <v>110180.0</v>
      </c>
      <c r="V101" s="32" t="n">
        <f>403121432</f>
        <v>4.03121432E8</v>
      </c>
      <c r="W101" s="32" t="n">
        <f>223888017</f>
        <v>2.23888017E8</v>
      </c>
      <c r="X101" s="36" t="n">
        <f>20</f>
        <v>20.0</v>
      </c>
    </row>
    <row r="102">
      <c r="A102" s="27" t="s">
        <v>42</v>
      </c>
      <c r="B102" s="27" t="s">
        <v>349</v>
      </c>
      <c r="C102" s="27" t="s">
        <v>350</v>
      </c>
      <c r="D102" s="27" t="s">
        <v>351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55170</f>
        <v>55170.0</v>
      </c>
      <c r="L102" s="34" t="s">
        <v>48</v>
      </c>
      <c r="M102" s="33" t="n">
        <f>57420</f>
        <v>57420.0</v>
      </c>
      <c r="N102" s="34" t="s">
        <v>166</v>
      </c>
      <c r="O102" s="33" t="n">
        <f>53000</f>
        <v>53000.0</v>
      </c>
      <c r="P102" s="34" t="s">
        <v>50</v>
      </c>
      <c r="Q102" s="33" t="n">
        <f>54730</f>
        <v>54730.0</v>
      </c>
      <c r="R102" s="34" t="s">
        <v>51</v>
      </c>
      <c r="S102" s="35" t="n">
        <f>55494</f>
        <v>55494.0</v>
      </c>
      <c r="T102" s="32" t="n">
        <f>218327</f>
        <v>218327.0</v>
      </c>
      <c r="U102" s="32" t="n">
        <f>4500</f>
        <v>4500.0</v>
      </c>
      <c r="V102" s="32" t="n">
        <f>12023833013</f>
        <v>1.2023833013E10</v>
      </c>
      <c r="W102" s="32" t="n">
        <f>251673773</f>
        <v>2.51673773E8</v>
      </c>
      <c r="X102" s="36" t="n">
        <f>20</f>
        <v>20.0</v>
      </c>
    </row>
    <row r="103">
      <c r="A103" s="27" t="s">
        <v>42</v>
      </c>
      <c r="B103" s="27" t="s">
        <v>352</v>
      </c>
      <c r="C103" s="27" t="s">
        <v>353</v>
      </c>
      <c r="D103" s="27" t="s">
        <v>354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3340</f>
        <v>3340.0</v>
      </c>
      <c r="L103" s="34" t="s">
        <v>48</v>
      </c>
      <c r="M103" s="33" t="n">
        <f>3490</f>
        <v>3490.0</v>
      </c>
      <c r="N103" s="34" t="s">
        <v>264</v>
      </c>
      <c r="O103" s="33" t="n">
        <f>3240</f>
        <v>3240.0</v>
      </c>
      <c r="P103" s="34" t="s">
        <v>51</v>
      </c>
      <c r="Q103" s="33" t="n">
        <f>3280</f>
        <v>3280.0</v>
      </c>
      <c r="R103" s="34" t="s">
        <v>51</v>
      </c>
      <c r="S103" s="35" t="n">
        <f>3358.5</f>
        <v>3358.5</v>
      </c>
      <c r="T103" s="32" t="n">
        <f>11444</f>
        <v>11444.0</v>
      </c>
      <c r="U103" s="32" t="str">
        <f>"－"</f>
        <v>－</v>
      </c>
      <c r="V103" s="32" t="n">
        <f>38488185</f>
        <v>3.8488185E7</v>
      </c>
      <c r="W103" s="32" t="str">
        <f>"－"</f>
        <v>－</v>
      </c>
      <c r="X103" s="36" t="n">
        <f>20</f>
        <v>20.0</v>
      </c>
    </row>
    <row r="104">
      <c r="A104" s="27" t="s">
        <v>42</v>
      </c>
      <c r="B104" s="27" t="s">
        <v>355</v>
      </c>
      <c r="C104" s="27" t="s">
        <v>356</v>
      </c>
      <c r="D104" s="27" t="s">
        <v>357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4450</f>
        <v>4450.0</v>
      </c>
      <c r="L104" s="34" t="s">
        <v>48</v>
      </c>
      <c r="M104" s="33" t="n">
        <f>4800</f>
        <v>4800.0</v>
      </c>
      <c r="N104" s="34" t="s">
        <v>264</v>
      </c>
      <c r="O104" s="33" t="n">
        <f>4405</f>
        <v>4405.0</v>
      </c>
      <c r="P104" s="34" t="s">
        <v>51</v>
      </c>
      <c r="Q104" s="33" t="n">
        <f>4490</f>
        <v>4490.0</v>
      </c>
      <c r="R104" s="34" t="s">
        <v>51</v>
      </c>
      <c r="S104" s="35" t="n">
        <f>4606.75</f>
        <v>4606.75</v>
      </c>
      <c r="T104" s="32" t="n">
        <f>12041</f>
        <v>12041.0</v>
      </c>
      <c r="U104" s="32" t="str">
        <f>"－"</f>
        <v>－</v>
      </c>
      <c r="V104" s="32" t="n">
        <f>55845475</f>
        <v>5.5845475E7</v>
      </c>
      <c r="W104" s="32" t="str">
        <f>"－"</f>
        <v>－</v>
      </c>
      <c r="X104" s="36" t="n">
        <f>20</f>
        <v>20.0</v>
      </c>
    </row>
    <row r="105">
      <c r="A105" s="27" t="s">
        <v>42</v>
      </c>
      <c r="B105" s="27" t="s">
        <v>358</v>
      </c>
      <c r="C105" s="27" t="s">
        <v>359</v>
      </c>
      <c r="D105" s="27" t="s">
        <v>360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2470</f>
        <v>2470.0</v>
      </c>
      <c r="L105" s="34" t="s">
        <v>48</v>
      </c>
      <c r="M105" s="33" t="n">
        <f>2827</f>
        <v>2827.0</v>
      </c>
      <c r="N105" s="34" t="s">
        <v>49</v>
      </c>
      <c r="O105" s="33" t="n">
        <f>2220</f>
        <v>2220.0</v>
      </c>
      <c r="P105" s="34" t="s">
        <v>168</v>
      </c>
      <c r="Q105" s="33" t="n">
        <f>2282</f>
        <v>2282.0</v>
      </c>
      <c r="R105" s="34" t="s">
        <v>51</v>
      </c>
      <c r="S105" s="35" t="n">
        <f>2485.6</f>
        <v>2485.6</v>
      </c>
      <c r="T105" s="32" t="n">
        <f>1409808</f>
        <v>1409808.0</v>
      </c>
      <c r="U105" s="32" t="n">
        <f>7085</f>
        <v>7085.0</v>
      </c>
      <c r="V105" s="32" t="n">
        <f>3526167364</f>
        <v>3.526167364E9</v>
      </c>
      <c r="W105" s="32" t="n">
        <f>19853639</f>
        <v>1.9853639E7</v>
      </c>
      <c r="X105" s="36" t="n">
        <f>20</f>
        <v>20.0</v>
      </c>
    </row>
    <row r="106">
      <c r="A106" s="27" t="s">
        <v>42</v>
      </c>
      <c r="B106" s="27" t="s">
        <v>361</v>
      </c>
      <c r="C106" s="27" t="s">
        <v>362</v>
      </c>
      <c r="D106" s="27" t="s">
        <v>363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43200</f>
        <v>43200.0</v>
      </c>
      <c r="L106" s="34" t="s">
        <v>48</v>
      </c>
      <c r="M106" s="33" t="n">
        <f>44200</f>
        <v>44200.0</v>
      </c>
      <c r="N106" s="34" t="s">
        <v>114</v>
      </c>
      <c r="O106" s="33" t="n">
        <f>42510</f>
        <v>42510.0</v>
      </c>
      <c r="P106" s="34" t="s">
        <v>50</v>
      </c>
      <c r="Q106" s="33" t="n">
        <f>43180</f>
        <v>43180.0</v>
      </c>
      <c r="R106" s="34" t="s">
        <v>51</v>
      </c>
      <c r="S106" s="35" t="n">
        <f>43542</f>
        <v>43542.0</v>
      </c>
      <c r="T106" s="32" t="n">
        <f>13680</f>
        <v>13680.0</v>
      </c>
      <c r="U106" s="32" t="n">
        <f>1853</f>
        <v>1853.0</v>
      </c>
      <c r="V106" s="32" t="n">
        <f>594818740</f>
        <v>5.9481874E8</v>
      </c>
      <c r="W106" s="32" t="n">
        <f>80271810</f>
        <v>8.027181E7</v>
      </c>
      <c r="X106" s="36" t="n">
        <f>20</f>
        <v>20.0</v>
      </c>
    </row>
    <row r="107">
      <c r="A107" s="27" t="s">
        <v>42</v>
      </c>
      <c r="B107" s="27" t="s">
        <v>364</v>
      </c>
      <c r="C107" s="27" t="s">
        <v>365</v>
      </c>
      <c r="D107" s="27" t="s">
        <v>366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10.0</v>
      </c>
      <c r="K107" s="33" t="n">
        <f>23875</f>
        <v>23875.0</v>
      </c>
      <c r="L107" s="34" t="s">
        <v>48</v>
      </c>
      <c r="M107" s="33" t="n">
        <f>24830</f>
        <v>24830.0</v>
      </c>
      <c r="N107" s="34" t="s">
        <v>49</v>
      </c>
      <c r="O107" s="33" t="n">
        <f>21645</f>
        <v>21645.0</v>
      </c>
      <c r="P107" s="34" t="s">
        <v>50</v>
      </c>
      <c r="Q107" s="33" t="n">
        <f>23070</f>
        <v>23070.0</v>
      </c>
      <c r="R107" s="34" t="s">
        <v>51</v>
      </c>
      <c r="S107" s="35" t="n">
        <f>23139</f>
        <v>23139.0</v>
      </c>
      <c r="T107" s="32" t="n">
        <f>3124350</f>
        <v>3124350.0</v>
      </c>
      <c r="U107" s="32" t="n">
        <f>180</f>
        <v>180.0</v>
      </c>
      <c r="V107" s="32" t="n">
        <f>71822186850</f>
        <v>7.182218685E10</v>
      </c>
      <c r="W107" s="32" t="n">
        <f>4229350</f>
        <v>4229350.0</v>
      </c>
      <c r="X107" s="36" t="n">
        <f>20</f>
        <v>20.0</v>
      </c>
    </row>
    <row r="108">
      <c r="A108" s="27" t="s">
        <v>42</v>
      </c>
      <c r="B108" s="27" t="s">
        <v>367</v>
      </c>
      <c r="C108" s="27" t="s">
        <v>368</v>
      </c>
      <c r="D108" s="27" t="s">
        <v>369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2117</f>
        <v>2117.0</v>
      </c>
      <c r="L108" s="34" t="s">
        <v>48</v>
      </c>
      <c r="M108" s="33" t="n">
        <f>2213.5</f>
        <v>2213.5</v>
      </c>
      <c r="N108" s="34" t="s">
        <v>50</v>
      </c>
      <c r="O108" s="33" t="n">
        <f>2074</f>
        <v>2074.0</v>
      </c>
      <c r="P108" s="34" t="s">
        <v>49</v>
      </c>
      <c r="Q108" s="33" t="n">
        <f>2144.5</f>
        <v>2144.5</v>
      </c>
      <c r="R108" s="34" t="s">
        <v>51</v>
      </c>
      <c r="S108" s="35" t="n">
        <f>2147.78</f>
        <v>2147.78</v>
      </c>
      <c r="T108" s="32" t="n">
        <f>107600</f>
        <v>107600.0</v>
      </c>
      <c r="U108" s="32" t="str">
        <f>"－"</f>
        <v>－</v>
      </c>
      <c r="V108" s="32" t="n">
        <f>231296590</f>
        <v>2.3129659E8</v>
      </c>
      <c r="W108" s="32" t="str">
        <f>"－"</f>
        <v>－</v>
      </c>
      <c r="X108" s="36" t="n">
        <f>20</f>
        <v>20.0</v>
      </c>
    </row>
    <row r="109">
      <c r="A109" s="27" t="s">
        <v>42</v>
      </c>
      <c r="B109" s="27" t="s">
        <v>370</v>
      </c>
      <c r="C109" s="27" t="s">
        <v>371</v>
      </c>
      <c r="D109" s="27" t="s">
        <v>372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14430</f>
        <v>14430.0</v>
      </c>
      <c r="L109" s="34" t="s">
        <v>48</v>
      </c>
      <c r="M109" s="33" t="n">
        <f>14815</f>
        <v>14815.0</v>
      </c>
      <c r="N109" s="34" t="s">
        <v>49</v>
      </c>
      <c r="O109" s="33" t="n">
        <f>12805</f>
        <v>12805.0</v>
      </c>
      <c r="P109" s="34" t="s">
        <v>50</v>
      </c>
      <c r="Q109" s="33" t="n">
        <f>13600</f>
        <v>13600.0</v>
      </c>
      <c r="R109" s="34" t="s">
        <v>51</v>
      </c>
      <c r="S109" s="35" t="n">
        <f>13831.75</f>
        <v>13831.75</v>
      </c>
      <c r="T109" s="32" t="n">
        <f>183660605</f>
        <v>1.83660605E8</v>
      </c>
      <c r="U109" s="32" t="n">
        <f>207913</f>
        <v>207913.0</v>
      </c>
      <c r="V109" s="32" t="n">
        <f>2526879506594</f>
        <v>2.526879506594E12</v>
      </c>
      <c r="W109" s="32" t="n">
        <f>2876349334</f>
        <v>2.876349334E9</v>
      </c>
      <c r="X109" s="36" t="n">
        <f>20</f>
        <v>20.0</v>
      </c>
    </row>
    <row r="110">
      <c r="A110" s="27" t="s">
        <v>42</v>
      </c>
      <c r="B110" s="27" t="s">
        <v>373</v>
      </c>
      <c r="C110" s="27" t="s">
        <v>374</v>
      </c>
      <c r="D110" s="27" t="s">
        <v>375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997</f>
        <v>997.0</v>
      </c>
      <c r="L110" s="34" t="s">
        <v>48</v>
      </c>
      <c r="M110" s="33" t="n">
        <f>1052</f>
        <v>1052.0</v>
      </c>
      <c r="N110" s="34" t="s">
        <v>50</v>
      </c>
      <c r="O110" s="33" t="n">
        <f>983</f>
        <v>983.0</v>
      </c>
      <c r="P110" s="34" t="s">
        <v>49</v>
      </c>
      <c r="Q110" s="33" t="n">
        <f>1020</f>
        <v>1020.0</v>
      </c>
      <c r="R110" s="34" t="s">
        <v>51</v>
      </c>
      <c r="S110" s="35" t="n">
        <f>1015.15</f>
        <v>1015.15</v>
      </c>
      <c r="T110" s="32" t="n">
        <f>66187121</f>
        <v>6.6187121E7</v>
      </c>
      <c r="U110" s="32" t="n">
        <f>1070706</f>
        <v>1070706.0</v>
      </c>
      <c r="V110" s="32" t="n">
        <f>67537924385</f>
        <v>6.7537924385E10</v>
      </c>
      <c r="W110" s="32" t="n">
        <f>1093654953</f>
        <v>1.093654953E9</v>
      </c>
      <c r="X110" s="36" t="n">
        <f>20</f>
        <v>20.0</v>
      </c>
    </row>
    <row r="111">
      <c r="A111" s="27" t="s">
        <v>42</v>
      </c>
      <c r="B111" s="27" t="s">
        <v>376</v>
      </c>
      <c r="C111" s="27" t="s">
        <v>377</v>
      </c>
      <c r="D111" s="27" t="s">
        <v>378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10.0</v>
      </c>
      <c r="K111" s="33" t="n">
        <f>5766</f>
        <v>5766.0</v>
      </c>
      <c r="L111" s="34" t="s">
        <v>48</v>
      </c>
      <c r="M111" s="33" t="n">
        <f>6309</f>
        <v>6309.0</v>
      </c>
      <c r="N111" s="34" t="s">
        <v>49</v>
      </c>
      <c r="O111" s="33" t="n">
        <f>4730</f>
        <v>4730.0</v>
      </c>
      <c r="P111" s="34" t="s">
        <v>50</v>
      </c>
      <c r="Q111" s="33" t="n">
        <f>5050</f>
        <v>5050.0</v>
      </c>
      <c r="R111" s="34" t="s">
        <v>51</v>
      </c>
      <c r="S111" s="35" t="n">
        <f>5566.95</f>
        <v>5566.95</v>
      </c>
      <c r="T111" s="32" t="n">
        <f>92160</f>
        <v>92160.0</v>
      </c>
      <c r="U111" s="32" t="str">
        <f>"－"</f>
        <v>－</v>
      </c>
      <c r="V111" s="32" t="n">
        <f>507111210</f>
        <v>5.0711121E8</v>
      </c>
      <c r="W111" s="32" t="str">
        <f>"－"</f>
        <v>－</v>
      </c>
      <c r="X111" s="36" t="n">
        <f>20</f>
        <v>20.0</v>
      </c>
    </row>
    <row r="112">
      <c r="A112" s="27" t="s">
        <v>42</v>
      </c>
      <c r="B112" s="27" t="s">
        <v>379</v>
      </c>
      <c r="C112" s="27" t="s">
        <v>380</v>
      </c>
      <c r="D112" s="27" t="s">
        <v>381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9650</f>
        <v>9650.0</v>
      </c>
      <c r="L112" s="34" t="s">
        <v>48</v>
      </c>
      <c r="M112" s="33" t="n">
        <f>11300</f>
        <v>11300.0</v>
      </c>
      <c r="N112" s="34" t="s">
        <v>50</v>
      </c>
      <c r="O112" s="33" t="n">
        <f>9080</f>
        <v>9080.0</v>
      </c>
      <c r="P112" s="34" t="s">
        <v>49</v>
      </c>
      <c r="Q112" s="33" t="n">
        <f>11070</f>
        <v>11070.0</v>
      </c>
      <c r="R112" s="34" t="s">
        <v>51</v>
      </c>
      <c r="S112" s="35" t="n">
        <f>10199</f>
        <v>10199.0</v>
      </c>
      <c r="T112" s="32" t="n">
        <f>21580</f>
        <v>21580.0</v>
      </c>
      <c r="U112" s="32" t="n">
        <f>130</f>
        <v>130.0</v>
      </c>
      <c r="V112" s="32" t="n">
        <f>222507190</f>
        <v>2.2250719E8</v>
      </c>
      <c r="W112" s="32" t="n">
        <f>1277420</f>
        <v>1277420.0</v>
      </c>
      <c r="X112" s="36" t="n">
        <f>20</f>
        <v>20.0</v>
      </c>
    </row>
    <row r="113">
      <c r="A113" s="27" t="s">
        <v>42</v>
      </c>
      <c r="B113" s="27" t="s">
        <v>382</v>
      </c>
      <c r="C113" s="27" t="s">
        <v>383</v>
      </c>
      <c r="D113" s="27" t="s">
        <v>384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762.8</f>
        <v>762.8</v>
      </c>
      <c r="L113" s="34" t="s">
        <v>48</v>
      </c>
      <c r="M113" s="33" t="n">
        <f>762.8</f>
        <v>762.8</v>
      </c>
      <c r="N113" s="34" t="s">
        <v>48</v>
      </c>
      <c r="O113" s="33" t="n">
        <f>678.1</f>
        <v>678.1</v>
      </c>
      <c r="P113" s="34" t="s">
        <v>50</v>
      </c>
      <c r="Q113" s="33" t="n">
        <f>735</f>
        <v>735.0</v>
      </c>
      <c r="R113" s="34" t="s">
        <v>51</v>
      </c>
      <c r="S113" s="35" t="n">
        <f>739.05</f>
        <v>739.05</v>
      </c>
      <c r="T113" s="32" t="n">
        <f>5470</f>
        <v>5470.0</v>
      </c>
      <c r="U113" s="32" t="str">
        <f>"－"</f>
        <v>－</v>
      </c>
      <c r="V113" s="32" t="n">
        <f>3944669</f>
        <v>3944669.0</v>
      </c>
      <c r="W113" s="32" t="str">
        <f>"－"</f>
        <v>－</v>
      </c>
      <c r="X113" s="36" t="n">
        <f>20</f>
        <v>20.0</v>
      </c>
    </row>
    <row r="114">
      <c r="A114" s="27" t="s">
        <v>42</v>
      </c>
      <c r="B114" s="27" t="s">
        <v>385</v>
      </c>
      <c r="C114" s="27" t="s">
        <v>386</v>
      </c>
      <c r="D114" s="27" t="s">
        <v>387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24200</f>
        <v>24200.0</v>
      </c>
      <c r="L114" s="34" t="s">
        <v>48</v>
      </c>
      <c r="M114" s="33" t="n">
        <f>24465</f>
        <v>24465.0</v>
      </c>
      <c r="N114" s="34" t="s">
        <v>72</v>
      </c>
      <c r="O114" s="33" t="n">
        <f>22820</f>
        <v>22820.0</v>
      </c>
      <c r="P114" s="34" t="s">
        <v>92</v>
      </c>
      <c r="Q114" s="33" t="n">
        <f>23655</f>
        <v>23655.0</v>
      </c>
      <c r="R114" s="34" t="s">
        <v>51</v>
      </c>
      <c r="S114" s="35" t="n">
        <f>23611</f>
        <v>23611.0</v>
      </c>
      <c r="T114" s="32" t="n">
        <f>71020</f>
        <v>71020.0</v>
      </c>
      <c r="U114" s="32" t="n">
        <f>4806</f>
        <v>4806.0</v>
      </c>
      <c r="V114" s="32" t="n">
        <f>1696098670</f>
        <v>1.69609867E9</v>
      </c>
      <c r="W114" s="32" t="n">
        <f>116217305</f>
        <v>1.16217305E8</v>
      </c>
      <c r="X114" s="36" t="n">
        <f>20</f>
        <v>20.0</v>
      </c>
    </row>
    <row r="115">
      <c r="A115" s="27" t="s">
        <v>42</v>
      </c>
      <c r="B115" s="27" t="s">
        <v>388</v>
      </c>
      <c r="C115" s="27" t="s">
        <v>389</v>
      </c>
      <c r="D115" s="27" t="s">
        <v>390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2208</f>
        <v>2208.0</v>
      </c>
      <c r="L115" s="34" t="s">
        <v>48</v>
      </c>
      <c r="M115" s="33" t="n">
        <f>2238</f>
        <v>2238.0</v>
      </c>
      <c r="N115" s="34" t="s">
        <v>49</v>
      </c>
      <c r="O115" s="33" t="n">
        <f>2088</f>
        <v>2088.0</v>
      </c>
      <c r="P115" s="34" t="s">
        <v>50</v>
      </c>
      <c r="Q115" s="33" t="n">
        <f>2133</f>
        <v>2133.0</v>
      </c>
      <c r="R115" s="34" t="s">
        <v>51</v>
      </c>
      <c r="S115" s="35" t="n">
        <f>2163.15</f>
        <v>2163.15</v>
      </c>
      <c r="T115" s="32" t="n">
        <f>17251</f>
        <v>17251.0</v>
      </c>
      <c r="U115" s="32" t="str">
        <f>"－"</f>
        <v>－</v>
      </c>
      <c r="V115" s="32" t="n">
        <f>36949064</f>
        <v>3.6949064E7</v>
      </c>
      <c r="W115" s="32" t="str">
        <f>"－"</f>
        <v>－</v>
      </c>
      <c r="X115" s="36" t="n">
        <f>20</f>
        <v>20.0</v>
      </c>
    </row>
    <row r="116">
      <c r="A116" s="27" t="s">
        <v>42</v>
      </c>
      <c r="B116" s="27" t="s">
        <v>391</v>
      </c>
      <c r="C116" s="27" t="s">
        <v>392</v>
      </c>
      <c r="D116" s="27" t="s">
        <v>393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10.0</v>
      </c>
      <c r="K116" s="33" t="n">
        <f>15440</f>
        <v>15440.0</v>
      </c>
      <c r="L116" s="34" t="s">
        <v>48</v>
      </c>
      <c r="M116" s="33" t="n">
        <f>15850</f>
        <v>15850.0</v>
      </c>
      <c r="N116" s="34" t="s">
        <v>49</v>
      </c>
      <c r="O116" s="33" t="n">
        <f>13700</f>
        <v>13700.0</v>
      </c>
      <c r="P116" s="34" t="s">
        <v>50</v>
      </c>
      <c r="Q116" s="33" t="n">
        <f>14540</f>
        <v>14540.0</v>
      </c>
      <c r="R116" s="34" t="s">
        <v>51</v>
      </c>
      <c r="S116" s="35" t="n">
        <f>14803.25</f>
        <v>14803.25</v>
      </c>
      <c r="T116" s="32" t="n">
        <f>16005790</f>
        <v>1.600579E7</v>
      </c>
      <c r="U116" s="32" t="n">
        <f>20380</f>
        <v>20380.0</v>
      </c>
      <c r="V116" s="32" t="n">
        <f>234721203200</f>
        <v>2.347212032E11</v>
      </c>
      <c r="W116" s="32" t="n">
        <f>281731200</f>
        <v>2.817312E8</v>
      </c>
      <c r="X116" s="36" t="n">
        <f>20</f>
        <v>20.0</v>
      </c>
    </row>
    <row r="117">
      <c r="A117" s="27" t="s">
        <v>42</v>
      </c>
      <c r="B117" s="27" t="s">
        <v>394</v>
      </c>
      <c r="C117" s="27" t="s">
        <v>395</v>
      </c>
      <c r="D117" s="27" t="s">
        <v>396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2652</f>
        <v>2652.0</v>
      </c>
      <c r="L117" s="34" t="s">
        <v>48</v>
      </c>
      <c r="M117" s="33" t="n">
        <f>2794.5</f>
        <v>2794.5</v>
      </c>
      <c r="N117" s="34" t="s">
        <v>50</v>
      </c>
      <c r="O117" s="33" t="n">
        <f>2614.5</f>
        <v>2614.5</v>
      </c>
      <c r="P117" s="34" t="s">
        <v>49</v>
      </c>
      <c r="Q117" s="33" t="n">
        <f>2715.5</f>
        <v>2715.5</v>
      </c>
      <c r="R117" s="34" t="s">
        <v>51</v>
      </c>
      <c r="S117" s="35" t="n">
        <f>2699.98</f>
        <v>2699.98</v>
      </c>
      <c r="T117" s="32" t="n">
        <f>3778210</f>
        <v>3778210.0</v>
      </c>
      <c r="U117" s="32" t="n">
        <f>805000</f>
        <v>805000.0</v>
      </c>
      <c r="V117" s="32" t="n">
        <f>10279501780</f>
        <v>1.027950178E10</v>
      </c>
      <c r="W117" s="32" t="n">
        <f>2189604300</f>
        <v>2.1896043E9</v>
      </c>
      <c r="X117" s="36" t="n">
        <f>20</f>
        <v>20.0</v>
      </c>
    </row>
    <row r="118">
      <c r="A118" s="27" t="s">
        <v>42</v>
      </c>
      <c r="B118" s="27" t="s">
        <v>397</v>
      </c>
      <c r="C118" s="27" t="s">
        <v>398</v>
      </c>
      <c r="D118" s="27" t="s">
        <v>399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901</f>
        <v>901.0</v>
      </c>
      <c r="L118" s="34" t="s">
        <v>92</v>
      </c>
      <c r="M118" s="33" t="n">
        <f>955</f>
        <v>955.0</v>
      </c>
      <c r="N118" s="34" t="s">
        <v>168</v>
      </c>
      <c r="O118" s="33" t="n">
        <f>901</f>
        <v>901.0</v>
      </c>
      <c r="P118" s="34" t="s">
        <v>92</v>
      </c>
      <c r="Q118" s="33" t="n">
        <f>955</f>
        <v>955.0</v>
      </c>
      <c r="R118" s="34" t="s">
        <v>168</v>
      </c>
      <c r="S118" s="35" t="n">
        <f>932.33</f>
        <v>932.33</v>
      </c>
      <c r="T118" s="32" t="n">
        <f>200</f>
        <v>200.0</v>
      </c>
      <c r="U118" s="32" t="str">
        <f>"－"</f>
        <v>－</v>
      </c>
      <c r="V118" s="32" t="n">
        <f>185360</f>
        <v>185360.0</v>
      </c>
      <c r="W118" s="32" t="str">
        <f>"－"</f>
        <v>－</v>
      </c>
      <c r="X118" s="36" t="n">
        <f>3</f>
        <v>3.0</v>
      </c>
    </row>
    <row r="119">
      <c r="A119" s="27" t="s">
        <v>42</v>
      </c>
      <c r="B119" s="27" t="s">
        <v>400</v>
      </c>
      <c r="C119" s="27" t="s">
        <v>401</v>
      </c>
      <c r="D119" s="27" t="s">
        <v>402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1543</f>
        <v>1543.0</v>
      </c>
      <c r="L119" s="34" t="s">
        <v>72</v>
      </c>
      <c r="M119" s="33" t="n">
        <f>1543</f>
        <v>1543.0</v>
      </c>
      <c r="N119" s="34" t="s">
        <v>72</v>
      </c>
      <c r="O119" s="33" t="n">
        <f>1499</f>
        <v>1499.0</v>
      </c>
      <c r="P119" s="34" t="s">
        <v>86</v>
      </c>
      <c r="Q119" s="33" t="n">
        <f>1520</f>
        <v>1520.0</v>
      </c>
      <c r="R119" s="34" t="s">
        <v>166</v>
      </c>
      <c r="S119" s="35" t="n">
        <f>1520.67</f>
        <v>1520.67</v>
      </c>
      <c r="T119" s="32" t="n">
        <f>240</f>
        <v>240.0</v>
      </c>
      <c r="U119" s="32" t="str">
        <f>"－"</f>
        <v>－</v>
      </c>
      <c r="V119" s="32" t="n">
        <f>367580</f>
        <v>367580.0</v>
      </c>
      <c r="W119" s="32" t="str">
        <f>"－"</f>
        <v>－</v>
      </c>
      <c r="X119" s="36" t="n">
        <f>3</f>
        <v>3.0</v>
      </c>
    </row>
    <row r="120">
      <c r="A120" s="27" t="s">
        <v>42</v>
      </c>
      <c r="B120" s="27" t="s">
        <v>403</v>
      </c>
      <c r="C120" s="27" t="s">
        <v>404</v>
      </c>
      <c r="D120" s="27" t="s">
        <v>405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1705</f>
        <v>1705.0</v>
      </c>
      <c r="L120" s="34" t="s">
        <v>48</v>
      </c>
      <c r="M120" s="33" t="n">
        <f>1730</f>
        <v>1730.0</v>
      </c>
      <c r="N120" s="34" t="s">
        <v>49</v>
      </c>
      <c r="O120" s="33" t="n">
        <f>1582</f>
        <v>1582.0</v>
      </c>
      <c r="P120" s="34" t="s">
        <v>50</v>
      </c>
      <c r="Q120" s="33" t="n">
        <f>1624</f>
        <v>1624.0</v>
      </c>
      <c r="R120" s="34" t="s">
        <v>51</v>
      </c>
      <c r="S120" s="35" t="n">
        <f>1650.55</f>
        <v>1650.55</v>
      </c>
      <c r="T120" s="32" t="n">
        <f>5715</f>
        <v>5715.0</v>
      </c>
      <c r="U120" s="32" t="str">
        <f>"－"</f>
        <v>－</v>
      </c>
      <c r="V120" s="32" t="n">
        <f>9396386</f>
        <v>9396386.0</v>
      </c>
      <c r="W120" s="32" t="str">
        <f>"－"</f>
        <v>－</v>
      </c>
      <c r="X120" s="36" t="n">
        <f>20</f>
        <v>20.0</v>
      </c>
    </row>
    <row r="121">
      <c r="A121" s="27" t="s">
        <v>42</v>
      </c>
      <c r="B121" s="27" t="s">
        <v>406</v>
      </c>
      <c r="C121" s="27" t="s">
        <v>407</v>
      </c>
      <c r="D121" s="27" t="s">
        <v>408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17685</f>
        <v>17685.0</v>
      </c>
      <c r="L121" s="34" t="s">
        <v>48</v>
      </c>
      <c r="M121" s="33" t="n">
        <f>18060</f>
        <v>18060.0</v>
      </c>
      <c r="N121" s="34" t="s">
        <v>72</v>
      </c>
      <c r="O121" s="33" t="n">
        <f>16665</f>
        <v>16665.0</v>
      </c>
      <c r="P121" s="34" t="s">
        <v>50</v>
      </c>
      <c r="Q121" s="33" t="n">
        <f>17500</f>
        <v>17500.0</v>
      </c>
      <c r="R121" s="34" t="s">
        <v>51</v>
      </c>
      <c r="S121" s="35" t="n">
        <f>17242</f>
        <v>17242.0</v>
      </c>
      <c r="T121" s="32" t="n">
        <f>79486</f>
        <v>79486.0</v>
      </c>
      <c r="U121" s="32" t="n">
        <f>16003</f>
        <v>16003.0</v>
      </c>
      <c r="V121" s="32" t="n">
        <f>1380395695</f>
        <v>1.380395695E9</v>
      </c>
      <c r="W121" s="32" t="n">
        <f>276547005</f>
        <v>2.76547005E8</v>
      </c>
      <c r="X121" s="36" t="n">
        <f>20</f>
        <v>20.0</v>
      </c>
    </row>
    <row r="122">
      <c r="A122" s="27" t="s">
        <v>42</v>
      </c>
      <c r="B122" s="27" t="s">
        <v>409</v>
      </c>
      <c r="C122" s="27" t="s">
        <v>410</v>
      </c>
      <c r="D122" s="27" t="s">
        <v>411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1630</f>
        <v>1630.0</v>
      </c>
      <c r="L122" s="34" t="s">
        <v>48</v>
      </c>
      <c r="M122" s="33" t="n">
        <f>1642</f>
        <v>1642.0</v>
      </c>
      <c r="N122" s="34" t="s">
        <v>49</v>
      </c>
      <c r="O122" s="33" t="n">
        <f>1539</f>
        <v>1539.0</v>
      </c>
      <c r="P122" s="34" t="s">
        <v>50</v>
      </c>
      <c r="Q122" s="33" t="n">
        <f>1583</f>
        <v>1583.0</v>
      </c>
      <c r="R122" s="34" t="s">
        <v>51</v>
      </c>
      <c r="S122" s="35" t="n">
        <f>1589.75</f>
        <v>1589.75</v>
      </c>
      <c r="T122" s="32" t="n">
        <f>98278</f>
        <v>98278.0</v>
      </c>
      <c r="U122" s="32" t="str">
        <f>"－"</f>
        <v>－</v>
      </c>
      <c r="V122" s="32" t="n">
        <f>155820148</f>
        <v>1.55820148E8</v>
      </c>
      <c r="W122" s="32" t="str">
        <f>"－"</f>
        <v>－</v>
      </c>
      <c r="X122" s="36" t="n">
        <f>20</f>
        <v>20.0</v>
      </c>
    </row>
    <row r="123">
      <c r="A123" s="27" t="s">
        <v>42</v>
      </c>
      <c r="B123" s="27" t="s">
        <v>412</v>
      </c>
      <c r="C123" s="27" t="s">
        <v>413</v>
      </c>
      <c r="D123" s="27" t="s">
        <v>414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18150</f>
        <v>18150.0</v>
      </c>
      <c r="L123" s="34" t="s">
        <v>48</v>
      </c>
      <c r="M123" s="33" t="n">
        <f>18350</f>
        <v>18350.0</v>
      </c>
      <c r="N123" s="34" t="s">
        <v>49</v>
      </c>
      <c r="O123" s="33" t="n">
        <f>17195</f>
        <v>17195.0</v>
      </c>
      <c r="P123" s="34" t="s">
        <v>50</v>
      </c>
      <c r="Q123" s="33" t="n">
        <f>17520</f>
        <v>17520.0</v>
      </c>
      <c r="R123" s="34" t="s">
        <v>51</v>
      </c>
      <c r="S123" s="35" t="n">
        <f>17704.25</f>
        <v>17704.25</v>
      </c>
      <c r="T123" s="32" t="n">
        <f>22095</f>
        <v>22095.0</v>
      </c>
      <c r="U123" s="32" t="n">
        <f>4220</f>
        <v>4220.0</v>
      </c>
      <c r="V123" s="32" t="n">
        <f>389026555</f>
        <v>3.89026555E8</v>
      </c>
      <c r="W123" s="32" t="n">
        <f>74170280</f>
        <v>7.417028E7</v>
      </c>
      <c r="X123" s="36" t="n">
        <f>20</f>
        <v>20.0</v>
      </c>
    </row>
    <row r="124">
      <c r="A124" s="27" t="s">
        <v>42</v>
      </c>
      <c r="B124" s="27" t="s">
        <v>415</v>
      </c>
      <c r="C124" s="27" t="s">
        <v>416</v>
      </c>
      <c r="D124" s="27" t="s">
        <v>417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2053.5</f>
        <v>2053.5</v>
      </c>
      <c r="L124" s="34" t="s">
        <v>48</v>
      </c>
      <c r="M124" s="33" t="n">
        <f>2103</f>
        <v>2103.0</v>
      </c>
      <c r="N124" s="34" t="s">
        <v>72</v>
      </c>
      <c r="O124" s="33" t="n">
        <f>1989</f>
        <v>1989.0</v>
      </c>
      <c r="P124" s="34" t="s">
        <v>114</v>
      </c>
      <c r="Q124" s="33" t="n">
        <f>2019</f>
        <v>2019.0</v>
      </c>
      <c r="R124" s="34" t="s">
        <v>51</v>
      </c>
      <c r="S124" s="35" t="n">
        <f>2035.03</f>
        <v>2035.03</v>
      </c>
      <c r="T124" s="32" t="n">
        <f>3410070</f>
        <v>3410070.0</v>
      </c>
      <c r="U124" s="32" t="n">
        <f>1015180</f>
        <v>1015180.0</v>
      </c>
      <c r="V124" s="32" t="n">
        <f>6954705029</f>
        <v>6.954705029E9</v>
      </c>
      <c r="W124" s="32" t="n">
        <f>2069772744</f>
        <v>2.069772744E9</v>
      </c>
      <c r="X124" s="36" t="n">
        <f>20</f>
        <v>20.0</v>
      </c>
    </row>
    <row r="125">
      <c r="A125" s="27" t="s">
        <v>42</v>
      </c>
      <c r="B125" s="27" t="s">
        <v>418</v>
      </c>
      <c r="C125" s="27" t="s">
        <v>419</v>
      </c>
      <c r="D125" s="27" t="s">
        <v>420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1703</f>
        <v>1703.0</v>
      </c>
      <c r="L125" s="34" t="s">
        <v>48</v>
      </c>
      <c r="M125" s="33" t="n">
        <f>1703</f>
        <v>1703.0</v>
      </c>
      <c r="N125" s="34" t="s">
        <v>48</v>
      </c>
      <c r="O125" s="33" t="n">
        <f>1641</f>
        <v>1641.0</v>
      </c>
      <c r="P125" s="34" t="s">
        <v>73</v>
      </c>
      <c r="Q125" s="33" t="n">
        <f>1641</f>
        <v>1641.0</v>
      </c>
      <c r="R125" s="34" t="s">
        <v>73</v>
      </c>
      <c r="S125" s="35" t="n">
        <f>1672</f>
        <v>1672.0</v>
      </c>
      <c r="T125" s="32" t="n">
        <f>30</f>
        <v>30.0</v>
      </c>
      <c r="U125" s="32" t="str">
        <f>"－"</f>
        <v>－</v>
      </c>
      <c r="V125" s="32" t="n">
        <f>49960</f>
        <v>49960.0</v>
      </c>
      <c r="W125" s="32" t="str">
        <f>"－"</f>
        <v>－</v>
      </c>
      <c r="X125" s="36" t="n">
        <f>2</f>
        <v>2.0</v>
      </c>
    </row>
    <row r="126">
      <c r="A126" s="27" t="s">
        <v>42</v>
      </c>
      <c r="B126" s="27" t="s">
        <v>421</v>
      </c>
      <c r="C126" s="27" t="s">
        <v>422</v>
      </c>
      <c r="D126" s="27" t="s">
        <v>423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2043</f>
        <v>2043.0</v>
      </c>
      <c r="L126" s="34" t="s">
        <v>48</v>
      </c>
      <c r="M126" s="33" t="n">
        <f>2099</f>
        <v>2099.0</v>
      </c>
      <c r="N126" s="34" t="s">
        <v>72</v>
      </c>
      <c r="O126" s="33" t="n">
        <f>2005.5</f>
        <v>2005.5</v>
      </c>
      <c r="P126" s="34" t="s">
        <v>114</v>
      </c>
      <c r="Q126" s="33" t="n">
        <f>2030.5</f>
        <v>2030.5</v>
      </c>
      <c r="R126" s="34" t="s">
        <v>51</v>
      </c>
      <c r="S126" s="35" t="n">
        <f>2039.88</f>
        <v>2039.88</v>
      </c>
      <c r="T126" s="32" t="n">
        <f>1054320</f>
        <v>1054320.0</v>
      </c>
      <c r="U126" s="32" t="n">
        <f>100000</f>
        <v>100000.0</v>
      </c>
      <c r="V126" s="32" t="n">
        <f>2152771325</f>
        <v>2.152771325E9</v>
      </c>
      <c r="W126" s="32" t="n">
        <f>202795000</f>
        <v>2.02795E8</v>
      </c>
      <c r="X126" s="36" t="n">
        <f>20</f>
        <v>20.0</v>
      </c>
    </row>
    <row r="127">
      <c r="A127" s="27" t="s">
        <v>42</v>
      </c>
      <c r="B127" s="27" t="s">
        <v>424</v>
      </c>
      <c r="C127" s="27" t="s">
        <v>425</v>
      </c>
      <c r="D127" s="27" t="s">
        <v>426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17870</f>
        <v>17870.0</v>
      </c>
      <c r="L127" s="34" t="s">
        <v>48</v>
      </c>
      <c r="M127" s="33" t="n">
        <f>17995</f>
        <v>17995.0</v>
      </c>
      <c r="N127" s="34" t="s">
        <v>48</v>
      </c>
      <c r="O127" s="33" t="n">
        <f>17095</f>
        <v>17095.0</v>
      </c>
      <c r="P127" s="34" t="s">
        <v>427</v>
      </c>
      <c r="Q127" s="33" t="n">
        <f>17315</f>
        <v>17315.0</v>
      </c>
      <c r="R127" s="34" t="s">
        <v>51</v>
      </c>
      <c r="S127" s="35" t="n">
        <f>17561.07</f>
        <v>17561.07</v>
      </c>
      <c r="T127" s="32" t="n">
        <f>325</f>
        <v>325.0</v>
      </c>
      <c r="U127" s="32" t="str">
        <f>"－"</f>
        <v>－</v>
      </c>
      <c r="V127" s="32" t="n">
        <f>5711390</f>
        <v>5711390.0</v>
      </c>
      <c r="W127" s="32" t="str">
        <f>"－"</f>
        <v>－</v>
      </c>
      <c r="X127" s="36" t="n">
        <f>14</f>
        <v>14.0</v>
      </c>
    </row>
    <row r="128">
      <c r="A128" s="27" t="s">
        <v>42</v>
      </c>
      <c r="B128" s="27" t="s">
        <v>428</v>
      </c>
      <c r="C128" s="27" t="s">
        <v>429</v>
      </c>
      <c r="D128" s="27" t="s">
        <v>430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100.0</v>
      </c>
      <c r="K128" s="33" t="n">
        <f>167.5</f>
        <v>167.5</v>
      </c>
      <c r="L128" s="34" t="s">
        <v>48</v>
      </c>
      <c r="M128" s="33" t="n">
        <f>174.9</f>
        <v>174.9</v>
      </c>
      <c r="N128" s="34" t="s">
        <v>166</v>
      </c>
      <c r="O128" s="33" t="n">
        <f>164.8</f>
        <v>164.8</v>
      </c>
      <c r="P128" s="34" t="s">
        <v>92</v>
      </c>
      <c r="Q128" s="33" t="n">
        <f>170.5</f>
        <v>170.5</v>
      </c>
      <c r="R128" s="34" t="s">
        <v>51</v>
      </c>
      <c r="S128" s="35" t="n">
        <f>169.15</f>
        <v>169.15</v>
      </c>
      <c r="T128" s="32" t="n">
        <f>42649900</f>
        <v>4.26499E7</v>
      </c>
      <c r="U128" s="32" t="n">
        <f>2700</f>
        <v>2700.0</v>
      </c>
      <c r="V128" s="32" t="n">
        <f>7239704840</f>
        <v>7.23970484E9</v>
      </c>
      <c r="W128" s="32" t="n">
        <f>452910</f>
        <v>452910.0</v>
      </c>
      <c r="X128" s="36" t="n">
        <f>20</f>
        <v>20.0</v>
      </c>
    </row>
    <row r="129">
      <c r="A129" s="27" t="s">
        <v>42</v>
      </c>
      <c r="B129" s="27" t="s">
        <v>431</v>
      </c>
      <c r="C129" s="27" t="s">
        <v>432</v>
      </c>
      <c r="D129" s="27" t="s">
        <v>433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27050</f>
        <v>27050.0</v>
      </c>
      <c r="L129" s="34" t="s">
        <v>48</v>
      </c>
      <c r="M129" s="33" t="n">
        <f>27830</f>
        <v>27830.0</v>
      </c>
      <c r="N129" s="34" t="s">
        <v>50</v>
      </c>
      <c r="O129" s="33" t="n">
        <f>26685</f>
        <v>26685.0</v>
      </c>
      <c r="P129" s="34" t="s">
        <v>434</v>
      </c>
      <c r="Q129" s="33" t="n">
        <f>27645</f>
        <v>27645.0</v>
      </c>
      <c r="R129" s="34" t="s">
        <v>51</v>
      </c>
      <c r="S129" s="35" t="n">
        <f>27373.75</f>
        <v>27373.75</v>
      </c>
      <c r="T129" s="32" t="n">
        <f>2567</f>
        <v>2567.0</v>
      </c>
      <c r="U129" s="32" t="str">
        <f>"－"</f>
        <v>－</v>
      </c>
      <c r="V129" s="32" t="n">
        <f>70365230</f>
        <v>7.036523E7</v>
      </c>
      <c r="W129" s="32" t="str">
        <f>"－"</f>
        <v>－</v>
      </c>
      <c r="X129" s="36" t="n">
        <f>20</f>
        <v>20.0</v>
      </c>
    </row>
    <row r="130">
      <c r="A130" s="27" t="s">
        <v>42</v>
      </c>
      <c r="B130" s="27" t="s">
        <v>435</v>
      </c>
      <c r="C130" s="27" t="s">
        <v>436</v>
      </c>
      <c r="D130" s="27" t="s">
        <v>437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12890</f>
        <v>12890.0</v>
      </c>
      <c r="L130" s="34" t="s">
        <v>48</v>
      </c>
      <c r="M130" s="33" t="n">
        <f>14195</f>
        <v>14195.0</v>
      </c>
      <c r="N130" s="34" t="s">
        <v>73</v>
      </c>
      <c r="O130" s="33" t="n">
        <f>12770</f>
        <v>12770.0</v>
      </c>
      <c r="P130" s="34" t="s">
        <v>92</v>
      </c>
      <c r="Q130" s="33" t="n">
        <f>13300</f>
        <v>13300.0</v>
      </c>
      <c r="R130" s="34" t="s">
        <v>51</v>
      </c>
      <c r="S130" s="35" t="n">
        <f>13365.5</f>
        <v>13365.5</v>
      </c>
      <c r="T130" s="32" t="n">
        <f>42366</f>
        <v>42366.0</v>
      </c>
      <c r="U130" s="32" t="n">
        <f>3</f>
        <v>3.0</v>
      </c>
      <c r="V130" s="32" t="n">
        <f>567161290</f>
        <v>5.6716129E8</v>
      </c>
      <c r="W130" s="32" t="n">
        <f>43090</f>
        <v>43090.0</v>
      </c>
      <c r="X130" s="36" t="n">
        <f>20</f>
        <v>20.0</v>
      </c>
    </row>
    <row r="131">
      <c r="A131" s="27" t="s">
        <v>42</v>
      </c>
      <c r="B131" s="27" t="s">
        <v>438</v>
      </c>
      <c r="C131" s="27" t="s">
        <v>439</v>
      </c>
      <c r="D131" s="27" t="s">
        <v>440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21140</f>
        <v>21140.0</v>
      </c>
      <c r="L131" s="34" t="s">
        <v>48</v>
      </c>
      <c r="M131" s="33" t="n">
        <f>21495</f>
        <v>21495.0</v>
      </c>
      <c r="N131" s="34" t="s">
        <v>72</v>
      </c>
      <c r="O131" s="33" t="n">
        <f>20100</f>
        <v>20100.0</v>
      </c>
      <c r="P131" s="34" t="s">
        <v>50</v>
      </c>
      <c r="Q131" s="33" t="n">
        <f>20670</f>
        <v>20670.0</v>
      </c>
      <c r="R131" s="34" t="s">
        <v>51</v>
      </c>
      <c r="S131" s="35" t="n">
        <f>20623.75</f>
        <v>20623.75</v>
      </c>
      <c r="T131" s="32" t="n">
        <f>846</f>
        <v>846.0</v>
      </c>
      <c r="U131" s="32" t="str">
        <f>"－"</f>
        <v>－</v>
      </c>
      <c r="V131" s="32" t="n">
        <f>17306115</f>
        <v>1.7306115E7</v>
      </c>
      <c r="W131" s="32" t="str">
        <f>"－"</f>
        <v>－</v>
      </c>
      <c r="X131" s="36" t="n">
        <f>20</f>
        <v>20.0</v>
      </c>
    </row>
    <row r="132">
      <c r="A132" s="27" t="s">
        <v>42</v>
      </c>
      <c r="B132" s="27" t="s">
        <v>441</v>
      </c>
      <c r="C132" s="27" t="s">
        <v>442</v>
      </c>
      <c r="D132" s="27" t="s">
        <v>443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25045</f>
        <v>25045.0</v>
      </c>
      <c r="L132" s="34" t="s">
        <v>48</v>
      </c>
      <c r="M132" s="33" t="n">
        <f>25600</f>
        <v>25600.0</v>
      </c>
      <c r="N132" s="34" t="s">
        <v>49</v>
      </c>
      <c r="O132" s="33" t="n">
        <f>23840</f>
        <v>23840.0</v>
      </c>
      <c r="P132" s="34" t="s">
        <v>434</v>
      </c>
      <c r="Q132" s="33" t="n">
        <f>24705</f>
        <v>24705.0</v>
      </c>
      <c r="R132" s="34" t="s">
        <v>51</v>
      </c>
      <c r="S132" s="35" t="n">
        <f>24581.75</f>
        <v>24581.75</v>
      </c>
      <c r="T132" s="32" t="n">
        <f>1656</f>
        <v>1656.0</v>
      </c>
      <c r="U132" s="32" t="str">
        <f>"－"</f>
        <v>－</v>
      </c>
      <c r="V132" s="32" t="n">
        <f>40976070</f>
        <v>4.097607E7</v>
      </c>
      <c r="W132" s="32" t="str">
        <f>"－"</f>
        <v>－</v>
      </c>
      <c r="X132" s="36" t="n">
        <f>20</f>
        <v>20.0</v>
      </c>
    </row>
    <row r="133">
      <c r="A133" s="27" t="s">
        <v>42</v>
      </c>
      <c r="B133" s="27" t="s">
        <v>444</v>
      </c>
      <c r="C133" s="27" t="s">
        <v>445</v>
      </c>
      <c r="D133" s="27" t="s">
        <v>446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22515</f>
        <v>22515.0</v>
      </c>
      <c r="L133" s="34" t="s">
        <v>48</v>
      </c>
      <c r="M133" s="33" t="n">
        <f>23780</f>
        <v>23780.0</v>
      </c>
      <c r="N133" s="34" t="s">
        <v>51</v>
      </c>
      <c r="O133" s="33" t="n">
        <f>22450</f>
        <v>22450.0</v>
      </c>
      <c r="P133" s="34" t="s">
        <v>48</v>
      </c>
      <c r="Q133" s="33" t="n">
        <f>23715</f>
        <v>23715.0</v>
      </c>
      <c r="R133" s="34" t="s">
        <v>51</v>
      </c>
      <c r="S133" s="35" t="n">
        <f>23257.25</f>
        <v>23257.25</v>
      </c>
      <c r="T133" s="32" t="n">
        <f>3673</f>
        <v>3673.0</v>
      </c>
      <c r="U133" s="32" t="str">
        <f>"－"</f>
        <v>－</v>
      </c>
      <c r="V133" s="32" t="n">
        <f>85609665</f>
        <v>8.5609665E7</v>
      </c>
      <c r="W133" s="32" t="str">
        <f>"－"</f>
        <v>－</v>
      </c>
      <c r="X133" s="36" t="n">
        <f>20</f>
        <v>20.0</v>
      </c>
    </row>
    <row r="134">
      <c r="A134" s="27" t="s">
        <v>42</v>
      </c>
      <c r="B134" s="27" t="s">
        <v>447</v>
      </c>
      <c r="C134" s="27" t="s">
        <v>448</v>
      </c>
      <c r="D134" s="27" t="s">
        <v>449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24325</f>
        <v>24325.0</v>
      </c>
      <c r="L134" s="34" t="s">
        <v>48</v>
      </c>
      <c r="M134" s="33" t="n">
        <f>24520</f>
        <v>24520.0</v>
      </c>
      <c r="N134" s="34" t="s">
        <v>166</v>
      </c>
      <c r="O134" s="33" t="n">
        <f>22605</f>
        <v>22605.0</v>
      </c>
      <c r="P134" s="34" t="s">
        <v>254</v>
      </c>
      <c r="Q134" s="33" t="n">
        <f>24100</f>
        <v>24100.0</v>
      </c>
      <c r="R134" s="34" t="s">
        <v>51</v>
      </c>
      <c r="S134" s="35" t="n">
        <f>23633.25</f>
        <v>23633.25</v>
      </c>
      <c r="T134" s="32" t="n">
        <f>7067</f>
        <v>7067.0</v>
      </c>
      <c r="U134" s="32" t="n">
        <f>3</f>
        <v>3.0</v>
      </c>
      <c r="V134" s="32" t="n">
        <f>165172475</f>
        <v>1.65172475E8</v>
      </c>
      <c r="W134" s="32" t="n">
        <f>72035</f>
        <v>72035.0</v>
      </c>
      <c r="X134" s="36" t="n">
        <f>20</f>
        <v>20.0</v>
      </c>
    </row>
    <row r="135">
      <c r="A135" s="27" t="s">
        <v>42</v>
      </c>
      <c r="B135" s="27" t="s">
        <v>450</v>
      </c>
      <c r="C135" s="27" t="s">
        <v>451</v>
      </c>
      <c r="D135" s="27" t="s">
        <v>452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17890</f>
        <v>17890.0</v>
      </c>
      <c r="L135" s="34" t="s">
        <v>48</v>
      </c>
      <c r="M135" s="33" t="n">
        <f>18205</f>
        <v>18205.0</v>
      </c>
      <c r="N135" s="34" t="s">
        <v>166</v>
      </c>
      <c r="O135" s="33" t="n">
        <f>16550</f>
        <v>16550.0</v>
      </c>
      <c r="P135" s="34" t="s">
        <v>50</v>
      </c>
      <c r="Q135" s="33" t="n">
        <f>17245</f>
        <v>17245.0</v>
      </c>
      <c r="R135" s="34" t="s">
        <v>51</v>
      </c>
      <c r="S135" s="35" t="n">
        <f>17582.75</f>
        <v>17582.75</v>
      </c>
      <c r="T135" s="32" t="n">
        <f>13610</f>
        <v>13610.0</v>
      </c>
      <c r="U135" s="32" t="n">
        <f>5800</f>
        <v>5800.0</v>
      </c>
      <c r="V135" s="32" t="n">
        <f>236019255</f>
        <v>2.36019255E8</v>
      </c>
      <c r="W135" s="32" t="n">
        <f>99680900</f>
        <v>9.96809E7</v>
      </c>
      <c r="X135" s="36" t="n">
        <f>20</f>
        <v>20.0</v>
      </c>
    </row>
    <row r="136">
      <c r="A136" s="27" t="s">
        <v>42</v>
      </c>
      <c r="B136" s="27" t="s">
        <v>453</v>
      </c>
      <c r="C136" s="27" t="s">
        <v>454</v>
      </c>
      <c r="D136" s="27" t="s">
        <v>455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39220</f>
        <v>39220.0</v>
      </c>
      <c r="L136" s="34" t="s">
        <v>48</v>
      </c>
      <c r="M136" s="33" t="n">
        <f>39780</f>
        <v>39780.0</v>
      </c>
      <c r="N136" s="34" t="s">
        <v>49</v>
      </c>
      <c r="O136" s="33" t="n">
        <f>36350</f>
        <v>36350.0</v>
      </c>
      <c r="P136" s="34" t="s">
        <v>50</v>
      </c>
      <c r="Q136" s="33" t="n">
        <f>37490</f>
        <v>37490.0</v>
      </c>
      <c r="R136" s="34" t="s">
        <v>51</v>
      </c>
      <c r="S136" s="35" t="n">
        <f>37735</f>
        <v>37735.0</v>
      </c>
      <c r="T136" s="32" t="n">
        <f>880</f>
        <v>880.0</v>
      </c>
      <c r="U136" s="32" t="str">
        <f>"－"</f>
        <v>－</v>
      </c>
      <c r="V136" s="32" t="n">
        <f>33132830</f>
        <v>3.313283E7</v>
      </c>
      <c r="W136" s="32" t="str">
        <f>"－"</f>
        <v>－</v>
      </c>
      <c r="X136" s="36" t="n">
        <f>20</f>
        <v>20.0</v>
      </c>
    </row>
    <row r="137">
      <c r="A137" s="27" t="s">
        <v>42</v>
      </c>
      <c r="B137" s="27" t="s">
        <v>456</v>
      </c>
      <c r="C137" s="27" t="s">
        <v>457</v>
      </c>
      <c r="D137" s="27" t="s">
        <v>458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28190</f>
        <v>28190.0</v>
      </c>
      <c r="L137" s="34" t="s">
        <v>48</v>
      </c>
      <c r="M137" s="33" t="n">
        <f>29035</f>
        <v>29035.0</v>
      </c>
      <c r="N137" s="34" t="s">
        <v>49</v>
      </c>
      <c r="O137" s="33" t="n">
        <f>25860</f>
        <v>25860.0</v>
      </c>
      <c r="P137" s="34" t="s">
        <v>50</v>
      </c>
      <c r="Q137" s="33" t="n">
        <f>26865</f>
        <v>26865.0</v>
      </c>
      <c r="R137" s="34" t="s">
        <v>51</v>
      </c>
      <c r="S137" s="35" t="n">
        <f>27237.25</f>
        <v>27237.25</v>
      </c>
      <c r="T137" s="32" t="n">
        <f>3193</f>
        <v>3193.0</v>
      </c>
      <c r="U137" s="32" t="str">
        <f>"－"</f>
        <v>－</v>
      </c>
      <c r="V137" s="32" t="n">
        <f>87310640</f>
        <v>8.731064E7</v>
      </c>
      <c r="W137" s="32" t="str">
        <f>"－"</f>
        <v>－</v>
      </c>
      <c r="X137" s="36" t="n">
        <f>20</f>
        <v>20.0</v>
      </c>
    </row>
    <row r="138">
      <c r="A138" s="27" t="s">
        <v>42</v>
      </c>
      <c r="B138" s="27" t="s">
        <v>459</v>
      </c>
      <c r="C138" s="27" t="s">
        <v>460</v>
      </c>
      <c r="D138" s="27" t="s">
        <v>461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28885</f>
        <v>28885.0</v>
      </c>
      <c r="L138" s="34" t="s">
        <v>48</v>
      </c>
      <c r="M138" s="33" t="n">
        <f>30000</f>
        <v>30000.0</v>
      </c>
      <c r="N138" s="34" t="s">
        <v>49</v>
      </c>
      <c r="O138" s="33" t="n">
        <f>28100</f>
        <v>28100.0</v>
      </c>
      <c r="P138" s="34" t="s">
        <v>50</v>
      </c>
      <c r="Q138" s="33" t="n">
        <f>28525</f>
        <v>28525.0</v>
      </c>
      <c r="R138" s="34" t="s">
        <v>51</v>
      </c>
      <c r="S138" s="35" t="n">
        <f>29080.75</f>
        <v>29080.75</v>
      </c>
      <c r="T138" s="32" t="n">
        <f>949</f>
        <v>949.0</v>
      </c>
      <c r="U138" s="32" t="str">
        <f>"－"</f>
        <v>－</v>
      </c>
      <c r="V138" s="32" t="n">
        <f>27678240</f>
        <v>2.767824E7</v>
      </c>
      <c r="W138" s="32" t="str">
        <f>"－"</f>
        <v>－</v>
      </c>
      <c r="X138" s="36" t="n">
        <f>20</f>
        <v>20.0</v>
      </c>
    </row>
    <row r="139">
      <c r="A139" s="27" t="s">
        <v>42</v>
      </c>
      <c r="B139" s="27" t="s">
        <v>462</v>
      </c>
      <c r="C139" s="27" t="s">
        <v>463</v>
      </c>
      <c r="D139" s="27" t="s">
        <v>464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5736</f>
        <v>5736.0</v>
      </c>
      <c r="L139" s="34" t="s">
        <v>48</v>
      </c>
      <c r="M139" s="33" t="n">
        <f>6130</f>
        <v>6130.0</v>
      </c>
      <c r="N139" s="34" t="s">
        <v>51</v>
      </c>
      <c r="O139" s="33" t="n">
        <f>5586</f>
        <v>5586.0</v>
      </c>
      <c r="P139" s="34" t="s">
        <v>92</v>
      </c>
      <c r="Q139" s="33" t="n">
        <f>6130</f>
        <v>6130.0</v>
      </c>
      <c r="R139" s="34" t="s">
        <v>51</v>
      </c>
      <c r="S139" s="35" t="n">
        <f>5881.95</f>
        <v>5881.95</v>
      </c>
      <c r="T139" s="32" t="n">
        <f>37442</f>
        <v>37442.0</v>
      </c>
      <c r="U139" s="32" t="n">
        <f>8501</f>
        <v>8501.0</v>
      </c>
      <c r="V139" s="32" t="n">
        <f>220068730</f>
        <v>2.2006873E8</v>
      </c>
      <c r="W139" s="32" t="n">
        <f>50231940</f>
        <v>5.023194E7</v>
      </c>
      <c r="X139" s="36" t="n">
        <f>20</f>
        <v>20.0</v>
      </c>
    </row>
    <row r="140">
      <c r="A140" s="27" t="s">
        <v>42</v>
      </c>
      <c r="B140" s="27" t="s">
        <v>465</v>
      </c>
      <c r="C140" s="27" t="s">
        <v>466</v>
      </c>
      <c r="D140" s="27" t="s">
        <v>467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15315</f>
        <v>15315.0</v>
      </c>
      <c r="L140" s="34" t="s">
        <v>48</v>
      </c>
      <c r="M140" s="33" t="n">
        <f>15340</f>
        <v>15340.0</v>
      </c>
      <c r="N140" s="34" t="s">
        <v>48</v>
      </c>
      <c r="O140" s="33" t="n">
        <f>14500</f>
        <v>14500.0</v>
      </c>
      <c r="P140" s="34" t="s">
        <v>254</v>
      </c>
      <c r="Q140" s="33" t="n">
        <f>15075</f>
        <v>15075.0</v>
      </c>
      <c r="R140" s="34" t="s">
        <v>51</v>
      </c>
      <c r="S140" s="35" t="n">
        <f>15008.5</f>
        <v>15008.5</v>
      </c>
      <c r="T140" s="32" t="n">
        <f>13576</f>
        <v>13576.0</v>
      </c>
      <c r="U140" s="32" t="n">
        <f>3502</f>
        <v>3502.0</v>
      </c>
      <c r="V140" s="32" t="n">
        <f>202761495</f>
        <v>2.02761495E8</v>
      </c>
      <c r="W140" s="32" t="n">
        <f>51546775</f>
        <v>5.1546775E7</v>
      </c>
      <c r="X140" s="36" t="n">
        <f>20</f>
        <v>20.0</v>
      </c>
    </row>
    <row r="141">
      <c r="A141" s="27" t="s">
        <v>42</v>
      </c>
      <c r="B141" s="27" t="s">
        <v>468</v>
      </c>
      <c r="C141" s="27" t="s">
        <v>469</v>
      </c>
      <c r="D141" s="27" t="s">
        <v>470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47850</f>
        <v>47850.0</v>
      </c>
      <c r="L141" s="34" t="s">
        <v>48</v>
      </c>
      <c r="M141" s="33" t="n">
        <f>48000</f>
        <v>48000.0</v>
      </c>
      <c r="N141" s="34" t="s">
        <v>48</v>
      </c>
      <c r="O141" s="33" t="n">
        <f>44950</f>
        <v>44950.0</v>
      </c>
      <c r="P141" s="34" t="s">
        <v>50</v>
      </c>
      <c r="Q141" s="33" t="n">
        <f>45990</f>
        <v>45990.0</v>
      </c>
      <c r="R141" s="34" t="s">
        <v>51</v>
      </c>
      <c r="S141" s="35" t="n">
        <f>46518.5</f>
        <v>46518.5</v>
      </c>
      <c r="T141" s="32" t="n">
        <f>8047</f>
        <v>8047.0</v>
      </c>
      <c r="U141" s="32" t="n">
        <f>1100</f>
        <v>1100.0</v>
      </c>
      <c r="V141" s="32" t="n">
        <f>374566490</f>
        <v>3.7456649E8</v>
      </c>
      <c r="W141" s="32" t="n">
        <f>51706600</f>
        <v>5.17066E7</v>
      </c>
      <c r="X141" s="36" t="n">
        <f>20</f>
        <v>20.0</v>
      </c>
    </row>
    <row r="142">
      <c r="A142" s="27" t="s">
        <v>42</v>
      </c>
      <c r="B142" s="27" t="s">
        <v>471</v>
      </c>
      <c r="C142" s="27" t="s">
        <v>472</v>
      </c>
      <c r="D142" s="27" t="s">
        <v>473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21460</f>
        <v>21460.0</v>
      </c>
      <c r="L142" s="34" t="s">
        <v>48</v>
      </c>
      <c r="M142" s="33" t="n">
        <f>21685</f>
        <v>21685.0</v>
      </c>
      <c r="N142" s="34" t="s">
        <v>49</v>
      </c>
      <c r="O142" s="33" t="n">
        <f>20205</f>
        <v>20205.0</v>
      </c>
      <c r="P142" s="34" t="s">
        <v>50</v>
      </c>
      <c r="Q142" s="33" t="n">
        <f>20675</f>
        <v>20675.0</v>
      </c>
      <c r="R142" s="34" t="s">
        <v>51</v>
      </c>
      <c r="S142" s="35" t="n">
        <f>20913.25</f>
        <v>20913.25</v>
      </c>
      <c r="T142" s="32" t="n">
        <f>1465</f>
        <v>1465.0</v>
      </c>
      <c r="U142" s="32" t="str">
        <f>"－"</f>
        <v>－</v>
      </c>
      <c r="V142" s="32" t="n">
        <f>30557080</f>
        <v>3.055708E7</v>
      </c>
      <c r="W142" s="32" t="str">
        <f>"－"</f>
        <v>－</v>
      </c>
      <c r="X142" s="36" t="n">
        <f>20</f>
        <v>20.0</v>
      </c>
    </row>
    <row r="143">
      <c r="A143" s="27" t="s">
        <v>42</v>
      </c>
      <c r="B143" s="27" t="s">
        <v>474</v>
      </c>
      <c r="C143" s="27" t="s">
        <v>475</v>
      </c>
      <c r="D143" s="27" t="s">
        <v>476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8754</f>
        <v>8754.0</v>
      </c>
      <c r="L143" s="34" t="s">
        <v>48</v>
      </c>
      <c r="M143" s="33" t="n">
        <f>9151</f>
        <v>9151.0</v>
      </c>
      <c r="N143" s="34" t="s">
        <v>166</v>
      </c>
      <c r="O143" s="33" t="n">
        <f>8638</f>
        <v>8638.0</v>
      </c>
      <c r="P143" s="34" t="s">
        <v>86</v>
      </c>
      <c r="Q143" s="33" t="n">
        <f>8910</f>
        <v>8910.0</v>
      </c>
      <c r="R143" s="34" t="s">
        <v>51</v>
      </c>
      <c r="S143" s="35" t="n">
        <f>8848.85</f>
        <v>8848.85</v>
      </c>
      <c r="T143" s="32" t="n">
        <f>12792</f>
        <v>12792.0</v>
      </c>
      <c r="U143" s="32" t="str">
        <f>"－"</f>
        <v>－</v>
      </c>
      <c r="V143" s="32" t="n">
        <f>113034399</f>
        <v>1.13034399E8</v>
      </c>
      <c r="W143" s="32" t="str">
        <f>"－"</f>
        <v>－</v>
      </c>
      <c r="X143" s="36" t="n">
        <f>20</f>
        <v>20.0</v>
      </c>
    </row>
    <row r="144">
      <c r="A144" s="27" t="s">
        <v>42</v>
      </c>
      <c r="B144" s="27" t="s">
        <v>477</v>
      </c>
      <c r="C144" s="27" t="s">
        <v>478</v>
      </c>
      <c r="D144" s="27" t="s">
        <v>479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14810</f>
        <v>14810.0</v>
      </c>
      <c r="L144" s="34" t="s">
        <v>48</v>
      </c>
      <c r="M144" s="33" t="n">
        <f>15135</f>
        <v>15135.0</v>
      </c>
      <c r="N144" s="34" t="s">
        <v>48</v>
      </c>
      <c r="O144" s="33" t="n">
        <f>14170</f>
        <v>14170.0</v>
      </c>
      <c r="P144" s="34" t="s">
        <v>92</v>
      </c>
      <c r="Q144" s="33" t="n">
        <f>14595</f>
        <v>14595.0</v>
      </c>
      <c r="R144" s="34" t="s">
        <v>51</v>
      </c>
      <c r="S144" s="35" t="n">
        <f>14574.5</f>
        <v>14574.5</v>
      </c>
      <c r="T144" s="32" t="n">
        <f>10176</f>
        <v>10176.0</v>
      </c>
      <c r="U144" s="32" t="n">
        <f>7000</f>
        <v>7000.0</v>
      </c>
      <c r="V144" s="32" t="n">
        <f>148020245</f>
        <v>1.48020245E8</v>
      </c>
      <c r="W144" s="32" t="n">
        <f>102004000</f>
        <v>1.02004E8</v>
      </c>
      <c r="X144" s="36" t="n">
        <f>20</f>
        <v>20.0</v>
      </c>
    </row>
    <row r="145">
      <c r="A145" s="27" t="s">
        <v>42</v>
      </c>
      <c r="B145" s="27" t="s">
        <v>480</v>
      </c>
      <c r="C145" s="27" t="s">
        <v>481</v>
      </c>
      <c r="D145" s="27" t="s">
        <v>482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29300</f>
        <v>29300.0</v>
      </c>
      <c r="L145" s="34" t="s">
        <v>48</v>
      </c>
      <c r="M145" s="33" t="n">
        <f>30250</f>
        <v>30250.0</v>
      </c>
      <c r="N145" s="34" t="s">
        <v>166</v>
      </c>
      <c r="O145" s="33" t="n">
        <f>28750</f>
        <v>28750.0</v>
      </c>
      <c r="P145" s="34" t="s">
        <v>92</v>
      </c>
      <c r="Q145" s="33" t="n">
        <f>29650</f>
        <v>29650.0</v>
      </c>
      <c r="R145" s="34" t="s">
        <v>51</v>
      </c>
      <c r="S145" s="35" t="n">
        <f>29545</f>
        <v>29545.0</v>
      </c>
      <c r="T145" s="32" t="n">
        <f>777</f>
        <v>777.0</v>
      </c>
      <c r="U145" s="32" t="str">
        <f>"－"</f>
        <v>－</v>
      </c>
      <c r="V145" s="32" t="n">
        <f>22942160</f>
        <v>2.294216E7</v>
      </c>
      <c r="W145" s="32" t="str">
        <f>"－"</f>
        <v>－</v>
      </c>
      <c r="X145" s="36" t="n">
        <f>19</f>
        <v>19.0</v>
      </c>
    </row>
    <row r="146">
      <c r="A146" s="27" t="s">
        <v>42</v>
      </c>
      <c r="B146" s="27" t="s">
        <v>483</v>
      </c>
      <c r="C146" s="27" t="s">
        <v>484</v>
      </c>
      <c r="D146" s="27" t="s">
        <v>485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1217.5</f>
        <v>1217.5</v>
      </c>
      <c r="L146" s="34" t="s">
        <v>48</v>
      </c>
      <c r="M146" s="33" t="n">
        <f>1248</f>
        <v>1248.0</v>
      </c>
      <c r="N146" s="34" t="s">
        <v>166</v>
      </c>
      <c r="O146" s="33" t="n">
        <f>1182.5</f>
        <v>1182.5</v>
      </c>
      <c r="P146" s="34" t="s">
        <v>92</v>
      </c>
      <c r="Q146" s="33" t="n">
        <f>1226</f>
        <v>1226.0</v>
      </c>
      <c r="R146" s="34" t="s">
        <v>51</v>
      </c>
      <c r="S146" s="35" t="n">
        <f>1213.8</f>
        <v>1213.8</v>
      </c>
      <c r="T146" s="32" t="n">
        <f>901130</f>
        <v>901130.0</v>
      </c>
      <c r="U146" s="32" t="n">
        <f>489820</f>
        <v>489820.0</v>
      </c>
      <c r="V146" s="32" t="n">
        <f>1088093633</f>
        <v>1.088093633E9</v>
      </c>
      <c r="W146" s="32" t="n">
        <f>592358683</f>
        <v>5.92358683E8</v>
      </c>
      <c r="X146" s="36" t="n">
        <f>20</f>
        <v>20.0</v>
      </c>
    </row>
    <row r="147">
      <c r="A147" s="27" t="s">
        <v>42</v>
      </c>
      <c r="B147" s="27" t="s">
        <v>486</v>
      </c>
      <c r="C147" s="27" t="s">
        <v>487</v>
      </c>
      <c r="D147" s="27" t="s">
        <v>488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2381</f>
        <v>2381.0</v>
      </c>
      <c r="L147" s="34" t="s">
        <v>48</v>
      </c>
      <c r="M147" s="33" t="n">
        <f>2418</f>
        <v>2418.0</v>
      </c>
      <c r="N147" s="34" t="s">
        <v>49</v>
      </c>
      <c r="O147" s="33" t="n">
        <f>2283</f>
        <v>2283.0</v>
      </c>
      <c r="P147" s="34" t="s">
        <v>51</v>
      </c>
      <c r="Q147" s="33" t="n">
        <f>2283</f>
        <v>2283.0</v>
      </c>
      <c r="R147" s="34" t="s">
        <v>51</v>
      </c>
      <c r="S147" s="35" t="n">
        <f>2321.95</f>
        <v>2321.95</v>
      </c>
      <c r="T147" s="32" t="n">
        <f>5390</f>
        <v>5390.0</v>
      </c>
      <c r="U147" s="32" t="str">
        <f>"－"</f>
        <v>－</v>
      </c>
      <c r="V147" s="32" t="n">
        <f>12696790</f>
        <v>1.269679E7</v>
      </c>
      <c r="W147" s="32" t="str">
        <f>"－"</f>
        <v>－</v>
      </c>
      <c r="X147" s="36" t="n">
        <f>10</f>
        <v>10.0</v>
      </c>
    </row>
    <row r="148">
      <c r="A148" s="27" t="s">
        <v>42</v>
      </c>
      <c r="B148" s="27" t="s">
        <v>489</v>
      </c>
      <c r="C148" s="27" t="s">
        <v>490</v>
      </c>
      <c r="D148" s="27" t="s">
        <v>491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2523</f>
        <v>2523.0</v>
      </c>
      <c r="L148" s="34" t="s">
        <v>48</v>
      </c>
      <c r="M148" s="33" t="n">
        <f>2561.5</f>
        <v>2561.5</v>
      </c>
      <c r="N148" s="34" t="s">
        <v>49</v>
      </c>
      <c r="O148" s="33" t="n">
        <f>2408</f>
        <v>2408.0</v>
      </c>
      <c r="P148" s="34" t="s">
        <v>50</v>
      </c>
      <c r="Q148" s="33" t="n">
        <f>2468.5</f>
        <v>2468.5</v>
      </c>
      <c r="R148" s="34" t="s">
        <v>51</v>
      </c>
      <c r="S148" s="35" t="n">
        <f>2476.71</f>
        <v>2476.71</v>
      </c>
      <c r="T148" s="32" t="n">
        <f>2040</f>
        <v>2040.0</v>
      </c>
      <c r="U148" s="32" t="str">
        <f>"－"</f>
        <v>－</v>
      </c>
      <c r="V148" s="32" t="n">
        <f>5041820</f>
        <v>5041820.0</v>
      </c>
      <c r="W148" s="32" t="str">
        <f>"－"</f>
        <v>－</v>
      </c>
      <c r="X148" s="36" t="n">
        <f>14</f>
        <v>14.0</v>
      </c>
    </row>
    <row r="149">
      <c r="A149" s="27" t="s">
        <v>42</v>
      </c>
      <c r="B149" s="27" t="s">
        <v>492</v>
      </c>
      <c r="C149" s="27" t="s">
        <v>493</v>
      </c>
      <c r="D149" s="27" t="s">
        <v>494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1548.5</f>
        <v>1548.5</v>
      </c>
      <c r="L149" s="34" t="s">
        <v>48</v>
      </c>
      <c r="M149" s="33" t="n">
        <f>1554</f>
        <v>1554.0</v>
      </c>
      <c r="N149" s="34" t="s">
        <v>49</v>
      </c>
      <c r="O149" s="33" t="n">
        <f>1496</f>
        <v>1496.0</v>
      </c>
      <c r="P149" s="34" t="s">
        <v>51</v>
      </c>
      <c r="Q149" s="33" t="n">
        <f>1497</f>
        <v>1497.0</v>
      </c>
      <c r="R149" s="34" t="s">
        <v>51</v>
      </c>
      <c r="S149" s="35" t="n">
        <f>1521.2</f>
        <v>1521.2</v>
      </c>
      <c r="T149" s="32" t="n">
        <f>53440</f>
        <v>53440.0</v>
      </c>
      <c r="U149" s="32" t="str">
        <f>"－"</f>
        <v>－</v>
      </c>
      <c r="V149" s="32" t="n">
        <f>80427165</f>
        <v>8.0427165E7</v>
      </c>
      <c r="W149" s="32" t="str">
        <f>"－"</f>
        <v>－</v>
      </c>
      <c r="X149" s="36" t="n">
        <f>10</f>
        <v>10.0</v>
      </c>
    </row>
    <row r="150">
      <c r="A150" s="27" t="s">
        <v>42</v>
      </c>
      <c r="B150" s="27" t="s">
        <v>495</v>
      </c>
      <c r="C150" s="27" t="s">
        <v>496</v>
      </c>
      <c r="D150" s="27" t="s">
        <v>497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397.7</f>
        <v>397.7</v>
      </c>
      <c r="L150" s="34" t="s">
        <v>48</v>
      </c>
      <c r="M150" s="33" t="n">
        <f>413.9</f>
        <v>413.9</v>
      </c>
      <c r="N150" s="34" t="s">
        <v>166</v>
      </c>
      <c r="O150" s="33" t="n">
        <f>381.9</f>
        <v>381.9</v>
      </c>
      <c r="P150" s="34" t="s">
        <v>50</v>
      </c>
      <c r="Q150" s="33" t="n">
        <f>394.5</f>
        <v>394.5</v>
      </c>
      <c r="R150" s="34" t="s">
        <v>51</v>
      </c>
      <c r="S150" s="35" t="n">
        <f>400.09</f>
        <v>400.09</v>
      </c>
      <c r="T150" s="32" t="n">
        <f>230020180</f>
        <v>2.3002018E8</v>
      </c>
      <c r="U150" s="32" t="n">
        <f>142684460</f>
        <v>1.4268446E8</v>
      </c>
      <c r="V150" s="32" t="n">
        <f>92256343140</f>
        <v>9.225634314E10</v>
      </c>
      <c r="W150" s="32" t="n">
        <f>57436190327</f>
        <v>5.7436190327E10</v>
      </c>
      <c r="X150" s="36" t="n">
        <f>20</f>
        <v>20.0</v>
      </c>
    </row>
    <row r="151">
      <c r="A151" s="27" t="s">
        <v>42</v>
      </c>
      <c r="B151" s="27" t="s">
        <v>498</v>
      </c>
      <c r="C151" s="27" t="s">
        <v>499</v>
      </c>
      <c r="D151" s="27" t="s">
        <v>500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2690</f>
        <v>2690.0</v>
      </c>
      <c r="L151" s="34" t="s">
        <v>48</v>
      </c>
      <c r="M151" s="33" t="n">
        <f>2769</f>
        <v>2769.0</v>
      </c>
      <c r="N151" s="34" t="s">
        <v>51</v>
      </c>
      <c r="O151" s="33" t="n">
        <f>2657</f>
        <v>2657.0</v>
      </c>
      <c r="P151" s="34" t="s">
        <v>167</v>
      </c>
      <c r="Q151" s="33" t="n">
        <f>2764</f>
        <v>2764.0</v>
      </c>
      <c r="R151" s="34" t="s">
        <v>51</v>
      </c>
      <c r="S151" s="35" t="n">
        <f>2697.1</f>
        <v>2697.1</v>
      </c>
      <c r="T151" s="32" t="n">
        <f>1377014</f>
        <v>1377014.0</v>
      </c>
      <c r="U151" s="32" t="n">
        <f>671918</f>
        <v>671918.0</v>
      </c>
      <c r="V151" s="32" t="n">
        <f>3716682588</f>
        <v>3.716682588E9</v>
      </c>
      <c r="W151" s="32" t="n">
        <f>1811515952</f>
        <v>1.811515952E9</v>
      </c>
      <c r="X151" s="36" t="n">
        <f>20</f>
        <v>20.0</v>
      </c>
    </row>
    <row r="152">
      <c r="A152" s="27" t="s">
        <v>42</v>
      </c>
      <c r="B152" s="27" t="s">
        <v>501</v>
      </c>
      <c r="C152" s="27" t="s">
        <v>502</v>
      </c>
      <c r="D152" s="27" t="s">
        <v>503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3460</f>
        <v>3460.0</v>
      </c>
      <c r="L152" s="34" t="s">
        <v>48</v>
      </c>
      <c r="M152" s="33" t="n">
        <f>3590</f>
        <v>3590.0</v>
      </c>
      <c r="N152" s="34" t="s">
        <v>166</v>
      </c>
      <c r="O152" s="33" t="n">
        <f>3315</f>
        <v>3315.0</v>
      </c>
      <c r="P152" s="34" t="s">
        <v>50</v>
      </c>
      <c r="Q152" s="33" t="n">
        <f>3425</f>
        <v>3425.0</v>
      </c>
      <c r="R152" s="34" t="s">
        <v>51</v>
      </c>
      <c r="S152" s="35" t="n">
        <f>3475.25</f>
        <v>3475.25</v>
      </c>
      <c r="T152" s="32" t="n">
        <f>53136</f>
        <v>53136.0</v>
      </c>
      <c r="U152" s="32" t="n">
        <f>1442</f>
        <v>1442.0</v>
      </c>
      <c r="V152" s="32" t="n">
        <f>183280104</f>
        <v>1.83280104E8</v>
      </c>
      <c r="W152" s="32" t="n">
        <f>5004989</f>
        <v>5004989.0</v>
      </c>
      <c r="X152" s="36" t="n">
        <f>20</f>
        <v>20.0</v>
      </c>
    </row>
    <row r="153">
      <c r="A153" s="27" t="s">
        <v>42</v>
      </c>
      <c r="B153" s="27" t="s">
        <v>504</v>
      </c>
      <c r="C153" s="27" t="s">
        <v>505</v>
      </c>
      <c r="D153" s="27" t="s">
        <v>506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2264</f>
        <v>2264.0</v>
      </c>
      <c r="L153" s="34" t="s">
        <v>48</v>
      </c>
      <c r="M153" s="33" t="n">
        <f>2357</f>
        <v>2357.0</v>
      </c>
      <c r="N153" s="34" t="s">
        <v>49</v>
      </c>
      <c r="O153" s="33" t="n">
        <f>2175</f>
        <v>2175.0</v>
      </c>
      <c r="P153" s="34" t="s">
        <v>50</v>
      </c>
      <c r="Q153" s="33" t="n">
        <f>2258</f>
        <v>2258.0</v>
      </c>
      <c r="R153" s="34" t="s">
        <v>51</v>
      </c>
      <c r="S153" s="35" t="n">
        <f>2295.45</f>
        <v>2295.45</v>
      </c>
      <c r="T153" s="32" t="n">
        <f>58166</f>
        <v>58166.0</v>
      </c>
      <c r="U153" s="32" t="n">
        <f>8985</f>
        <v>8985.0</v>
      </c>
      <c r="V153" s="32" t="n">
        <f>131362952</f>
        <v>1.31362952E8</v>
      </c>
      <c r="W153" s="32" t="n">
        <f>20005944</f>
        <v>2.0005944E7</v>
      </c>
      <c r="X153" s="36" t="n">
        <f>20</f>
        <v>20.0</v>
      </c>
    </row>
    <row r="154">
      <c r="A154" s="27" t="s">
        <v>42</v>
      </c>
      <c r="B154" s="27" t="s">
        <v>507</v>
      </c>
      <c r="C154" s="27" t="s">
        <v>508</v>
      </c>
      <c r="D154" s="27" t="s">
        <v>509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2920</f>
        <v>2920.0</v>
      </c>
      <c r="L154" s="34" t="s">
        <v>48</v>
      </c>
      <c r="M154" s="33" t="n">
        <f>3205</f>
        <v>3205.0</v>
      </c>
      <c r="N154" s="34" t="s">
        <v>166</v>
      </c>
      <c r="O154" s="33" t="n">
        <f>2914</f>
        <v>2914.0</v>
      </c>
      <c r="P154" s="34" t="s">
        <v>48</v>
      </c>
      <c r="Q154" s="33" t="n">
        <f>3090</f>
        <v>3090.0</v>
      </c>
      <c r="R154" s="34" t="s">
        <v>51</v>
      </c>
      <c r="S154" s="35" t="n">
        <f>3046.9</f>
        <v>3046.9</v>
      </c>
      <c r="T154" s="32" t="n">
        <f>338546</f>
        <v>338546.0</v>
      </c>
      <c r="U154" s="32" t="n">
        <f>69544</f>
        <v>69544.0</v>
      </c>
      <c r="V154" s="32" t="n">
        <f>1032723452</f>
        <v>1.032723452E9</v>
      </c>
      <c r="W154" s="32" t="n">
        <f>210896208</f>
        <v>2.10896208E8</v>
      </c>
      <c r="X154" s="36" t="n">
        <f>20</f>
        <v>20.0</v>
      </c>
    </row>
    <row r="155">
      <c r="A155" s="27" t="s">
        <v>42</v>
      </c>
      <c r="B155" s="27" t="s">
        <v>510</v>
      </c>
      <c r="C155" s="27" t="s">
        <v>511</v>
      </c>
      <c r="D155" s="27" t="s">
        <v>512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11330</f>
        <v>11330.0</v>
      </c>
      <c r="L155" s="34" t="s">
        <v>48</v>
      </c>
      <c r="M155" s="33" t="n">
        <f>11600</f>
        <v>11600.0</v>
      </c>
      <c r="N155" s="34" t="s">
        <v>72</v>
      </c>
      <c r="O155" s="33" t="n">
        <f>10950</f>
        <v>10950.0</v>
      </c>
      <c r="P155" s="34" t="s">
        <v>114</v>
      </c>
      <c r="Q155" s="33" t="n">
        <f>11075</f>
        <v>11075.0</v>
      </c>
      <c r="R155" s="34" t="s">
        <v>51</v>
      </c>
      <c r="S155" s="35" t="n">
        <f>11141.5</f>
        <v>11141.5</v>
      </c>
      <c r="T155" s="32" t="n">
        <f>67640</f>
        <v>67640.0</v>
      </c>
      <c r="U155" s="32" t="n">
        <f>27497</f>
        <v>27497.0</v>
      </c>
      <c r="V155" s="32" t="n">
        <f>753293479</f>
        <v>7.53293479E8</v>
      </c>
      <c r="W155" s="32" t="n">
        <f>306426064</f>
        <v>3.06426064E8</v>
      </c>
      <c r="X155" s="36" t="n">
        <f>20</f>
        <v>20.0</v>
      </c>
    </row>
    <row r="156">
      <c r="A156" s="27" t="s">
        <v>42</v>
      </c>
      <c r="B156" s="27" t="s">
        <v>513</v>
      </c>
      <c r="C156" s="27" t="s">
        <v>514</v>
      </c>
      <c r="D156" s="27" t="s">
        <v>515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1.0</v>
      </c>
      <c r="K156" s="33" t="n">
        <f>2576</f>
        <v>2576.0</v>
      </c>
      <c r="L156" s="34" t="s">
        <v>48</v>
      </c>
      <c r="M156" s="33" t="n">
        <f>2947</f>
        <v>2947.0</v>
      </c>
      <c r="N156" s="34" t="s">
        <v>73</v>
      </c>
      <c r="O156" s="33" t="n">
        <f>2510</f>
        <v>2510.0</v>
      </c>
      <c r="P156" s="34" t="s">
        <v>86</v>
      </c>
      <c r="Q156" s="33" t="n">
        <f>2776</f>
        <v>2776.0</v>
      </c>
      <c r="R156" s="34" t="s">
        <v>51</v>
      </c>
      <c r="S156" s="35" t="n">
        <f>2712.05</f>
        <v>2712.05</v>
      </c>
      <c r="T156" s="32" t="n">
        <f>16285265</f>
        <v>1.6285265E7</v>
      </c>
      <c r="U156" s="32" t="n">
        <f>1005</f>
        <v>1005.0</v>
      </c>
      <c r="V156" s="32" t="n">
        <f>44188378053</f>
        <v>4.4188378053E10</v>
      </c>
      <c r="W156" s="32" t="n">
        <f>2544198</f>
        <v>2544198.0</v>
      </c>
      <c r="X156" s="36" t="n">
        <f>20</f>
        <v>20.0</v>
      </c>
    </row>
    <row r="157">
      <c r="A157" s="27" t="s">
        <v>42</v>
      </c>
      <c r="B157" s="27" t="s">
        <v>516</v>
      </c>
      <c r="C157" s="27" t="s">
        <v>517</v>
      </c>
      <c r="D157" s="27" t="s">
        <v>518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22190</f>
        <v>22190.0</v>
      </c>
      <c r="L157" s="34" t="s">
        <v>48</v>
      </c>
      <c r="M157" s="33" t="n">
        <f>24485</f>
        <v>24485.0</v>
      </c>
      <c r="N157" s="34" t="s">
        <v>61</v>
      </c>
      <c r="O157" s="33" t="n">
        <f>21950</f>
        <v>21950.0</v>
      </c>
      <c r="P157" s="34" t="s">
        <v>72</v>
      </c>
      <c r="Q157" s="33" t="n">
        <f>22950</f>
        <v>22950.0</v>
      </c>
      <c r="R157" s="34" t="s">
        <v>51</v>
      </c>
      <c r="S157" s="35" t="n">
        <f>23002</f>
        <v>23002.0</v>
      </c>
      <c r="T157" s="32" t="n">
        <f>7928</f>
        <v>7928.0</v>
      </c>
      <c r="U157" s="32" t="str">
        <f>"－"</f>
        <v>－</v>
      </c>
      <c r="V157" s="32" t="n">
        <f>184155555</f>
        <v>1.84155555E8</v>
      </c>
      <c r="W157" s="32" t="str">
        <f>"－"</f>
        <v>－</v>
      </c>
      <c r="X157" s="36" t="n">
        <f>20</f>
        <v>20.0</v>
      </c>
    </row>
    <row r="158">
      <c r="A158" s="27" t="s">
        <v>42</v>
      </c>
      <c r="B158" s="27" t="s">
        <v>519</v>
      </c>
      <c r="C158" s="27" t="s">
        <v>520</v>
      </c>
      <c r="D158" s="27" t="s">
        <v>521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2788.5</f>
        <v>2788.5</v>
      </c>
      <c r="L158" s="34" t="s">
        <v>48</v>
      </c>
      <c r="M158" s="33" t="n">
        <f>3097</f>
        <v>3097.0</v>
      </c>
      <c r="N158" s="34" t="s">
        <v>73</v>
      </c>
      <c r="O158" s="33" t="n">
        <f>2771.5</f>
        <v>2771.5</v>
      </c>
      <c r="P158" s="34" t="s">
        <v>51</v>
      </c>
      <c r="Q158" s="33" t="n">
        <f>2783</f>
        <v>2783.0</v>
      </c>
      <c r="R158" s="34" t="s">
        <v>51</v>
      </c>
      <c r="S158" s="35" t="n">
        <f>2898.63</f>
        <v>2898.63</v>
      </c>
      <c r="T158" s="32" t="n">
        <f>61110</f>
        <v>61110.0</v>
      </c>
      <c r="U158" s="32" t="str">
        <f>"－"</f>
        <v>－</v>
      </c>
      <c r="V158" s="32" t="n">
        <f>178943400</f>
        <v>1.789434E8</v>
      </c>
      <c r="W158" s="32" t="str">
        <f>"－"</f>
        <v>－</v>
      </c>
      <c r="X158" s="36" t="n">
        <f>20</f>
        <v>20.0</v>
      </c>
    </row>
    <row r="159">
      <c r="A159" s="27" t="s">
        <v>42</v>
      </c>
      <c r="B159" s="27" t="s">
        <v>522</v>
      </c>
      <c r="C159" s="27" t="s">
        <v>523</v>
      </c>
      <c r="D159" s="27" t="s">
        <v>524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11160</f>
        <v>11160.0</v>
      </c>
      <c r="L159" s="34" t="s">
        <v>48</v>
      </c>
      <c r="M159" s="33" t="n">
        <f>12255</f>
        <v>12255.0</v>
      </c>
      <c r="N159" s="34" t="s">
        <v>73</v>
      </c>
      <c r="O159" s="33" t="n">
        <f>10900</f>
        <v>10900.0</v>
      </c>
      <c r="P159" s="34" t="s">
        <v>92</v>
      </c>
      <c r="Q159" s="33" t="n">
        <f>11095</f>
        <v>11095.0</v>
      </c>
      <c r="R159" s="34" t="s">
        <v>51</v>
      </c>
      <c r="S159" s="35" t="n">
        <f>11404.5</f>
        <v>11404.5</v>
      </c>
      <c r="T159" s="32" t="n">
        <f>14292</f>
        <v>14292.0</v>
      </c>
      <c r="U159" s="32" t="str">
        <f>"－"</f>
        <v>－</v>
      </c>
      <c r="V159" s="32" t="n">
        <f>166261635</f>
        <v>1.66261635E8</v>
      </c>
      <c r="W159" s="32" t="str">
        <f>"－"</f>
        <v>－</v>
      </c>
      <c r="X159" s="36" t="n">
        <f>20</f>
        <v>20.0</v>
      </c>
    </row>
    <row r="160">
      <c r="A160" s="27" t="s">
        <v>42</v>
      </c>
      <c r="B160" s="27" t="s">
        <v>525</v>
      </c>
      <c r="C160" s="27" t="s">
        <v>526</v>
      </c>
      <c r="D160" s="27" t="s">
        <v>527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25355</f>
        <v>25355.0</v>
      </c>
      <c r="L160" s="34" t="s">
        <v>48</v>
      </c>
      <c r="M160" s="33" t="n">
        <f>29365</f>
        <v>29365.0</v>
      </c>
      <c r="N160" s="34" t="s">
        <v>264</v>
      </c>
      <c r="O160" s="33" t="n">
        <f>25200</f>
        <v>25200.0</v>
      </c>
      <c r="P160" s="34" t="s">
        <v>92</v>
      </c>
      <c r="Q160" s="33" t="n">
        <f>26730</f>
        <v>26730.0</v>
      </c>
      <c r="R160" s="34" t="s">
        <v>51</v>
      </c>
      <c r="S160" s="35" t="n">
        <f>27260.5</f>
        <v>27260.5</v>
      </c>
      <c r="T160" s="32" t="n">
        <f>12814</f>
        <v>12814.0</v>
      </c>
      <c r="U160" s="32" t="str">
        <f>"－"</f>
        <v>－</v>
      </c>
      <c r="V160" s="32" t="n">
        <f>351512470</f>
        <v>3.5151247E8</v>
      </c>
      <c r="W160" s="32" t="str">
        <f>"－"</f>
        <v>－</v>
      </c>
      <c r="X160" s="36" t="n">
        <f>20</f>
        <v>20.0</v>
      </c>
    </row>
    <row r="161">
      <c r="A161" s="27" t="s">
        <v>42</v>
      </c>
      <c r="B161" s="27" t="s">
        <v>528</v>
      </c>
      <c r="C161" s="27" t="s">
        <v>529</v>
      </c>
      <c r="D161" s="27" t="s">
        <v>530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18600</f>
        <v>18600.0</v>
      </c>
      <c r="L161" s="34" t="s">
        <v>48</v>
      </c>
      <c r="M161" s="33" t="n">
        <f>20850</f>
        <v>20850.0</v>
      </c>
      <c r="N161" s="34" t="s">
        <v>73</v>
      </c>
      <c r="O161" s="33" t="n">
        <f>18510</f>
        <v>18510.0</v>
      </c>
      <c r="P161" s="34" t="s">
        <v>48</v>
      </c>
      <c r="Q161" s="33" t="n">
        <f>19010</f>
        <v>19010.0</v>
      </c>
      <c r="R161" s="34" t="s">
        <v>51</v>
      </c>
      <c r="S161" s="35" t="n">
        <f>19666.58</f>
        <v>19666.58</v>
      </c>
      <c r="T161" s="32" t="n">
        <f>553</f>
        <v>553.0</v>
      </c>
      <c r="U161" s="32" t="str">
        <f>"－"</f>
        <v>－</v>
      </c>
      <c r="V161" s="32" t="n">
        <f>10855065</f>
        <v>1.0855065E7</v>
      </c>
      <c r="W161" s="32" t="str">
        <f>"－"</f>
        <v>－</v>
      </c>
      <c r="X161" s="36" t="n">
        <f>19</f>
        <v>19.0</v>
      </c>
    </row>
    <row r="162">
      <c r="A162" s="27" t="s">
        <v>42</v>
      </c>
      <c r="B162" s="27" t="s">
        <v>531</v>
      </c>
      <c r="C162" s="27" t="s">
        <v>532</v>
      </c>
      <c r="D162" s="27" t="s">
        <v>533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10.0</v>
      </c>
      <c r="K162" s="33" t="n">
        <f>51380</f>
        <v>51380.0</v>
      </c>
      <c r="L162" s="34" t="s">
        <v>48</v>
      </c>
      <c r="M162" s="33" t="n">
        <f>52100</f>
        <v>52100.0</v>
      </c>
      <c r="N162" s="34" t="s">
        <v>114</v>
      </c>
      <c r="O162" s="33" t="n">
        <f>50880</f>
        <v>50880.0</v>
      </c>
      <c r="P162" s="34" t="s">
        <v>86</v>
      </c>
      <c r="Q162" s="33" t="n">
        <f>52000</f>
        <v>52000.0</v>
      </c>
      <c r="R162" s="34" t="s">
        <v>51</v>
      </c>
      <c r="S162" s="35" t="n">
        <f>51472.5</f>
        <v>51472.5</v>
      </c>
      <c r="T162" s="32" t="n">
        <f>7360</f>
        <v>7360.0</v>
      </c>
      <c r="U162" s="32" t="n">
        <f>60</f>
        <v>60.0</v>
      </c>
      <c r="V162" s="32" t="n">
        <f>378372100</f>
        <v>3.783721E8</v>
      </c>
      <c r="W162" s="32" t="n">
        <f>3085500</f>
        <v>3085500.0</v>
      </c>
      <c r="X162" s="36" t="n">
        <f>20</f>
        <v>20.0</v>
      </c>
    </row>
    <row r="163">
      <c r="A163" s="27" t="s">
        <v>42</v>
      </c>
      <c r="B163" s="27" t="s">
        <v>534</v>
      </c>
      <c r="C163" s="27" t="s">
        <v>535</v>
      </c>
      <c r="D163" s="27" t="s">
        <v>536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100.0</v>
      </c>
      <c r="K163" s="33" t="n">
        <f>246.7</f>
        <v>246.7</v>
      </c>
      <c r="L163" s="34" t="s">
        <v>48</v>
      </c>
      <c r="M163" s="33" t="n">
        <f>260.7</f>
        <v>260.7</v>
      </c>
      <c r="N163" s="34" t="s">
        <v>49</v>
      </c>
      <c r="O163" s="33" t="n">
        <f>243.5</f>
        <v>243.5</v>
      </c>
      <c r="P163" s="34" t="s">
        <v>50</v>
      </c>
      <c r="Q163" s="33" t="n">
        <f>254.4</f>
        <v>254.4</v>
      </c>
      <c r="R163" s="34" t="s">
        <v>51</v>
      </c>
      <c r="S163" s="35" t="n">
        <f>253.42</f>
        <v>253.42</v>
      </c>
      <c r="T163" s="32" t="n">
        <f>13766600</f>
        <v>1.37666E7</v>
      </c>
      <c r="U163" s="32" t="n">
        <f>1200</f>
        <v>1200.0</v>
      </c>
      <c r="V163" s="32" t="n">
        <f>3480334690</f>
        <v>3.48033469E9</v>
      </c>
      <c r="W163" s="32" t="n">
        <f>305810</f>
        <v>305810.0</v>
      </c>
      <c r="X163" s="36" t="n">
        <f>20</f>
        <v>20.0</v>
      </c>
    </row>
    <row r="164">
      <c r="A164" s="27" t="s">
        <v>42</v>
      </c>
      <c r="B164" s="27" t="s">
        <v>537</v>
      </c>
      <c r="C164" s="27" t="s">
        <v>538</v>
      </c>
      <c r="D164" s="27" t="s">
        <v>539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36740</f>
        <v>36740.0</v>
      </c>
      <c r="L164" s="34" t="s">
        <v>48</v>
      </c>
      <c r="M164" s="33" t="n">
        <f>39390</f>
        <v>39390.0</v>
      </c>
      <c r="N164" s="34" t="s">
        <v>166</v>
      </c>
      <c r="O164" s="33" t="n">
        <f>36580</f>
        <v>36580.0</v>
      </c>
      <c r="P164" s="34" t="s">
        <v>48</v>
      </c>
      <c r="Q164" s="33" t="n">
        <f>37970</f>
        <v>37970.0</v>
      </c>
      <c r="R164" s="34" t="s">
        <v>51</v>
      </c>
      <c r="S164" s="35" t="n">
        <f>37565</f>
        <v>37565.0</v>
      </c>
      <c r="T164" s="32" t="n">
        <f>7020</f>
        <v>7020.0</v>
      </c>
      <c r="U164" s="32" t="n">
        <f>40</f>
        <v>40.0</v>
      </c>
      <c r="V164" s="32" t="n">
        <f>263432000</f>
        <v>2.63432E8</v>
      </c>
      <c r="W164" s="32" t="n">
        <f>1488200</f>
        <v>1488200.0</v>
      </c>
      <c r="X164" s="36" t="n">
        <f>20</f>
        <v>20.0</v>
      </c>
    </row>
    <row r="165">
      <c r="A165" s="27" t="s">
        <v>42</v>
      </c>
      <c r="B165" s="27" t="s">
        <v>540</v>
      </c>
      <c r="C165" s="27" t="s">
        <v>541</v>
      </c>
      <c r="D165" s="27" t="s">
        <v>542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3928</f>
        <v>3928.0</v>
      </c>
      <c r="L165" s="34" t="s">
        <v>48</v>
      </c>
      <c r="M165" s="33" t="n">
        <f>4096</f>
        <v>4096.0</v>
      </c>
      <c r="N165" s="34" t="s">
        <v>114</v>
      </c>
      <c r="O165" s="33" t="n">
        <f>3778</f>
        <v>3778.0</v>
      </c>
      <c r="P165" s="34" t="s">
        <v>50</v>
      </c>
      <c r="Q165" s="33" t="n">
        <f>3902</f>
        <v>3902.0</v>
      </c>
      <c r="R165" s="34" t="s">
        <v>51</v>
      </c>
      <c r="S165" s="35" t="n">
        <f>3961.95</f>
        <v>3961.95</v>
      </c>
      <c r="T165" s="32" t="n">
        <f>111590</f>
        <v>111590.0</v>
      </c>
      <c r="U165" s="32" t="str">
        <f>"－"</f>
        <v>－</v>
      </c>
      <c r="V165" s="32" t="n">
        <f>441102820</f>
        <v>4.4110282E8</v>
      </c>
      <c r="W165" s="32" t="str">
        <f>"－"</f>
        <v>－</v>
      </c>
      <c r="X165" s="36" t="n">
        <f>20</f>
        <v>20.0</v>
      </c>
    </row>
    <row r="166">
      <c r="A166" s="27" t="s">
        <v>42</v>
      </c>
      <c r="B166" s="27" t="s">
        <v>543</v>
      </c>
      <c r="C166" s="27" t="s">
        <v>544</v>
      </c>
      <c r="D166" s="27" t="s">
        <v>545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1739.5</f>
        <v>1739.5</v>
      </c>
      <c r="L166" s="34" t="s">
        <v>48</v>
      </c>
      <c r="M166" s="33" t="n">
        <f>1799</f>
        <v>1799.0</v>
      </c>
      <c r="N166" s="34" t="s">
        <v>49</v>
      </c>
      <c r="O166" s="33" t="n">
        <f>1648.5</f>
        <v>1648.5</v>
      </c>
      <c r="P166" s="34" t="s">
        <v>50</v>
      </c>
      <c r="Q166" s="33" t="n">
        <f>1695</f>
        <v>1695.0</v>
      </c>
      <c r="R166" s="34" t="s">
        <v>51</v>
      </c>
      <c r="S166" s="35" t="n">
        <f>1744.18</f>
        <v>1744.18</v>
      </c>
      <c r="T166" s="32" t="n">
        <f>100510</f>
        <v>100510.0</v>
      </c>
      <c r="U166" s="32" t="str">
        <f>"－"</f>
        <v>－</v>
      </c>
      <c r="V166" s="32" t="n">
        <f>172603000</f>
        <v>1.72603E8</v>
      </c>
      <c r="W166" s="32" t="str">
        <f>"－"</f>
        <v>－</v>
      </c>
      <c r="X166" s="36" t="n">
        <f>20</f>
        <v>20.0</v>
      </c>
    </row>
    <row r="167">
      <c r="A167" s="27" t="s">
        <v>42</v>
      </c>
      <c r="B167" s="27" t="s">
        <v>546</v>
      </c>
      <c r="C167" s="27" t="s">
        <v>547</v>
      </c>
      <c r="D167" s="27" t="s">
        <v>548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100.0</v>
      </c>
      <c r="K167" s="33" t="n">
        <f>203</f>
        <v>203.0</v>
      </c>
      <c r="L167" s="34" t="s">
        <v>48</v>
      </c>
      <c r="M167" s="33" t="n">
        <f>226</f>
        <v>226.0</v>
      </c>
      <c r="N167" s="34" t="s">
        <v>73</v>
      </c>
      <c r="O167" s="33" t="n">
        <f>197.9</f>
        <v>197.9</v>
      </c>
      <c r="P167" s="34" t="s">
        <v>92</v>
      </c>
      <c r="Q167" s="33" t="n">
        <f>203.1</f>
        <v>203.1</v>
      </c>
      <c r="R167" s="34" t="s">
        <v>51</v>
      </c>
      <c r="S167" s="35" t="n">
        <f>207.83</f>
        <v>207.83</v>
      </c>
      <c r="T167" s="32" t="n">
        <f>435600</f>
        <v>435600.0</v>
      </c>
      <c r="U167" s="32" t="str">
        <f>"－"</f>
        <v>－</v>
      </c>
      <c r="V167" s="32" t="n">
        <f>91711670</f>
        <v>9.171167E7</v>
      </c>
      <c r="W167" s="32" t="str">
        <f>"－"</f>
        <v>－</v>
      </c>
      <c r="X167" s="36" t="n">
        <f>20</f>
        <v>20.0</v>
      </c>
    </row>
    <row r="168">
      <c r="A168" s="27" t="s">
        <v>42</v>
      </c>
      <c r="B168" s="27" t="s">
        <v>549</v>
      </c>
      <c r="C168" s="27" t="s">
        <v>550</v>
      </c>
      <c r="D168" s="27" t="s">
        <v>551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1551</f>
        <v>1551.0</v>
      </c>
      <c r="L168" s="34" t="s">
        <v>48</v>
      </c>
      <c r="M168" s="33" t="n">
        <f>1944</f>
        <v>1944.0</v>
      </c>
      <c r="N168" s="34" t="s">
        <v>114</v>
      </c>
      <c r="O168" s="33" t="n">
        <f>1509.5</f>
        <v>1509.5</v>
      </c>
      <c r="P168" s="34" t="s">
        <v>72</v>
      </c>
      <c r="Q168" s="33" t="n">
        <f>1767</f>
        <v>1767.0</v>
      </c>
      <c r="R168" s="34" t="s">
        <v>51</v>
      </c>
      <c r="S168" s="35" t="n">
        <f>1707.28</f>
        <v>1707.28</v>
      </c>
      <c r="T168" s="32" t="n">
        <f>35110</f>
        <v>35110.0</v>
      </c>
      <c r="U168" s="32" t="str">
        <f>"－"</f>
        <v>－</v>
      </c>
      <c r="V168" s="32" t="n">
        <f>61805100</f>
        <v>6.18051E7</v>
      </c>
      <c r="W168" s="32" t="str">
        <f>"－"</f>
        <v>－</v>
      </c>
      <c r="X168" s="36" t="n">
        <f>20</f>
        <v>20.0</v>
      </c>
    </row>
    <row r="169">
      <c r="A169" s="27" t="s">
        <v>42</v>
      </c>
      <c r="B169" s="27" t="s">
        <v>552</v>
      </c>
      <c r="C169" s="27" t="s">
        <v>553</v>
      </c>
      <c r="D169" s="27" t="s">
        <v>554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584.5</f>
        <v>584.5</v>
      </c>
      <c r="L169" s="34" t="s">
        <v>48</v>
      </c>
      <c r="M169" s="33" t="n">
        <f>769.9</f>
        <v>769.9</v>
      </c>
      <c r="N169" s="34" t="s">
        <v>434</v>
      </c>
      <c r="O169" s="33" t="n">
        <f>582.5</f>
        <v>582.5</v>
      </c>
      <c r="P169" s="34" t="s">
        <v>48</v>
      </c>
      <c r="Q169" s="33" t="n">
        <f>700</f>
        <v>700.0</v>
      </c>
      <c r="R169" s="34" t="s">
        <v>51</v>
      </c>
      <c r="S169" s="35" t="n">
        <f>659.85</f>
        <v>659.85</v>
      </c>
      <c r="T169" s="32" t="n">
        <f>244830</f>
        <v>244830.0</v>
      </c>
      <c r="U169" s="32" t="str">
        <f>"－"</f>
        <v>－</v>
      </c>
      <c r="V169" s="32" t="n">
        <f>169403896</f>
        <v>1.69403896E8</v>
      </c>
      <c r="W169" s="32" t="str">
        <f>"－"</f>
        <v>－</v>
      </c>
      <c r="X169" s="36" t="n">
        <f>20</f>
        <v>20.0</v>
      </c>
    </row>
    <row r="170">
      <c r="A170" s="27" t="s">
        <v>42</v>
      </c>
      <c r="B170" s="27" t="s">
        <v>555</v>
      </c>
      <c r="C170" s="27" t="s">
        <v>556</v>
      </c>
      <c r="D170" s="27" t="s">
        <v>557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2551.5</f>
        <v>2551.5</v>
      </c>
      <c r="L170" s="34" t="s">
        <v>48</v>
      </c>
      <c r="M170" s="33" t="n">
        <f>2749.5</f>
        <v>2749.5</v>
      </c>
      <c r="N170" s="34" t="s">
        <v>114</v>
      </c>
      <c r="O170" s="33" t="n">
        <f>2488.5</f>
        <v>2488.5</v>
      </c>
      <c r="P170" s="34" t="s">
        <v>48</v>
      </c>
      <c r="Q170" s="33" t="n">
        <f>2565</f>
        <v>2565.0</v>
      </c>
      <c r="R170" s="34" t="s">
        <v>51</v>
      </c>
      <c r="S170" s="35" t="n">
        <f>2589.03</f>
        <v>2589.03</v>
      </c>
      <c r="T170" s="32" t="n">
        <f>20880</f>
        <v>20880.0</v>
      </c>
      <c r="U170" s="32" t="str">
        <f>"－"</f>
        <v>－</v>
      </c>
      <c r="V170" s="32" t="n">
        <f>54561655</f>
        <v>5.4561655E7</v>
      </c>
      <c r="W170" s="32" t="str">
        <f>"－"</f>
        <v>－</v>
      </c>
      <c r="X170" s="36" t="n">
        <f>20</f>
        <v>20.0</v>
      </c>
    </row>
    <row r="171">
      <c r="A171" s="27" t="s">
        <v>42</v>
      </c>
      <c r="B171" s="27" t="s">
        <v>558</v>
      </c>
      <c r="C171" s="27" t="s">
        <v>559</v>
      </c>
      <c r="D171" s="27" t="s">
        <v>560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862</f>
        <v>862.0</v>
      </c>
      <c r="L171" s="34" t="s">
        <v>48</v>
      </c>
      <c r="M171" s="33" t="n">
        <f>1209.5</f>
        <v>1209.5</v>
      </c>
      <c r="N171" s="34" t="s">
        <v>114</v>
      </c>
      <c r="O171" s="33" t="n">
        <f>839.3</f>
        <v>839.3</v>
      </c>
      <c r="P171" s="34" t="s">
        <v>48</v>
      </c>
      <c r="Q171" s="33" t="n">
        <f>976.1</f>
        <v>976.1</v>
      </c>
      <c r="R171" s="34" t="s">
        <v>51</v>
      </c>
      <c r="S171" s="35" t="n">
        <f>947.38</f>
        <v>947.38</v>
      </c>
      <c r="T171" s="32" t="n">
        <f>600750</f>
        <v>600750.0</v>
      </c>
      <c r="U171" s="32" t="str">
        <f>"－"</f>
        <v>－</v>
      </c>
      <c r="V171" s="32" t="n">
        <f>593832665</f>
        <v>5.93832665E8</v>
      </c>
      <c r="W171" s="32" t="str">
        <f>"－"</f>
        <v>－</v>
      </c>
      <c r="X171" s="36" t="n">
        <f>20</f>
        <v>20.0</v>
      </c>
    </row>
    <row r="172">
      <c r="A172" s="27" t="s">
        <v>42</v>
      </c>
      <c r="B172" s="27" t="s">
        <v>561</v>
      </c>
      <c r="C172" s="27" t="s">
        <v>562</v>
      </c>
      <c r="D172" s="27" t="s">
        <v>563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636.8</f>
        <v>636.8</v>
      </c>
      <c r="L172" s="34" t="s">
        <v>48</v>
      </c>
      <c r="M172" s="33" t="n">
        <f>747.9</f>
        <v>747.9</v>
      </c>
      <c r="N172" s="34" t="s">
        <v>73</v>
      </c>
      <c r="O172" s="33" t="n">
        <f>628.3</f>
        <v>628.3</v>
      </c>
      <c r="P172" s="34" t="s">
        <v>72</v>
      </c>
      <c r="Q172" s="33" t="n">
        <f>739.9</f>
        <v>739.9</v>
      </c>
      <c r="R172" s="34" t="s">
        <v>51</v>
      </c>
      <c r="S172" s="35" t="n">
        <f>696.08</f>
        <v>696.08</v>
      </c>
      <c r="T172" s="32" t="n">
        <f>1351880</f>
        <v>1351880.0</v>
      </c>
      <c r="U172" s="32" t="str">
        <f>"－"</f>
        <v>－</v>
      </c>
      <c r="V172" s="32" t="n">
        <f>959922427</f>
        <v>9.59922427E8</v>
      </c>
      <c r="W172" s="32" t="str">
        <f>"－"</f>
        <v>－</v>
      </c>
      <c r="X172" s="36" t="n">
        <f>20</f>
        <v>20.0</v>
      </c>
    </row>
    <row r="173">
      <c r="A173" s="27" t="s">
        <v>42</v>
      </c>
      <c r="B173" s="27" t="s">
        <v>564</v>
      </c>
      <c r="C173" s="27" t="s">
        <v>565</v>
      </c>
      <c r="D173" s="27" t="s">
        <v>566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100.0</v>
      </c>
      <c r="K173" s="33" t="n">
        <f>2.9</f>
        <v>2.9</v>
      </c>
      <c r="L173" s="34" t="s">
        <v>48</v>
      </c>
      <c r="M173" s="33" t="n">
        <f>7.4</f>
        <v>7.4</v>
      </c>
      <c r="N173" s="34" t="s">
        <v>73</v>
      </c>
      <c r="O173" s="33" t="n">
        <f>2.9</f>
        <v>2.9</v>
      </c>
      <c r="P173" s="34" t="s">
        <v>48</v>
      </c>
      <c r="Q173" s="33" t="n">
        <f>4</f>
        <v>4.0</v>
      </c>
      <c r="R173" s="34" t="s">
        <v>51</v>
      </c>
      <c r="S173" s="35" t="n">
        <f>3.71</f>
        <v>3.71</v>
      </c>
      <c r="T173" s="32" t="n">
        <f>2012824200</f>
        <v>2.0128242E9</v>
      </c>
      <c r="U173" s="32" t="n">
        <f>3208600</f>
        <v>3208600.0</v>
      </c>
      <c r="V173" s="32" t="n">
        <f>8879458890</f>
        <v>8.87945889E9</v>
      </c>
      <c r="W173" s="32" t="n">
        <f>11727520</f>
        <v>1.172752E7</v>
      </c>
      <c r="X173" s="36" t="n">
        <f>20</f>
        <v>20.0</v>
      </c>
    </row>
    <row r="174">
      <c r="A174" s="27" t="s">
        <v>42</v>
      </c>
      <c r="B174" s="27" t="s">
        <v>567</v>
      </c>
      <c r="C174" s="27" t="s">
        <v>568</v>
      </c>
      <c r="D174" s="27" t="s">
        <v>569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1204</f>
        <v>1204.0</v>
      </c>
      <c r="L174" s="34" t="s">
        <v>48</v>
      </c>
      <c r="M174" s="33" t="n">
        <f>1375.5</f>
        <v>1375.5</v>
      </c>
      <c r="N174" s="34" t="s">
        <v>73</v>
      </c>
      <c r="O174" s="33" t="n">
        <f>1185.5</f>
        <v>1185.5</v>
      </c>
      <c r="P174" s="34" t="s">
        <v>48</v>
      </c>
      <c r="Q174" s="33" t="n">
        <f>1294.5</f>
        <v>1294.5</v>
      </c>
      <c r="R174" s="34" t="s">
        <v>51</v>
      </c>
      <c r="S174" s="35" t="n">
        <f>1271.9</f>
        <v>1271.9</v>
      </c>
      <c r="T174" s="32" t="n">
        <f>473450</f>
        <v>473450.0</v>
      </c>
      <c r="U174" s="32" t="str">
        <f>"－"</f>
        <v>－</v>
      </c>
      <c r="V174" s="32" t="n">
        <f>603295105</f>
        <v>6.03295105E8</v>
      </c>
      <c r="W174" s="32" t="str">
        <f>"－"</f>
        <v>－</v>
      </c>
      <c r="X174" s="36" t="n">
        <f>20</f>
        <v>20.0</v>
      </c>
    </row>
    <row r="175">
      <c r="A175" s="27" t="s">
        <v>42</v>
      </c>
      <c r="B175" s="27" t="s">
        <v>570</v>
      </c>
      <c r="C175" s="27" t="s">
        <v>571</v>
      </c>
      <c r="D175" s="27" t="s">
        <v>572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1.0</v>
      </c>
      <c r="K175" s="33" t="n">
        <f>5240</f>
        <v>5240.0</v>
      </c>
      <c r="L175" s="34" t="s">
        <v>48</v>
      </c>
      <c r="M175" s="33" t="n">
        <f>6090</f>
        <v>6090.0</v>
      </c>
      <c r="N175" s="34" t="s">
        <v>434</v>
      </c>
      <c r="O175" s="33" t="n">
        <f>5160</f>
        <v>5160.0</v>
      </c>
      <c r="P175" s="34" t="s">
        <v>86</v>
      </c>
      <c r="Q175" s="33" t="n">
        <f>5960</f>
        <v>5960.0</v>
      </c>
      <c r="R175" s="34" t="s">
        <v>51</v>
      </c>
      <c r="S175" s="35" t="n">
        <f>5616</f>
        <v>5616.0</v>
      </c>
      <c r="T175" s="32" t="n">
        <f>5944</f>
        <v>5944.0</v>
      </c>
      <c r="U175" s="32" t="str">
        <f>"－"</f>
        <v>－</v>
      </c>
      <c r="V175" s="32" t="n">
        <f>33680390</f>
        <v>3.368039E7</v>
      </c>
      <c r="W175" s="32" t="str">
        <f>"－"</f>
        <v>－</v>
      </c>
      <c r="X175" s="36" t="n">
        <f>20</f>
        <v>20.0</v>
      </c>
    </row>
    <row r="176">
      <c r="A176" s="27" t="s">
        <v>42</v>
      </c>
      <c r="B176" s="27" t="s">
        <v>573</v>
      </c>
      <c r="C176" s="27" t="s">
        <v>574</v>
      </c>
      <c r="D176" s="27" t="s">
        <v>575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100.0</v>
      </c>
      <c r="K176" s="33" t="n">
        <f>592</f>
        <v>592.0</v>
      </c>
      <c r="L176" s="34" t="s">
        <v>48</v>
      </c>
      <c r="M176" s="33" t="n">
        <f>603.4</f>
        <v>603.4</v>
      </c>
      <c r="N176" s="34" t="s">
        <v>48</v>
      </c>
      <c r="O176" s="33" t="n">
        <f>537.1</f>
        <v>537.1</v>
      </c>
      <c r="P176" s="34" t="s">
        <v>50</v>
      </c>
      <c r="Q176" s="33" t="n">
        <f>550.2</f>
        <v>550.2</v>
      </c>
      <c r="R176" s="34" t="s">
        <v>51</v>
      </c>
      <c r="S176" s="35" t="n">
        <f>578.39</f>
        <v>578.39</v>
      </c>
      <c r="T176" s="32" t="n">
        <f>284500</f>
        <v>284500.0</v>
      </c>
      <c r="U176" s="32" t="str">
        <f>"－"</f>
        <v>－</v>
      </c>
      <c r="V176" s="32" t="n">
        <f>165167410</f>
        <v>1.6516741E8</v>
      </c>
      <c r="W176" s="32" t="str">
        <f>"－"</f>
        <v>－</v>
      </c>
      <c r="X176" s="36" t="n">
        <f>20</f>
        <v>20.0</v>
      </c>
    </row>
    <row r="177">
      <c r="A177" s="27" t="s">
        <v>42</v>
      </c>
      <c r="B177" s="27" t="s">
        <v>576</v>
      </c>
      <c r="C177" s="27" t="s">
        <v>577</v>
      </c>
      <c r="D177" s="27" t="s">
        <v>578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5114</f>
        <v>5114.0</v>
      </c>
      <c r="L177" s="34" t="s">
        <v>48</v>
      </c>
      <c r="M177" s="33" t="n">
        <f>5479</f>
        <v>5479.0</v>
      </c>
      <c r="N177" s="34" t="s">
        <v>61</v>
      </c>
      <c r="O177" s="33" t="n">
        <f>4981</f>
        <v>4981.0</v>
      </c>
      <c r="P177" s="34" t="s">
        <v>50</v>
      </c>
      <c r="Q177" s="33" t="n">
        <f>5036</f>
        <v>5036.0</v>
      </c>
      <c r="R177" s="34" t="s">
        <v>51</v>
      </c>
      <c r="S177" s="35" t="n">
        <f>5210.8</f>
        <v>5210.8</v>
      </c>
      <c r="T177" s="32" t="n">
        <f>44220</f>
        <v>44220.0</v>
      </c>
      <c r="U177" s="32" t="str">
        <f>"－"</f>
        <v>－</v>
      </c>
      <c r="V177" s="32" t="n">
        <f>230971980</f>
        <v>2.3097198E8</v>
      </c>
      <c r="W177" s="32" t="str">
        <f>"－"</f>
        <v>－</v>
      </c>
      <c r="X177" s="36" t="n">
        <f>20</f>
        <v>20.0</v>
      </c>
    </row>
    <row r="178">
      <c r="A178" s="27" t="s">
        <v>42</v>
      </c>
      <c r="B178" s="27" t="s">
        <v>579</v>
      </c>
      <c r="C178" s="27" t="s">
        <v>580</v>
      </c>
      <c r="D178" s="27" t="s">
        <v>581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3685</f>
        <v>3685.0</v>
      </c>
      <c r="L178" s="34" t="s">
        <v>48</v>
      </c>
      <c r="M178" s="33" t="n">
        <f>4080</f>
        <v>4080.0</v>
      </c>
      <c r="N178" s="34" t="s">
        <v>114</v>
      </c>
      <c r="O178" s="33" t="n">
        <f>3611</f>
        <v>3611.0</v>
      </c>
      <c r="P178" s="34" t="s">
        <v>48</v>
      </c>
      <c r="Q178" s="33" t="n">
        <f>3964</f>
        <v>3964.0</v>
      </c>
      <c r="R178" s="34" t="s">
        <v>51</v>
      </c>
      <c r="S178" s="35" t="n">
        <f>3927.1</f>
        <v>3927.1</v>
      </c>
      <c r="T178" s="32" t="n">
        <f>84770</f>
        <v>84770.0</v>
      </c>
      <c r="U178" s="32" t="str">
        <f>"－"</f>
        <v>－</v>
      </c>
      <c r="V178" s="32" t="n">
        <f>333622620</f>
        <v>3.3362262E8</v>
      </c>
      <c r="W178" s="32" t="str">
        <f>"－"</f>
        <v>－</v>
      </c>
      <c r="X178" s="36" t="n">
        <f>20</f>
        <v>20.0</v>
      </c>
    </row>
    <row r="179">
      <c r="A179" s="27" t="s">
        <v>42</v>
      </c>
      <c r="B179" s="27" t="s">
        <v>582</v>
      </c>
      <c r="C179" s="27" t="s">
        <v>583</v>
      </c>
      <c r="D179" s="27" t="s">
        <v>584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100.0</v>
      </c>
      <c r="K179" s="33" t="n">
        <f>129.8</f>
        <v>129.8</v>
      </c>
      <c r="L179" s="34" t="s">
        <v>48</v>
      </c>
      <c r="M179" s="33" t="n">
        <f>153.5</f>
        <v>153.5</v>
      </c>
      <c r="N179" s="34" t="s">
        <v>73</v>
      </c>
      <c r="O179" s="33" t="n">
        <f>126.2</f>
        <v>126.2</v>
      </c>
      <c r="P179" s="34" t="s">
        <v>72</v>
      </c>
      <c r="Q179" s="33" t="n">
        <f>147.5</f>
        <v>147.5</v>
      </c>
      <c r="R179" s="34" t="s">
        <v>51</v>
      </c>
      <c r="S179" s="35" t="n">
        <f>141.96</f>
        <v>141.96</v>
      </c>
      <c r="T179" s="32" t="n">
        <f>26104500</f>
        <v>2.61045E7</v>
      </c>
      <c r="U179" s="32" t="str">
        <f>"－"</f>
        <v>－</v>
      </c>
      <c r="V179" s="32" t="n">
        <f>3747496330</f>
        <v>3.74749633E9</v>
      </c>
      <c r="W179" s="32" t="str">
        <f>"－"</f>
        <v>－</v>
      </c>
      <c r="X179" s="36" t="n">
        <f>20</f>
        <v>20.0</v>
      </c>
    </row>
    <row r="180">
      <c r="A180" s="27" t="s">
        <v>42</v>
      </c>
      <c r="B180" s="27" t="s">
        <v>585</v>
      </c>
      <c r="C180" s="27" t="s">
        <v>586</v>
      </c>
      <c r="D180" s="27" t="s">
        <v>587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100.0</v>
      </c>
      <c r="K180" s="33" t="n">
        <f>170</f>
        <v>170.0</v>
      </c>
      <c r="L180" s="34" t="s">
        <v>48</v>
      </c>
      <c r="M180" s="33" t="n">
        <f>200</f>
        <v>200.0</v>
      </c>
      <c r="N180" s="34" t="s">
        <v>51</v>
      </c>
      <c r="O180" s="33" t="n">
        <f>168.5</f>
        <v>168.5</v>
      </c>
      <c r="P180" s="34" t="s">
        <v>72</v>
      </c>
      <c r="Q180" s="33" t="n">
        <f>199.7</f>
        <v>199.7</v>
      </c>
      <c r="R180" s="34" t="s">
        <v>51</v>
      </c>
      <c r="S180" s="35" t="n">
        <f>185.28</f>
        <v>185.28</v>
      </c>
      <c r="T180" s="32" t="n">
        <f>5001000</f>
        <v>5001000.0</v>
      </c>
      <c r="U180" s="32" t="str">
        <f>"－"</f>
        <v>－</v>
      </c>
      <c r="V180" s="32" t="n">
        <f>944104170</f>
        <v>9.4410417E8</v>
      </c>
      <c r="W180" s="32" t="str">
        <f>"－"</f>
        <v>－</v>
      </c>
      <c r="X180" s="36" t="n">
        <f>20</f>
        <v>20.0</v>
      </c>
    </row>
    <row r="181">
      <c r="A181" s="27" t="s">
        <v>42</v>
      </c>
      <c r="B181" s="27" t="s">
        <v>588</v>
      </c>
      <c r="C181" s="27" t="s">
        <v>589</v>
      </c>
      <c r="D181" s="27" t="s">
        <v>590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3589</f>
        <v>3589.0</v>
      </c>
      <c r="L181" s="34" t="s">
        <v>48</v>
      </c>
      <c r="M181" s="33" t="n">
        <f>4058</f>
        <v>4058.0</v>
      </c>
      <c r="N181" s="34" t="s">
        <v>264</v>
      </c>
      <c r="O181" s="33" t="n">
        <f>3484</f>
        <v>3484.0</v>
      </c>
      <c r="P181" s="34" t="s">
        <v>72</v>
      </c>
      <c r="Q181" s="33" t="n">
        <f>4006</f>
        <v>4006.0</v>
      </c>
      <c r="R181" s="34" t="s">
        <v>51</v>
      </c>
      <c r="S181" s="35" t="n">
        <f>3825.75</f>
        <v>3825.75</v>
      </c>
      <c r="T181" s="32" t="n">
        <f>71720</f>
        <v>71720.0</v>
      </c>
      <c r="U181" s="32" t="str">
        <f>"－"</f>
        <v>－</v>
      </c>
      <c r="V181" s="32" t="n">
        <f>275764160</f>
        <v>2.7576416E8</v>
      </c>
      <c r="W181" s="32" t="str">
        <f>"－"</f>
        <v>－</v>
      </c>
      <c r="X181" s="36" t="n">
        <f>20</f>
        <v>20.0</v>
      </c>
    </row>
    <row r="182">
      <c r="A182" s="27" t="s">
        <v>42</v>
      </c>
      <c r="B182" s="27" t="s">
        <v>591</v>
      </c>
      <c r="C182" s="27" t="s">
        <v>592</v>
      </c>
      <c r="D182" s="27" t="s">
        <v>593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1945.5</f>
        <v>1945.5</v>
      </c>
      <c r="L182" s="34" t="s">
        <v>48</v>
      </c>
      <c r="M182" s="33" t="n">
        <f>1981.5</f>
        <v>1981.5</v>
      </c>
      <c r="N182" s="34" t="s">
        <v>72</v>
      </c>
      <c r="O182" s="33" t="n">
        <f>1874</f>
        <v>1874.0</v>
      </c>
      <c r="P182" s="34" t="s">
        <v>92</v>
      </c>
      <c r="Q182" s="33" t="n">
        <f>1944</f>
        <v>1944.0</v>
      </c>
      <c r="R182" s="34" t="s">
        <v>51</v>
      </c>
      <c r="S182" s="35" t="n">
        <f>1927.05</f>
        <v>1927.05</v>
      </c>
      <c r="T182" s="32" t="n">
        <f>98560</f>
        <v>98560.0</v>
      </c>
      <c r="U182" s="32" t="str">
        <f>"－"</f>
        <v>－</v>
      </c>
      <c r="V182" s="32" t="n">
        <f>192002000</f>
        <v>1.92002E8</v>
      </c>
      <c r="W182" s="32" t="str">
        <f>"－"</f>
        <v>－</v>
      </c>
      <c r="X182" s="36" t="n">
        <f>20</f>
        <v>20.0</v>
      </c>
    </row>
    <row r="183">
      <c r="A183" s="27" t="s">
        <v>42</v>
      </c>
      <c r="B183" s="27" t="s">
        <v>594</v>
      </c>
      <c r="C183" s="27" t="s">
        <v>595</v>
      </c>
      <c r="D183" s="27" t="s">
        <v>596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321.1</f>
        <v>321.1</v>
      </c>
      <c r="L183" s="34" t="s">
        <v>48</v>
      </c>
      <c r="M183" s="33" t="n">
        <f>369.5</f>
        <v>369.5</v>
      </c>
      <c r="N183" s="34" t="s">
        <v>73</v>
      </c>
      <c r="O183" s="33" t="n">
        <f>316.5</f>
        <v>316.5</v>
      </c>
      <c r="P183" s="34" t="s">
        <v>48</v>
      </c>
      <c r="Q183" s="33" t="n">
        <f>349.6</f>
        <v>349.6</v>
      </c>
      <c r="R183" s="34" t="s">
        <v>51</v>
      </c>
      <c r="S183" s="35" t="n">
        <f>342.34</f>
        <v>342.34</v>
      </c>
      <c r="T183" s="32" t="n">
        <f>47083920</f>
        <v>4.708392E7</v>
      </c>
      <c r="U183" s="32" t="n">
        <f>67770</f>
        <v>67770.0</v>
      </c>
      <c r="V183" s="32" t="n">
        <f>16091832825</f>
        <v>1.6091832825E10</v>
      </c>
      <c r="W183" s="32" t="n">
        <f>24748711</f>
        <v>2.4748711E7</v>
      </c>
      <c r="X183" s="36" t="n">
        <f>20</f>
        <v>20.0</v>
      </c>
    </row>
    <row r="184">
      <c r="A184" s="27" t="s">
        <v>42</v>
      </c>
      <c r="B184" s="27" t="s">
        <v>597</v>
      </c>
      <c r="C184" s="27" t="s">
        <v>598</v>
      </c>
      <c r="D184" s="27" t="s">
        <v>599</v>
      </c>
      <c r="E184" s="28" t="s">
        <v>46</v>
      </c>
      <c r="F184" s="29" t="s">
        <v>46</v>
      </c>
      <c r="G184" s="30" t="s">
        <v>46</v>
      </c>
      <c r="H184" s="31"/>
      <c r="I184" s="31" t="s">
        <v>600</v>
      </c>
      <c r="J184" s="32" t="n">
        <v>1.0</v>
      </c>
      <c r="K184" s="33" t="n">
        <f>6882</f>
        <v>6882.0</v>
      </c>
      <c r="L184" s="34" t="s">
        <v>48</v>
      </c>
      <c r="M184" s="33" t="n">
        <f>7799</f>
        <v>7799.0</v>
      </c>
      <c r="N184" s="34" t="s">
        <v>49</v>
      </c>
      <c r="O184" s="33" t="n">
        <f>6015</f>
        <v>6015.0</v>
      </c>
      <c r="P184" s="34" t="s">
        <v>50</v>
      </c>
      <c r="Q184" s="33" t="n">
        <f>6311</f>
        <v>6311.0</v>
      </c>
      <c r="R184" s="34" t="s">
        <v>51</v>
      </c>
      <c r="S184" s="35" t="n">
        <f>6895.4</f>
        <v>6895.4</v>
      </c>
      <c r="T184" s="32" t="n">
        <f>28884</f>
        <v>28884.0</v>
      </c>
      <c r="U184" s="32" t="n">
        <f>1</f>
        <v>1.0</v>
      </c>
      <c r="V184" s="32" t="n">
        <f>205692508</f>
        <v>2.05692508E8</v>
      </c>
      <c r="W184" s="32" t="n">
        <f>7017</f>
        <v>7017.0</v>
      </c>
      <c r="X184" s="36" t="n">
        <f>20</f>
        <v>20.0</v>
      </c>
    </row>
    <row r="185">
      <c r="A185" s="27" t="s">
        <v>42</v>
      </c>
      <c r="B185" s="27" t="s">
        <v>601</v>
      </c>
      <c r="C185" s="27" t="s">
        <v>602</v>
      </c>
      <c r="D185" s="27" t="s">
        <v>603</v>
      </c>
      <c r="E185" s="28" t="s">
        <v>46</v>
      </c>
      <c r="F185" s="29" t="s">
        <v>46</v>
      </c>
      <c r="G185" s="30" t="s">
        <v>46</v>
      </c>
      <c r="H185" s="31"/>
      <c r="I185" s="31" t="s">
        <v>600</v>
      </c>
      <c r="J185" s="32" t="n">
        <v>1.0</v>
      </c>
      <c r="K185" s="33" t="n">
        <f>7081</f>
        <v>7081.0</v>
      </c>
      <c r="L185" s="34" t="s">
        <v>48</v>
      </c>
      <c r="M185" s="33" t="n">
        <f>8100</f>
        <v>8100.0</v>
      </c>
      <c r="N185" s="34" t="s">
        <v>50</v>
      </c>
      <c r="O185" s="33" t="n">
        <f>6654</f>
        <v>6654.0</v>
      </c>
      <c r="P185" s="34" t="s">
        <v>49</v>
      </c>
      <c r="Q185" s="33" t="n">
        <f>8100</f>
        <v>8100.0</v>
      </c>
      <c r="R185" s="34" t="s">
        <v>51</v>
      </c>
      <c r="S185" s="35" t="n">
        <f>7406.25</f>
        <v>7406.25</v>
      </c>
      <c r="T185" s="32" t="n">
        <f>6512</f>
        <v>6512.0</v>
      </c>
      <c r="U185" s="32" t="str">
        <f>"－"</f>
        <v>－</v>
      </c>
      <c r="V185" s="32" t="n">
        <f>49086157</f>
        <v>4.9086157E7</v>
      </c>
      <c r="W185" s="32" t="str">
        <f>"－"</f>
        <v>－</v>
      </c>
      <c r="X185" s="36" t="n">
        <f>20</f>
        <v>20.0</v>
      </c>
    </row>
    <row r="186">
      <c r="A186" s="27" t="s">
        <v>42</v>
      </c>
      <c r="B186" s="27" t="s">
        <v>604</v>
      </c>
      <c r="C186" s="27" t="s">
        <v>605</v>
      </c>
      <c r="D186" s="27" t="s">
        <v>606</v>
      </c>
      <c r="E186" s="28" t="s">
        <v>46</v>
      </c>
      <c r="F186" s="29" t="s">
        <v>46</v>
      </c>
      <c r="G186" s="30" t="s">
        <v>46</v>
      </c>
      <c r="H186" s="31"/>
      <c r="I186" s="31" t="s">
        <v>600</v>
      </c>
      <c r="J186" s="32" t="n">
        <v>1.0</v>
      </c>
      <c r="K186" s="33" t="n">
        <f>14410</f>
        <v>14410.0</v>
      </c>
      <c r="L186" s="34" t="s">
        <v>48</v>
      </c>
      <c r="M186" s="33" t="n">
        <f>14655</f>
        <v>14655.0</v>
      </c>
      <c r="N186" s="34" t="s">
        <v>166</v>
      </c>
      <c r="O186" s="33" t="n">
        <f>12800</f>
        <v>12800.0</v>
      </c>
      <c r="P186" s="34" t="s">
        <v>50</v>
      </c>
      <c r="Q186" s="33" t="n">
        <f>13200</f>
        <v>13200.0</v>
      </c>
      <c r="R186" s="34" t="s">
        <v>51</v>
      </c>
      <c r="S186" s="35" t="n">
        <f>13850.29</f>
        <v>13850.29</v>
      </c>
      <c r="T186" s="32" t="n">
        <f>3281</f>
        <v>3281.0</v>
      </c>
      <c r="U186" s="32" t="str">
        <f>"－"</f>
        <v>－</v>
      </c>
      <c r="V186" s="32" t="n">
        <f>44096255</f>
        <v>4.4096255E7</v>
      </c>
      <c r="W186" s="32" t="str">
        <f>"－"</f>
        <v>－</v>
      </c>
      <c r="X186" s="36" t="n">
        <f>17</f>
        <v>17.0</v>
      </c>
    </row>
    <row r="187">
      <c r="A187" s="27" t="s">
        <v>42</v>
      </c>
      <c r="B187" s="27" t="s">
        <v>607</v>
      </c>
      <c r="C187" s="27" t="s">
        <v>608</v>
      </c>
      <c r="D187" s="27" t="s">
        <v>609</v>
      </c>
      <c r="E187" s="28" t="s">
        <v>46</v>
      </c>
      <c r="F187" s="29" t="s">
        <v>46</v>
      </c>
      <c r="G187" s="30" t="s">
        <v>46</v>
      </c>
      <c r="H187" s="31"/>
      <c r="I187" s="31" t="s">
        <v>600</v>
      </c>
      <c r="J187" s="32" t="n">
        <v>1.0</v>
      </c>
      <c r="K187" s="33" t="n">
        <f>6845</f>
        <v>6845.0</v>
      </c>
      <c r="L187" s="34" t="s">
        <v>48</v>
      </c>
      <c r="M187" s="33" t="n">
        <f>7448</f>
        <v>7448.0</v>
      </c>
      <c r="N187" s="34" t="s">
        <v>168</v>
      </c>
      <c r="O187" s="33" t="n">
        <f>6828</f>
        <v>6828.0</v>
      </c>
      <c r="P187" s="34" t="s">
        <v>72</v>
      </c>
      <c r="Q187" s="33" t="n">
        <f>7361</f>
        <v>7361.0</v>
      </c>
      <c r="R187" s="34" t="s">
        <v>51</v>
      </c>
      <c r="S187" s="35" t="n">
        <f>7137.7</f>
        <v>7137.7</v>
      </c>
      <c r="T187" s="32" t="n">
        <f>13461</f>
        <v>13461.0</v>
      </c>
      <c r="U187" s="32" t="str">
        <f>"－"</f>
        <v>－</v>
      </c>
      <c r="V187" s="32" t="n">
        <f>96742290</f>
        <v>9.674229E7</v>
      </c>
      <c r="W187" s="32" t="str">
        <f>"－"</f>
        <v>－</v>
      </c>
      <c r="X187" s="36" t="n">
        <f>20</f>
        <v>20.0</v>
      </c>
    </row>
    <row r="188">
      <c r="A188" s="27" t="s">
        <v>42</v>
      </c>
      <c r="B188" s="27" t="s">
        <v>610</v>
      </c>
      <c r="C188" s="27" t="s">
        <v>611</v>
      </c>
      <c r="D188" s="27" t="s">
        <v>612</v>
      </c>
      <c r="E188" s="28" t="s">
        <v>46</v>
      </c>
      <c r="F188" s="29" t="s">
        <v>46</v>
      </c>
      <c r="G188" s="30" t="s">
        <v>46</v>
      </c>
      <c r="H188" s="31"/>
      <c r="I188" s="31" t="s">
        <v>600</v>
      </c>
      <c r="J188" s="32" t="n">
        <v>1.0</v>
      </c>
      <c r="K188" s="33" t="n">
        <f>24415</f>
        <v>24415.0</v>
      </c>
      <c r="L188" s="34" t="s">
        <v>48</v>
      </c>
      <c r="M188" s="33" t="n">
        <f>28715</f>
        <v>28715.0</v>
      </c>
      <c r="N188" s="34" t="s">
        <v>73</v>
      </c>
      <c r="O188" s="33" t="n">
        <f>24310</f>
        <v>24310.0</v>
      </c>
      <c r="P188" s="34" t="s">
        <v>72</v>
      </c>
      <c r="Q188" s="33" t="n">
        <f>26010</f>
        <v>26010.0</v>
      </c>
      <c r="R188" s="34" t="s">
        <v>51</v>
      </c>
      <c r="S188" s="35" t="n">
        <f>26524.5</f>
        <v>26524.5</v>
      </c>
      <c r="T188" s="32" t="n">
        <f>85311</f>
        <v>85311.0</v>
      </c>
      <c r="U188" s="32" t="n">
        <f>8</f>
        <v>8.0</v>
      </c>
      <c r="V188" s="32" t="n">
        <f>2309576215</f>
        <v>2.309576215E9</v>
      </c>
      <c r="W188" s="32" t="n">
        <f>200225</f>
        <v>200225.0</v>
      </c>
      <c r="X188" s="36" t="n">
        <f>20</f>
        <v>20.0</v>
      </c>
    </row>
    <row r="189">
      <c r="A189" s="27" t="s">
        <v>42</v>
      </c>
      <c r="B189" s="27" t="s">
        <v>613</v>
      </c>
      <c r="C189" s="27" t="s">
        <v>614</v>
      </c>
      <c r="D189" s="27" t="s">
        <v>615</v>
      </c>
      <c r="E189" s="28" t="s">
        <v>46</v>
      </c>
      <c r="F189" s="29" t="s">
        <v>46</v>
      </c>
      <c r="G189" s="30" t="s">
        <v>46</v>
      </c>
      <c r="H189" s="31"/>
      <c r="I189" s="31" t="s">
        <v>600</v>
      </c>
      <c r="J189" s="32" t="n">
        <v>1.0</v>
      </c>
      <c r="K189" s="33" t="n">
        <f>4635</f>
        <v>4635.0</v>
      </c>
      <c r="L189" s="34" t="s">
        <v>48</v>
      </c>
      <c r="M189" s="33" t="n">
        <f>4645</f>
        <v>4645.0</v>
      </c>
      <c r="N189" s="34" t="s">
        <v>72</v>
      </c>
      <c r="O189" s="33" t="n">
        <f>4275</f>
        <v>4275.0</v>
      </c>
      <c r="P189" s="34" t="s">
        <v>434</v>
      </c>
      <c r="Q189" s="33" t="n">
        <f>4405</f>
        <v>4405.0</v>
      </c>
      <c r="R189" s="34" t="s">
        <v>51</v>
      </c>
      <c r="S189" s="35" t="n">
        <f>4447.5</f>
        <v>4447.5</v>
      </c>
      <c r="T189" s="32" t="n">
        <f>23906</f>
        <v>23906.0</v>
      </c>
      <c r="U189" s="32" t="str">
        <f>"－"</f>
        <v>－</v>
      </c>
      <c r="V189" s="32" t="n">
        <f>105655770</f>
        <v>1.0565577E8</v>
      </c>
      <c r="W189" s="32" t="str">
        <f>"－"</f>
        <v>－</v>
      </c>
      <c r="X189" s="36" t="n">
        <f>20</f>
        <v>20.0</v>
      </c>
    </row>
    <row r="190">
      <c r="A190" s="27" t="s">
        <v>42</v>
      </c>
      <c r="B190" s="27" t="s">
        <v>616</v>
      </c>
      <c r="C190" s="27" t="s">
        <v>617</v>
      </c>
      <c r="D190" s="27" t="s">
        <v>618</v>
      </c>
      <c r="E190" s="28" t="s">
        <v>46</v>
      </c>
      <c r="F190" s="29" t="s">
        <v>46</v>
      </c>
      <c r="G190" s="30" t="s">
        <v>46</v>
      </c>
      <c r="H190" s="31"/>
      <c r="I190" s="31" t="s">
        <v>600</v>
      </c>
      <c r="J190" s="32" t="n">
        <v>1.0</v>
      </c>
      <c r="K190" s="33" t="n">
        <f>1391</f>
        <v>1391.0</v>
      </c>
      <c r="L190" s="34" t="s">
        <v>48</v>
      </c>
      <c r="M190" s="33" t="n">
        <f>1759</f>
        <v>1759.0</v>
      </c>
      <c r="N190" s="34" t="s">
        <v>434</v>
      </c>
      <c r="O190" s="33" t="n">
        <f>1365</f>
        <v>1365.0</v>
      </c>
      <c r="P190" s="34" t="s">
        <v>48</v>
      </c>
      <c r="Q190" s="33" t="n">
        <f>1543</f>
        <v>1543.0</v>
      </c>
      <c r="R190" s="34" t="s">
        <v>51</v>
      </c>
      <c r="S190" s="35" t="n">
        <f>1548.7</f>
        <v>1548.7</v>
      </c>
      <c r="T190" s="32" t="n">
        <f>80584670</f>
        <v>8.058467E7</v>
      </c>
      <c r="U190" s="32" t="n">
        <f>109062</f>
        <v>109062.0</v>
      </c>
      <c r="V190" s="32" t="n">
        <f>124229621547</f>
        <v>1.24229621547E11</v>
      </c>
      <c r="W190" s="32" t="n">
        <f>183292123</f>
        <v>1.83292123E8</v>
      </c>
      <c r="X190" s="36" t="n">
        <f>20</f>
        <v>20.0</v>
      </c>
    </row>
    <row r="191">
      <c r="A191" s="27" t="s">
        <v>42</v>
      </c>
      <c r="B191" s="27" t="s">
        <v>619</v>
      </c>
      <c r="C191" s="27" t="s">
        <v>620</v>
      </c>
      <c r="D191" s="27" t="s">
        <v>621</v>
      </c>
      <c r="E191" s="28" t="s">
        <v>46</v>
      </c>
      <c r="F191" s="29" t="s">
        <v>46</v>
      </c>
      <c r="G191" s="30" t="s">
        <v>46</v>
      </c>
      <c r="H191" s="31"/>
      <c r="I191" s="31" t="s">
        <v>600</v>
      </c>
      <c r="J191" s="32" t="n">
        <v>1.0</v>
      </c>
      <c r="K191" s="33" t="n">
        <f>1726</f>
        <v>1726.0</v>
      </c>
      <c r="L191" s="34" t="s">
        <v>48</v>
      </c>
      <c r="M191" s="33" t="n">
        <f>1736</f>
        <v>1736.0</v>
      </c>
      <c r="N191" s="34" t="s">
        <v>48</v>
      </c>
      <c r="O191" s="33" t="n">
        <f>1519</f>
        <v>1519.0</v>
      </c>
      <c r="P191" s="34" t="s">
        <v>434</v>
      </c>
      <c r="Q191" s="33" t="n">
        <f>1585</f>
        <v>1585.0</v>
      </c>
      <c r="R191" s="34" t="s">
        <v>51</v>
      </c>
      <c r="S191" s="35" t="n">
        <f>1615.75</f>
        <v>1615.75</v>
      </c>
      <c r="T191" s="32" t="n">
        <f>3097071</f>
        <v>3097071.0</v>
      </c>
      <c r="U191" s="32" t="n">
        <f>4</f>
        <v>4.0</v>
      </c>
      <c r="V191" s="32" t="n">
        <f>4985991529</f>
        <v>4.985991529E9</v>
      </c>
      <c r="W191" s="32" t="n">
        <f>6128</f>
        <v>6128.0</v>
      </c>
      <c r="X191" s="36" t="n">
        <f>20</f>
        <v>20.0</v>
      </c>
    </row>
    <row r="192">
      <c r="A192" s="27" t="s">
        <v>42</v>
      </c>
      <c r="B192" s="27" t="s">
        <v>622</v>
      </c>
      <c r="C192" s="27" t="s">
        <v>623</v>
      </c>
      <c r="D192" s="27" t="s">
        <v>624</v>
      </c>
      <c r="E192" s="28" t="s">
        <v>46</v>
      </c>
      <c r="F192" s="29" t="s">
        <v>46</v>
      </c>
      <c r="G192" s="30" t="s">
        <v>46</v>
      </c>
      <c r="H192" s="31"/>
      <c r="I192" s="31" t="s">
        <v>600</v>
      </c>
      <c r="J192" s="32" t="n">
        <v>1.0</v>
      </c>
      <c r="K192" s="33" t="n">
        <f>30720</f>
        <v>30720.0</v>
      </c>
      <c r="L192" s="34" t="s">
        <v>48</v>
      </c>
      <c r="M192" s="33" t="n">
        <f>31380</f>
        <v>31380.0</v>
      </c>
      <c r="N192" s="34" t="s">
        <v>166</v>
      </c>
      <c r="O192" s="33" t="n">
        <f>28135</f>
        <v>28135.0</v>
      </c>
      <c r="P192" s="34" t="s">
        <v>50</v>
      </c>
      <c r="Q192" s="33" t="n">
        <f>28410</f>
        <v>28410.0</v>
      </c>
      <c r="R192" s="34" t="s">
        <v>51</v>
      </c>
      <c r="S192" s="35" t="n">
        <f>30010.25</f>
        <v>30010.25</v>
      </c>
      <c r="T192" s="32" t="n">
        <f>116917</f>
        <v>116917.0</v>
      </c>
      <c r="U192" s="32" t="str">
        <f>"－"</f>
        <v>－</v>
      </c>
      <c r="V192" s="32" t="n">
        <f>3448301075</f>
        <v>3.448301075E9</v>
      </c>
      <c r="W192" s="32" t="str">
        <f>"－"</f>
        <v>－</v>
      </c>
      <c r="X192" s="36" t="n">
        <f>20</f>
        <v>20.0</v>
      </c>
    </row>
    <row r="193">
      <c r="A193" s="27" t="s">
        <v>42</v>
      </c>
      <c r="B193" s="27" t="s">
        <v>625</v>
      </c>
      <c r="C193" s="27" t="s">
        <v>626</v>
      </c>
      <c r="D193" s="27" t="s">
        <v>627</v>
      </c>
      <c r="E193" s="28" t="s">
        <v>46</v>
      </c>
      <c r="F193" s="29" t="s">
        <v>46</v>
      </c>
      <c r="G193" s="30" t="s">
        <v>46</v>
      </c>
      <c r="H193" s="31"/>
      <c r="I193" s="31" t="s">
        <v>600</v>
      </c>
      <c r="J193" s="32" t="n">
        <v>1.0</v>
      </c>
      <c r="K193" s="33" t="n">
        <f>2844</f>
        <v>2844.0</v>
      </c>
      <c r="L193" s="34" t="s">
        <v>48</v>
      </c>
      <c r="M193" s="33" t="n">
        <f>2988</f>
        <v>2988.0</v>
      </c>
      <c r="N193" s="34" t="s">
        <v>50</v>
      </c>
      <c r="O193" s="33" t="n">
        <f>2819</f>
        <v>2819.0</v>
      </c>
      <c r="P193" s="34" t="s">
        <v>166</v>
      </c>
      <c r="Q193" s="33" t="n">
        <f>2972</f>
        <v>2972.0</v>
      </c>
      <c r="R193" s="34" t="s">
        <v>51</v>
      </c>
      <c r="S193" s="35" t="n">
        <f>2888.35</f>
        <v>2888.35</v>
      </c>
      <c r="T193" s="32" t="n">
        <f>518043</f>
        <v>518043.0</v>
      </c>
      <c r="U193" s="32" t="n">
        <f>102600</f>
        <v>102600.0</v>
      </c>
      <c r="V193" s="32" t="n">
        <f>1503881834</f>
        <v>1.503881834E9</v>
      </c>
      <c r="W193" s="32" t="n">
        <f>297432513</f>
        <v>2.97432513E8</v>
      </c>
      <c r="X193" s="36" t="n">
        <f>20</f>
        <v>20.0</v>
      </c>
    </row>
    <row r="194">
      <c r="A194" s="27" t="s">
        <v>42</v>
      </c>
      <c r="B194" s="27" t="s">
        <v>628</v>
      </c>
      <c r="C194" s="27" t="s">
        <v>629</v>
      </c>
      <c r="D194" s="27" t="s">
        <v>630</v>
      </c>
      <c r="E194" s="28" t="s">
        <v>46</v>
      </c>
      <c r="F194" s="29" t="s">
        <v>46</v>
      </c>
      <c r="G194" s="30" t="s">
        <v>46</v>
      </c>
      <c r="H194" s="31"/>
      <c r="I194" s="31" t="s">
        <v>600</v>
      </c>
      <c r="J194" s="32" t="n">
        <v>1.0</v>
      </c>
      <c r="K194" s="33" t="n">
        <f>8340</f>
        <v>8340.0</v>
      </c>
      <c r="L194" s="34" t="s">
        <v>48</v>
      </c>
      <c r="M194" s="33" t="n">
        <f>9078</f>
        <v>9078.0</v>
      </c>
      <c r="N194" s="34" t="s">
        <v>49</v>
      </c>
      <c r="O194" s="33" t="n">
        <f>7368</f>
        <v>7368.0</v>
      </c>
      <c r="P194" s="34" t="s">
        <v>168</v>
      </c>
      <c r="Q194" s="33" t="n">
        <f>7495</f>
        <v>7495.0</v>
      </c>
      <c r="R194" s="34" t="s">
        <v>51</v>
      </c>
      <c r="S194" s="35" t="n">
        <f>8143.45</f>
        <v>8143.45</v>
      </c>
      <c r="T194" s="32" t="n">
        <f>92115</f>
        <v>92115.0</v>
      </c>
      <c r="U194" s="32" t="str">
        <f>"－"</f>
        <v>－</v>
      </c>
      <c r="V194" s="32" t="n">
        <f>775902000</f>
        <v>7.75902E8</v>
      </c>
      <c r="W194" s="32" t="str">
        <f>"－"</f>
        <v>－</v>
      </c>
      <c r="X194" s="36" t="n">
        <f>20</f>
        <v>20.0</v>
      </c>
    </row>
    <row r="195">
      <c r="A195" s="27" t="s">
        <v>42</v>
      </c>
      <c r="B195" s="27" t="s">
        <v>631</v>
      </c>
      <c r="C195" s="27" t="s">
        <v>632</v>
      </c>
      <c r="D195" s="27" t="s">
        <v>633</v>
      </c>
      <c r="E195" s="28" t="s">
        <v>46</v>
      </c>
      <c r="F195" s="29" t="s">
        <v>46</v>
      </c>
      <c r="G195" s="30" t="s">
        <v>46</v>
      </c>
      <c r="H195" s="31"/>
      <c r="I195" s="31" t="s">
        <v>600</v>
      </c>
      <c r="J195" s="32" t="n">
        <v>1.0</v>
      </c>
      <c r="K195" s="33" t="n">
        <f>15510</f>
        <v>15510.0</v>
      </c>
      <c r="L195" s="34" t="s">
        <v>48</v>
      </c>
      <c r="M195" s="33" t="n">
        <f>16250</f>
        <v>16250.0</v>
      </c>
      <c r="N195" s="34" t="s">
        <v>166</v>
      </c>
      <c r="O195" s="33" t="n">
        <f>15510</f>
        <v>15510.0</v>
      </c>
      <c r="P195" s="34" t="s">
        <v>48</v>
      </c>
      <c r="Q195" s="33" t="n">
        <f>16100</f>
        <v>16100.0</v>
      </c>
      <c r="R195" s="34" t="s">
        <v>62</v>
      </c>
      <c r="S195" s="35" t="n">
        <f>15919.72</f>
        <v>15919.72</v>
      </c>
      <c r="T195" s="32" t="n">
        <f>472</f>
        <v>472.0</v>
      </c>
      <c r="U195" s="32" t="n">
        <f>1</f>
        <v>1.0</v>
      </c>
      <c r="V195" s="32" t="n">
        <f>7525270</f>
        <v>7525270.0</v>
      </c>
      <c r="W195" s="32" t="n">
        <f>15805</f>
        <v>15805.0</v>
      </c>
      <c r="X195" s="36" t="n">
        <f>18</f>
        <v>18.0</v>
      </c>
    </row>
    <row r="196">
      <c r="A196" s="27" t="s">
        <v>42</v>
      </c>
      <c r="B196" s="27" t="s">
        <v>634</v>
      </c>
      <c r="C196" s="27" t="s">
        <v>635</v>
      </c>
      <c r="D196" s="27" t="s">
        <v>636</v>
      </c>
      <c r="E196" s="28" t="s">
        <v>46</v>
      </c>
      <c r="F196" s="29" t="s">
        <v>46</v>
      </c>
      <c r="G196" s="30" t="s">
        <v>46</v>
      </c>
      <c r="H196" s="31"/>
      <c r="I196" s="31" t="s">
        <v>600</v>
      </c>
      <c r="J196" s="32" t="n">
        <v>1.0</v>
      </c>
      <c r="K196" s="33" t="n">
        <f>21790</f>
        <v>21790.0</v>
      </c>
      <c r="L196" s="34" t="s">
        <v>48</v>
      </c>
      <c r="M196" s="33" t="n">
        <f>23670</f>
        <v>23670.0</v>
      </c>
      <c r="N196" s="34" t="s">
        <v>166</v>
      </c>
      <c r="O196" s="33" t="n">
        <f>21650</f>
        <v>21650.0</v>
      </c>
      <c r="P196" s="34" t="s">
        <v>48</v>
      </c>
      <c r="Q196" s="33" t="n">
        <f>23140</f>
        <v>23140.0</v>
      </c>
      <c r="R196" s="34" t="s">
        <v>51</v>
      </c>
      <c r="S196" s="35" t="n">
        <f>22530</f>
        <v>22530.0</v>
      </c>
      <c r="T196" s="32" t="n">
        <f>36730</f>
        <v>36730.0</v>
      </c>
      <c r="U196" s="32" t="str">
        <f>"－"</f>
        <v>－</v>
      </c>
      <c r="V196" s="32" t="n">
        <f>830233880</f>
        <v>8.3023388E8</v>
      </c>
      <c r="W196" s="32" t="str">
        <f>"－"</f>
        <v>－</v>
      </c>
      <c r="X196" s="36" t="n">
        <f>20</f>
        <v>20.0</v>
      </c>
    </row>
    <row r="197">
      <c r="A197" s="27" t="s">
        <v>42</v>
      </c>
      <c r="B197" s="27" t="s">
        <v>637</v>
      </c>
      <c r="C197" s="27" t="s">
        <v>638</v>
      </c>
      <c r="D197" s="27" t="s">
        <v>639</v>
      </c>
      <c r="E197" s="28" t="s">
        <v>46</v>
      </c>
      <c r="F197" s="29" t="s">
        <v>46</v>
      </c>
      <c r="G197" s="30" t="s">
        <v>46</v>
      </c>
      <c r="H197" s="31"/>
      <c r="I197" s="31" t="s">
        <v>600</v>
      </c>
      <c r="J197" s="32" t="n">
        <v>1.0</v>
      </c>
      <c r="K197" s="33" t="n">
        <f>15510</f>
        <v>15510.0</v>
      </c>
      <c r="L197" s="34" t="s">
        <v>48</v>
      </c>
      <c r="M197" s="33" t="n">
        <f>16185</f>
        <v>16185.0</v>
      </c>
      <c r="N197" s="34" t="s">
        <v>168</v>
      </c>
      <c r="O197" s="33" t="n">
        <f>15300</f>
        <v>15300.0</v>
      </c>
      <c r="P197" s="34" t="s">
        <v>72</v>
      </c>
      <c r="Q197" s="33" t="n">
        <f>15750</f>
        <v>15750.0</v>
      </c>
      <c r="R197" s="34" t="s">
        <v>62</v>
      </c>
      <c r="S197" s="35" t="n">
        <f>15717.81</f>
        <v>15717.81</v>
      </c>
      <c r="T197" s="32" t="n">
        <f>415</f>
        <v>415.0</v>
      </c>
      <c r="U197" s="32" t="str">
        <f>"－"</f>
        <v>－</v>
      </c>
      <c r="V197" s="32" t="n">
        <f>6487195</f>
        <v>6487195.0</v>
      </c>
      <c r="W197" s="32" t="str">
        <f>"－"</f>
        <v>－</v>
      </c>
      <c r="X197" s="36" t="n">
        <f>16</f>
        <v>16.0</v>
      </c>
    </row>
    <row r="198">
      <c r="A198" s="27" t="s">
        <v>42</v>
      </c>
      <c r="B198" s="27" t="s">
        <v>640</v>
      </c>
      <c r="C198" s="27" t="s">
        <v>641</v>
      </c>
      <c r="D198" s="27" t="s">
        <v>642</v>
      </c>
      <c r="E198" s="28" t="s">
        <v>46</v>
      </c>
      <c r="F198" s="29" t="s">
        <v>46</v>
      </c>
      <c r="G198" s="30" t="s">
        <v>46</v>
      </c>
      <c r="H198" s="31"/>
      <c r="I198" s="31" t="s">
        <v>600</v>
      </c>
      <c r="J198" s="32" t="n">
        <v>1.0</v>
      </c>
      <c r="K198" s="33" t="n">
        <f>18330</f>
        <v>18330.0</v>
      </c>
      <c r="L198" s="34" t="s">
        <v>48</v>
      </c>
      <c r="M198" s="33" t="n">
        <f>19995</f>
        <v>19995.0</v>
      </c>
      <c r="N198" s="34" t="s">
        <v>49</v>
      </c>
      <c r="O198" s="33" t="n">
        <f>17380</f>
        <v>17380.0</v>
      </c>
      <c r="P198" s="34" t="s">
        <v>50</v>
      </c>
      <c r="Q198" s="33" t="n">
        <f>18410</f>
        <v>18410.0</v>
      </c>
      <c r="R198" s="34" t="s">
        <v>51</v>
      </c>
      <c r="S198" s="35" t="n">
        <f>18759.25</f>
        <v>18759.25</v>
      </c>
      <c r="T198" s="32" t="n">
        <f>34397</f>
        <v>34397.0</v>
      </c>
      <c r="U198" s="32" t="str">
        <f>"－"</f>
        <v>－</v>
      </c>
      <c r="V198" s="32" t="n">
        <f>654741165</f>
        <v>6.54741165E8</v>
      </c>
      <c r="W198" s="32" t="str">
        <f>"－"</f>
        <v>－</v>
      </c>
      <c r="X198" s="36" t="n">
        <f>20</f>
        <v>20.0</v>
      </c>
    </row>
    <row r="199">
      <c r="A199" s="27" t="s">
        <v>42</v>
      </c>
      <c r="B199" s="27" t="s">
        <v>643</v>
      </c>
      <c r="C199" s="27" t="s">
        <v>644</v>
      </c>
      <c r="D199" s="27" t="s">
        <v>645</v>
      </c>
      <c r="E199" s="28" t="s">
        <v>46</v>
      </c>
      <c r="F199" s="29" t="s">
        <v>46</v>
      </c>
      <c r="G199" s="30" t="s">
        <v>46</v>
      </c>
      <c r="H199" s="31"/>
      <c r="I199" s="31" t="s">
        <v>600</v>
      </c>
      <c r="J199" s="32" t="n">
        <v>1.0</v>
      </c>
      <c r="K199" s="33" t="n">
        <f>4240</f>
        <v>4240.0</v>
      </c>
      <c r="L199" s="34" t="s">
        <v>48</v>
      </c>
      <c r="M199" s="33" t="n">
        <f>4650</f>
        <v>4650.0</v>
      </c>
      <c r="N199" s="34" t="s">
        <v>168</v>
      </c>
      <c r="O199" s="33" t="n">
        <f>4050</f>
        <v>4050.0</v>
      </c>
      <c r="P199" s="34" t="s">
        <v>49</v>
      </c>
      <c r="Q199" s="33" t="n">
        <f>4550</f>
        <v>4550.0</v>
      </c>
      <c r="R199" s="34" t="s">
        <v>51</v>
      </c>
      <c r="S199" s="35" t="n">
        <f>4345.5</f>
        <v>4345.5</v>
      </c>
      <c r="T199" s="32" t="n">
        <f>12552</f>
        <v>12552.0</v>
      </c>
      <c r="U199" s="32" t="str">
        <f>"－"</f>
        <v>－</v>
      </c>
      <c r="V199" s="32" t="n">
        <f>54929060</f>
        <v>5.492906E7</v>
      </c>
      <c r="W199" s="32" t="str">
        <f>"－"</f>
        <v>－</v>
      </c>
      <c r="X199" s="36" t="n">
        <f>20</f>
        <v>20.0</v>
      </c>
    </row>
    <row r="200">
      <c r="A200" s="27" t="s">
        <v>42</v>
      </c>
      <c r="B200" s="27" t="s">
        <v>646</v>
      </c>
      <c r="C200" s="27" t="s">
        <v>647</v>
      </c>
      <c r="D200" s="27" t="s">
        <v>648</v>
      </c>
      <c r="E200" s="28" t="s">
        <v>46</v>
      </c>
      <c r="F200" s="29" t="s">
        <v>46</v>
      </c>
      <c r="G200" s="30" t="s">
        <v>46</v>
      </c>
      <c r="H200" s="31"/>
      <c r="I200" s="31" t="s">
        <v>600</v>
      </c>
      <c r="J200" s="32" t="n">
        <v>1.0</v>
      </c>
      <c r="K200" s="33" t="n">
        <f>13325</f>
        <v>13325.0</v>
      </c>
      <c r="L200" s="34" t="s">
        <v>48</v>
      </c>
      <c r="M200" s="33" t="n">
        <f>14075</f>
        <v>14075.0</v>
      </c>
      <c r="N200" s="34" t="s">
        <v>114</v>
      </c>
      <c r="O200" s="33" t="n">
        <f>12700</f>
        <v>12700.0</v>
      </c>
      <c r="P200" s="34" t="s">
        <v>92</v>
      </c>
      <c r="Q200" s="33" t="n">
        <f>13665</f>
        <v>13665.0</v>
      </c>
      <c r="R200" s="34" t="s">
        <v>51</v>
      </c>
      <c r="S200" s="35" t="n">
        <f>13388.33</f>
        <v>13388.33</v>
      </c>
      <c r="T200" s="32" t="n">
        <f>2552</f>
        <v>2552.0</v>
      </c>
      <c r="U200" s="32" t="str">
        <f>"－"</f>
        <v>－</v>
      </c>
      <c r="V200" s="32" t="n">
        <f>33932815</f>
        <v>3.3932815E7</v>
      </c>
      <c r="W200" s="32" t="str">
        <f>"－"</f>
        <v>－</v>
      </c>
      <c r="X200" s="36" t="n">
        <f>18</f>
        <v>18.0</v>
      </c>
    </row>
    <row r="201">
      <c r="A201" s="27" t="s">
        <v>42</v>
      </c>
      <c r="B201" s="27" t="s">
        <v>649</v>
      </c>
      <c r="C201" s="27" t="s">
        <v>650</v>
      </c>
      <c r="D201" s="27" t="s">
        <v>651</v>
      </c>
      <c r="E201" s="28" t="s">
        <v>46</v>
      </c>
      <c r="F201" s="29" t="s">
        <v>46</v>
      </c>
      <c r="G201" s="30" t="s">
        <v>46</v>
      </c>
      <c r="H201" s="31"/>
      <c r="I201" s="31" t="s">
        <v>600</v>
      </c>
      <c r="J201" s="32" t="n">
        <v>1.0</v>
      </c>
      <c r="K201" s="33" t="n">
        <f>11815</f>
        <v>11815.0</v>
      </c>
      <c r="L201" s="34" t="s">
        <v>434</v>
      </c>
      <c r="M201" s="33" t="n">
        <f>12015</f>
        <v>12015.0</v>
      </c>
      <c r="N201" s="34" t="s">
        <v>168</v>
      </c>
      <c r="O201" s="33" t="n">
        <f>11815</f>
        <v>11815.0</v>
      </c>
      <c r="P201" s="34" t="s">
        <v>434</v>
      </c>
      <c r="Q201" s="33" t="n">
        <f>12015</f>
        <v>12015.0</v>
      </c>
      <c r="R201" s="34" t="s">
        <v>168</v>
      </c>
      <c r="S201" s="35" t="n">
        <f>11915</f>
        <v>11915.0</v>
      </c>
      <c r="T201" s="32" t="n">
        <f>3</f>
        <v>3.0</v>
      </c>
      <c r="U201" s="32" t="str">
        <f>"－"</f>
        <v>－</v>
      </c>
      <c r="V201" s="32" t="n">
        <f>35645</f>
        <v>35645.0</v>
      </c>
      <c r="W201" s="32" t="str">
        <f>"－"</f>
        <v>－</v>
      </c>
      <c r="X201" s="36" t="n">
        <f>2</f>
        <v>2.0</v>
      </c>
    </row>
    <row r="202">
      <c r="A202" s="27" t="s">
        <v>42</v>
      </c>
      <c r="B202" s="27" t="s">
        <v>652</v>
      </c>
      <c r="C202" s="27" t="s">
        <v>653</v>
      </c>
      <c r="D202" s="27" t="s">
        <v>654</v>
      </c>
      <c r="E202" s="28" t="s">
        <v>46</v>
      </c>
      <c r="F202" s="29" t="s">
        <v>46</v>
      </c>
      <c r="G202" s="30" t="s">
        <v>46</v>
      </c>
      <c r="H202" s="31"/>
      <c r="I202" s="31" t="s">
        <v>600</v>
      </c>
      <c r="J202" s="32" t="n">
        <v>1.0</v>
      </c>
      <c r="K202" s="33" t="n">
        <f>15230</f>
        <v>15230.0</v>
      </c>
      <c r="L202" s="34" t="s">
        <v>48</v>
      </c>
      <c r="M202" s="33" t="n">
        <f>15565</f>
        <v>15565.0</v>
      </c>
      <c r="N202" s="34" t="s">
        <v>168</v>
      </c>
      <c r="O202" s="33" t="n">
        <f>14840</f>
        <v>14840.0</v>
      </c>
      <c r="P202" s="34" t="s">
        <v>86</v>
      </c>
      <c r="Q202" s="33" t="n">
        <f>15430</f>
        <v>15430.0</v>
      </c>
      <c r="R202" s="34" t="s">
        <v>50</v>
      </c>
      <c r="S202" s="35" t="n">
        <f>15280.63</f>
        <v>15280.63</v>
      </c>
      <c r="T202" s="32" t="n">
        <f>373</f>
        <v>373.0</v>
      </c>
      <c r="U202" s="32" t="str">
        <f>"－"</f>
        <v>－</v>
      </c>
      <c r="V202" s="32" t="n">
        <f>5706055</f>
        <v>5706055.0</v>
      </c>
      <c r="W202" s="32" t="str">
        <f>"－"</f>
        <v>－</v>
      </c>
      <c r="X202" s="36" t="n">
        <f>8</f>
        <v>8.0</v>
      </c>
    </row>
    <row r="203">
      <c r="A203" s="27" t="s">
        <v>42</v>
      </c>
      <c r="B203" s="27" t="s">
        <v>655</v>
      </c>
      <c r="C203" s="27" t="s">
        <v>656</v>
      </c>
      <c r="D203" s="27" t="s">
        <v>657</v>
      </c>
      <c r="E203" s="28" t="s">
        <v>46</v>
      </c>
      <c r="F203" s="29" t="s">
        <v>46</v>
      </c>
      <c r="G203" s="30" t="s">
        <v>46</v>
      </c>
      <c r="H203" s="31"/>
      <c r="I203" s="31" t="s">
        <v>600</v>
      </c>
      <c r="J203" s="32" t="n">
        <v>1.0</v>
      </c>
      <c r="K203" s="33" t="n">
        <f>15685</f>
        <v>15685.0</v>
      </c>
      <c r="L203" s="34" t="s">
        <v>434</v>
      </c>
      <c r="M203" s="33" t="n">
        <f>15870</f>
        <v>15870.0</v>
      </c>
      <c r="N203" s="34" t="s">
        <v>114</v>
      </c>
      <c r="O203" s="33" t="n">
        <f>15530</f>
        <v>15530.0</v>
      </c>
      <c r="P203" s="34" t="s">
        <v>73</v>
      </c>
      <c r="Q203" s="33" t="n">
        <f>15665</f>
        <v>15665.0</v>
      </c>
      <c r="R203" s="34" t="s">
        <v>50</v>
      </c>
      <c r="S203" s="35" t="n">
        <f>15700</f>
        <v>15700.0</v>
      </c>
      <c r="T203" s="32" t="n">
        <f>482</f>
        <v>482.0</v>
      </c>
      <c r="U203" s="32" t="str">
        <f>"－"</f>
        <v>－</v>
      </c>
      <c r="V203" s="32" t="n">
        <f>7566150</f>
        <v>7566150.0</v>
      </c>
      <c r="W203" s="32" t="str">
        <f>"－"</f>
        <v>－</v>
      </c>
      <c r="X203" s="36" t="n">
        <f>5</f>
        <v>5.0</v>
      </c>
    </row>
    <row r="204">
      <c r="A204" s="27" t="s">
        <v>42</v>
      </c>
      <c r="B204" s="27" t="s">
        <v>658</v>
      </c>
      <c r="C204" s="27" t="s">
        <v>659</v>
      </c>
      <c r="D204" s="27" t="s">
        <v>660</v>
      </c>
      <c r="E204" s="28" t="s">
        <v>46</v>
      </c>
      <c r="F204" s="29" t="s">
        <v>46</v>
      </c>
      <c r="G204" s="30" t="s">
        <v>46</v>
      </c>
      <c r="H204" s="31"/>
      <c r="I204" s="31" t="s">
        <v>600</v>
      </c>
      <c r="J204" s="32" t="n">
        <v>1.0</v>
      </c>
      <c r="K204" s="33" t="n">
        <f>12420</f>
        <v>12420.0</v>
      </c>
      <c r="L204" s="34" t="s">
        <v>427</v>
      </c>
      <c r="M204" s="33" t="n">
        <f>12820</f>
        <v>12820.0</v>
      </c>
      <c r="N204" s="34" t="s">
        <v>114</v>
      </c>
      <c r="O204" s="33" t="n">
        <f>12420</f>
        <v>12420.0</v>
      </c>
      <c r="P204" s="34" t="s">
        <v>427</v>
      </c>
      <c r="Q204" s="33" t="n">
        <f>12820</f>
        <v>12820.0</v>
      </c>
      <c r="R204" s="34" t="s">
        <v>114</v>
      </c>
      <c r="S204" s="35" t="n">
        <f>12608.75</f>
        <v>12608.75</v>
      </c>
      <c r="T204" s="32" t="n">
        <f>228</f>
        <v>228.0</v>
      </c>
      <c r="U204" s="32" t="str">
        <f>"－"</f>
        <v>－</v>
      </c>
      <c r="V204" s="32" t="n">
        <f>2833660</f>
        <v>2833660.0</v>
      </c>
      <c r="W204" s="32" t="str">
        <f>"－"</f>
        <v>－</v>
      </c>
      <c r="X204" s="36" t="n">
        <f>4</f>
        <v>4.0</v>
      </c>
    </row>
    <row r="205">
      <c r="A205" s="27" t="s">
        <v>42</v>
      </c>
      <c r="B205" s="27" t="s">
        <v>661</v>
      </c>
      <c r="C205" s="27" t="s">
        <v>662</v>
      </c>
      <c r="D205" s="27" t="s">
        <v>663</v>
      </c>
      <c r="E205" s="28" t="s">
        <v>46</v>
      </c>
      <c r="F205" s="29" t="s">
        <v>46</v>
      </c>
      <c r="G205" s="30" t="s">
        <v>46</v>
      </c>
      <c r="H205" s="31"/>
      <c r="I205" s="31" t="s">
        <v>600</v>
      </c>
      <c r="J205" s="32" t="n">
        <v>1.0</v>
      </c>
      <c r="K205" s="33" t="n">
        <f>14305</f>
        <v>14305.0</v>
      </c>
      <c r="L205" s="34" t="s">
        <v>61</v>
      </c>
      <c r="M205" s="33" t="n">
        <f>14305</f>
        <v>14305.0</v>
      </c>
      <c r="N205" s="34" t="s">
        <v>61</v>
      </c>
      <c r="O205" s="33" t="n">
        <f>14305</f>
        <v>14305.0</v>
      </c>
      <c r="P205" s="34" t="s">
        <v>61</v>
      </c>
      <c r="Q205" s="33" t="n">
        <f>14305</f>
        <v>14305.0</v>
      </c>
      <c r="R205" s="34" t="s">
        <v>61</v>
      </c>
      <c r="S205" s="35" t="n">
        <f>14305</f>
        <v>14305.0</v>
      </c>
      <c r="T205" s="32" t="n">
        <f>1</f>
        <v>1.0</v>
      </c>
      <c r="U205" s="32" t="str">
        <f>"－"</f>
        <v>－</v>
      </c>
      <c r="V205" s="32" t="n">
        <f>14305</f>
        <v>14305.0</v>
      </c>
      <c r="W205" s="32" t="str">
        <f>"－"</f>
        <v>－</v>
      </c>
      <c r="X205" s="36" t="n">
        <f>1</f>
        <v>1.0</v>
      </c>
    </row>
    <row r="206">
      <c r="A206" s="27" t="s">
        <v>42</v>
      </c>
      <c r="B206" s="27" t="s">
        <v>664</v>
      </c>
      <c r="C206" s="27" t="s">
        <v>665</v>
      </c>
      <c r="D206" s="27" t="s">
        <v>666</v>
      </c>
      <c r="E206" s="28" t="s">
        <v>46</v>
      </c>
      <c r="F206" s="29" t="s">
        <v>46</v>
      </c>
      <c r="G206" s="30" t="s">
        <v>46</v>
      </c>
      <c r="H206" s="31"/>
      <c r="I206" s="31" t="s">
        <v>600</v>
      </c>
      <c r="J206" s="32" t="n">
        <v>1.0</v>
      </c>
      <c r="K206" s="33" t="n">
        <f>13460</f>
        <v>13460.0</v>
      </c>
      <c r="L206" s="34" t="s">
        <v>72</v>
      </c>
      <c r="M206" s="33" t="n">
        <f>13460</f>
        <v>13460.0</v>
      </c>
      <c r="N206" s="34" t="s">
        <v>72</v>
      </c>
      <c r="O206" s="33" t="n">
        <f>13460</f>
        <v>13460.0</v>
      </c>
      <c r="P206" s="34" t="s">
        <v>72</v>
      </c>
      <c r="Q206" s="33" t="n">
        <f>13460</f>
        <v>13460.0</v>
      </c>
      <c r="R206" s="34" t="s">
        <v>72</v>
      </c>
      <c r="S206" s="35" t="n">
        <f>13460</f>
        <v>13460.0</v>
      </c>
      <c r="T206" s="32" t="n">
        <f>7</f>
        <v>7.0</v>
      </c>
      <c r="U206" s="32" t="str">
        <f>"－"</f>
        <v>－</v>
      </c>
      <c r="V206" s="32" t="n">
        <f>94220</f>
        <v>94220.0</v>
      </c>
      <c r="W206" s="32" t="str">
        <f>"－"</f>
        <v>－</v>
      </c>
      <c r="X206" s="36" t="n">
        <f>1</f>
        <v>1.0</v>
      </c>
    </row>
    <row r="207">
      <c r="A207" s="27" t="s">
        <v>42</v>
      </c>
      <c r="B207" s="27" t="s">
        <v>667</v>
      </c>
      <c r="C207" s="27" t="s">
        <v>668</v>
      </c>
      <c r="D207" s="27" t="s">
        <v>669</v>
      </c>
      <c r="E207" s="28" t="s">
        <v>46</v>
      </c>
      <c r="F207" s="29" t="s">
        <v>46</v>
      </c>
      <c r="G207" s="30" t="s">
        <v>46</v>
      </c>
      <c r="H207" s="31"/>
      <c r="I207" s="31" t="s">
        <v>600</v>
      </c>
      <c r="J207" s="32" t="n">
        <v>1.0</v>
      </c>
      <c r="K207" s="33" t="n">
        <f>9556</f>
        <v>9556.0</v>
      </c>
      <c r="L207" s="34" t="s">
        <v>226</v>
      </c>
      <c r="M207" s="33" t="n">
        <f>9556</f>
        <v>9556.0</v>
      </c>
      <c r="N207" s="34" t="s">
        <v>226</v>
      </c>
      <c r="O207" s="33" t="n">
        <f>9108</f>
        <v>9108.0</v>
      </c>
      <c r="P207" s="34" t="s">
        <v>51</v>
      </c>
      <c r="Q207" s="33" t="n">
        <f>9108</f>
        <v>9108.0</v>
      </c>
      <c r="R207" s="34" t="s">
        <v>51</v>
      </c>
      <c r="S207" s="35" t="n">
        <f>9276.36</f>
        <v>9276.36</v>
      </c>
      <c r="T207" s="32" t="n">
        <f>3427</f>
        <v>3427.0</v>
      </c>
      <c r="U207" s="32" t="str">
        <f>"－"</f>
        <v>－</v>
      </c>
      <c r="V207" s="32" t="n">
        <f>31405778</f>
        <v>3.1405778E7</v>
      </c>
      <c r="W207" s="32" t="str">
        <f>"－"</f>
        <v>－</v>
      </c>
      <c r="X207" s="36" t="n">
        <f>11</f>
        <v>11.0</v>
      </c>
    </row>
    <row r="208">
      <c r="A208" s="27" t="s">
        <v>42</v>
      </c>
      <c r="B208" s="27" t="s">
        <v>670</v>
      </c>
      <c r="C208" s="27" t="s">
        <v>671</v>
      </c>
      <c r="D208" s="27" t="s">
        <v>672</v>
      </c>
      <c r="E208" s="28" t="s">
        <v>46</v>
      </c>
      <c r="F208" s="29" t="s">
        <v>46</v>
      </c>
      <c r="G208" s="30" t="s">
        <v>46</v>
      </c>
      <c r="H208" s="31"/>
      <c r="I208" s="31" t="s">
        <v>600</v>
      </c>
      <c r="J208" s="32" t="n">
        <v>1.0</v>
      </c>
      <c r="K208" s="33" t="n">
        <f>10500</f>
        <v>10500.0</v>
      </c>
      <c r="L208" s="34" t="s">
        <v>48</v>
      </c>
      <c r="M208" s="33" t="n">
        <f>10555</f>
        <v>10555.0</v>
      </c>
      <c r="N208" s="34" t="s">
        <v>226</v>
      </c>
      <c r="O208" s="33" t="n">
        <f>9658</f>
        <v>9658.0</v>
      </c>
      <c r="P208" s="34" t="s">
        <v>50</v>
      </c>
      <c r="Q208" s="33" t="n">
        <f>9888</f>
        <v>9888.0</v>
      </c>
      <c r="R208" s="34" t="s">
        <v>51</v>
      </c>
      <c r="S208" s="35" t="n">
        <f>10078.47</f>
        <v>10078.47</v>
      </c>
      <c r="T208" s="32" t="n">
        <f>17438</f>
        <v>17438.0</v>
      </c>
      <c r="U208" s="32" t="str">
        <f>"－"</f>
        <v>－</v>
      </c>
      <c r="V208" s="32" t="n">
        <f>174244021</f>
        <v>1.74244021E8</v>
      </c>
      <c r="W208" s="32" t="str">
        <f>"－"</f>
        <v>－</v>
      </c>
      <c r="X208" s="36" t="n">
        <f>17</f>
        <v>17.0</v>
      </c>
    </row>
    <row r="209">
      <c r="A209" s="27" t="s">
        <v>42</v>
      </c>
      <c r="B209" s="27" t="s">
        <v>673</v>
      </c>
      <c r="C209" s="27" t="s">
        <v>674</v>
      </c>
      <c r="D209" s="27" t="s">
        <v>675</v>
      </c>
      <c r="E209" s="28" t="s">
        <v>46</v>
      </c>
      <c r="F209" s="29" t="s">
        <v>46</v>
      </c>
      <c r="G209" s="30" t="s">
        <v>46</v>
      </c>
      <c r="H209" s="31"/>
      <c r="I209" s="31" t="s">
        <v>600</v>
      </c>
      <c r="J209" s="32" t="n">
        <v>1.0</v>
      </c>
      <c r="K209" s="33" t="n">
        <f>9617</f>
        <v>9617.0</v>
      </c>
      <c r="L209" s="34" t="s">
        <v>72</v>
      </c>
      <c r="M209" s="33" t="n">
        <f>9700</f>
        <v>9700.0</v>
      </c>
      <c r="N209" s="34" t="s">
        <v>72</v>
      </c>
      <c r="O209" s="33" t="n">
        <f>9280</f>
        <v>9280.0</v>
      </c>
      <c r="P209" s="34" t="s">
        <v>427</v>
      </c>
      <c r="Q209" s="33" t="n">
        <f>9286</f>
        <v>9286.0</v>
      </c>
      <c r="R209" s="34" t="s">
        <v>51</v>
      </c>
      <c r="S209" s="35" t="n">
        <f>9435.58</f>
        <v>9435.58</v>
      </c>
      <c r="T209" s="32" t="n">
        <f>2196</f>
        <v>2196.0</v>
      </c>
      <c r="U209" s="32" t="n">
        <f>2</f>
        <v>2.0</v>
      </c>
      <c r="V209" s="32" t="n">
        <f>20732657</f>
        <v>2.0732657E7</v>
      </c>
      <c r="W209" s="32" t="n">
        <f>19004</f>
        <v>19004.0</v>
      </c>
      <c r="X209" s="36" t="n">
        <f>12</f>
        <v>12.0</v>
      </c>
    </row>
    <row r="210">
      <c r="A210" s="27" t="s">
        <v>42</v>
      </c>
      <c r="B210" s="27" t="s">
        <v>676</v>
      </c>
      <c r="C210" s="27" t="s">
        <v>677</v>
      </c>
      <c r="D210" s="27" t="s">
        <v>678</v>
      </c>
      <c r="E210" s="28" t="s">
        <v>46</v>
      </c>
      <c r="F210" s="29" t="s">
        <v>46</v>
      </c>
      <c r="G210" s="30" t="s">
        <v>46</v>
      </c>
      <c r="H210" s="31"/>
      <c r="I210" s="31" t="s">
        <v>600</v>
      </c>
      <c r="J210" s="32" t="n">
        <v>1.0</v>
      </c>
      <c r="K210" s="33" t="n">
        <f>10510</f>
        <v>10510.0</v>
      </c>
      <c r="L210" s="34" t="s">
        <v>226</v>
      </c>
      <c r="M210" s="33" t="n">
        <f>10510</f>
        <v>10510.0</v>
      </c>
      <c r="N210" s="34" t="s">
        <v>226</v>
      </c>
      <c r="O210" s="33" t="n">
        <f>10165</f>
        <v>10165.0</v>
      </c>
      <c r="P210" s="34" t="s">
        <v>61</v>
      </c>
      <c r="Q210" s="33" t="n">
        <f>10165</f>
        <v>10165.0</v>
      </c>
      <c r="R210" s="34" t="s">
        <v>61</v>
      </c>
      <c r="S210" s="35" t="n">
        <f>10286.67</f>
        <v>10286.67</v>
      </c>
      <c r="T210" s="32" t="n">
        <f>405</f>
        <v>405.0</v>
      </c>
      <c r="U210" s="32" t="str">
        <f>"－"</f>
        <v>－</v>
      </c>
      <c r="V210" s="32" t="n">
        <f>4117555</f>
        <v>4117555.0</v>
      </c>
      <c r="W210" s="32" t="str">
        <f>"－"</f>
        <v>－</v>
      </c>
      <c r="X210" s="36" t="n">
        <f>6</f>
        <v>6.0</v>
      </c>
    </row>
    <row r="211">
      <c r="A211" s="27" t="s">
        <v>42</v>
      </c>
      <c r="B211" s="27" t="s">
        <v>679</v>
      </c>
      <c r="C211" s="27" t="s">
        <v>680</v>
      </c>
      <c r="D211" s="27" t="s">
        <v>681</v>
      </c>
      <c r="E211" s="28" t="s">
        <v>46</v>
      </c>
      <c r="F211" s="29" t="s">
        <v>46</v>
      </c>
      <c r="G211" s="30" t="s">
        <v>46</v>
      </c>
      <c r="H211" s="31"/>
      <c r="I211" s="31" t="s">
        <v>47</v>
      </c>
      <c r="J211" s="32" t="n">
        <v>10.0</v>
      </c>
      <c r="K211" s="33" t="n">
        <f>976.2</f>
        <v>976.2</v>
      </c>
      <c r="L211" s="34" t="s">
        <v>48</v>
      </c>
      <c r="M211" s="33" t="n">
        <f>978</f>
        <v>978.0</v>
      </c>
      <c r="N211" s="34" t="s">
        <v>48</v>
      </c>
      <c r="O211" s="33" t="n">
        <f>968.8</f>
        <v>968.8</v>
      </c>
      <c r="P211" s="34" t="s">
        <v>168</v>
      </c>
      <c r="Q211" s="33" t="n">
        <f>972.9</f>
        <v>972.9</v>
      </c>
      <c r="R211" s="34" t="s">
        <v>51</v>
      </c>
      <c r="S211" s="35" t="n">
        <f>972.19</f>
        <v>972.19</v>
      </c>
      <c r="T211" s="32" t="n">
        <f>6413120</f>
        <v>6413120.0</v>
      </c>
      <c r="U211" s="32" t="n">
        <f>5082340</f>
        <v>5082340.0</v>
      </c>
      <c r="V211" s="32" t="n">
        <f>6241998119</f>
        <v>6.241998119E9</v>
      </c>
      <c r="W211" s="32" t="n">
        <f>4947617847</f>
        <v>4.947617847E9</v>
      </c>
      <c r="X211" s="36" t="n">
        <f>20</f>
        <v>20.0</v>
      </c>
    </row>
    <row r="212">
      <c r="A212" s="27" t="s">
        <v>42</v>
      </c>
      <c r="B212" s="27" t="s">
        <v>682</v>
      </c>
      <c r="C212" s="27" t="s">
        <v>683</v>
      </c>
      <c r="D212" s="27" t="s">
        <v>684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10.0</v>
      </c>
      <c r="K212" s="33" t="n">
        <f>1004.5</f>
        <v>1004.5</v>
      </c>
      <c r="L212" s="34" t="s">
        <v>48</v>
      </c>
      <c r="M212" s="33" t="n">
        <f>1021.5</f>
        <v>1021.5</v>
      </c>
      <c r="N212" s="34" t="s">
        <v>166</v>
      </c>
      <c r="O212" s="33" t="n">
        <f>997.7</f>
        <v>997.7</v>
      </c>
      <c r="P212" s="34" t="s">
        <v>86</v>
      </c>
      <c r="Q212" s="33" t="n">
        <f>1020</f>
        <v>1020.0</v>
      </c>
      <c r="R212" s="34" t="s">
        <v>51</v>
      </c>
      <c r="S212" s="35" t="n">
        <f>1008.3</f>
        <v>1008.3</v>
      </c>
      <c r="T212" s="32" t="n">
        <f>1159200</f>
        <v>1159200.0</v>
      </c>
      <c r="U212" s="32" t="n">
        <f>645690</f>
        <v>645690.0</v>
      </c>
      <c r="V212" s="32" t="n">
        <f>1169497545</f>
        <v>1.169497545E9</v>
      </c>
      <c r="W212" s="32" t="n">
        <f>650716155</f>
        <v>6.50716155E8</v>
      </c>
      <c r="X212" s="36" t="n">
        <f>20</f>
        <v>20.0</v>
      </c>
    </row>
    <row r="213">
      <c r="A213" s="27" t="s">
        <v>42</v>
      </c>
      <c r="B213" s="27" t="s">
        <v>685</v>
      </c>
      <c r="C213" s="27" t="s">
        <v>686</v>
      </c>
      <c r="D213" s="27" t="s">
        <v>687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948.9</f>
        <v>948.9</v>
      </c>
      <c r="L213" s="34" t="s">
        <v>48</v>
      </c>
      <c r="M213" s="33" t="n">
        <f>948.9</f>
        <v>948.9</v>
      </c>
      <c r="N213" s="34" t="s">
        <v>48</v>
      </c>
      <c r="O213" s="33" t="n">
        <f>914.7</f>
        <v>914.7</v>
      </c>
      <c r="P213" s="34" t="s">
        <v>264</v>
      </c>
      <c r="Q213" s="33" t="n">
        <f>922.4</f>
        <v>922.4</v>
      </c>
      <c r="R213" s="34" t="s">
        <v>51</v>
      </c>
      <c r="S213" s="35" t="n">
        <f>928.25</f>
        <v>928.25</v>
      </c>
      <c r="T213" s="32" t="n">
        <f>11310150</f>
        <v>1.131015E7</v>
      </c>
      <c r="U213" s="32" t="n">
        <f>9308340</f>
        <v>9308340.0</v>
      </c>
      <c r="V213" s="32" t="n">
        <f>10482677831</f>
        <v>1.0482677831E10</v>
      </c>
      <c r="W213" s="32" t="n">
        <f>8632800595</f>
        <v>8.632800595E9</v>
      </c>
      <c r="X213" s="36" t="n">
        <f>20</f>
        <v>20.0</v>
      </c>
    </row>
    <row r="214">
      <c r="A214" s="27" t="s">
        <v>42</v>
      </c>
      <c r="B214" s="27" t="s">
        <v>688</v>
      </c>
      <c r="C214" s="27" t="s">
        <v>689</v>
      </c>
      <c r="D214" s="27" t="s">
        <v>690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10.0</v>
      </c>
      <c r="K214" s="33" t="n">
        <f>1698.5</f>
        <v>1698.5</v>
      </c>
      <c r="L214" s="34" t="s">
        <v>48</v>
      </c>
      <c r="M214" s="33" t="n">
        <f>1762.5</f>
        <v>1762.5</v>
      </c>
      <c r="N214" s="34" t="s">
        <v>166</v>
      </c>
      <c r="O214" s="33" t="n">
        <f>1625.5</f>
        <v>1625.5</v>
      </c>
      <c r="P214" s="34" t="s">
        <v>50</v>
      </c>
      <c r="Q214" s="33" t="n">
        <f>1680</f>
        <v>1680.0</v>
      </c>
      <c r="R214" s="34" t="s">
        <v>51</v>
      </c>
      <c r="S214" s="35" t="n">
        <f>1704.65</f>
        <v>1704.65</v>
      </c>
      <c r="T214" s="32" t="n">
        <f>3030290</f>
        <v>3030290.0</v>
      </c>
      <c r="U214" s="32" t="n">
        <f>897630</f>
        <v>897630.0</v>
      </c>
      <c r="V214" s="32" t="n">
        <f>5150175118</f>
        <v>5.150175118E9</v>
      </c>
      <c r="W214" s="32" t="n">
        <f>1527470343</f>
        <v>1.527470343E9</v>
      </c>
      <c r="X214" s="36" t="n">
        <f>20</f>
        <v>20.0</v>
      </c>
    </row>
    <row r="215">
      <c r="A215" s="27" t="s">
        <v>42</v>
      </c>
      <c r="B215" s="27" t="s">
        <v>691</v>
      </c>
      <c r="C215" s="27" t="s">
        <v>692</v>
      </c>
      <c r="D215" s="27" t="s">
        <v>693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10.0</v>
      </c>
      <c r="K215" s="33" t="n">
        <f>1523</f>
        <v>1523.0</v>
      </c>
      <c r="L215" s="34" t="s">
        <v>48</v>
      </c>
      <c r="M215" s="33" t="n">
        <f>1532</f>
        <v>1532.0</v>
      </c>
      <c r="N215" s="34" t="s">
        <v>49</v>
      </c>
      <c r="O215" s="33" t="n">
        <f>1400</f>
        <v>1400.0</v>
      </c>
      <c r="P215" s="34" t="s">
        <v>50</v>
      </c>
      <c r="Q215" s="33" t="n">
        <f>1417</f>
        <v>1417.0</v>
      </c>
      <c r="R215" s="34" t="s">
        <v>51</v>
      </c>
      <c r="S215" s="35" t="n">
        <f>1481.55</f>
        <v>1481.55</v>
      </c>
      <c r="T215" s="32" t="n">
        <f>1896210</f>
        <v>1896210.0</v>
      </c>
      <c r="U215" s="32" t="n">
        <f>1481240</f>
        <v>1481240.0</v>
      </c>
      <c r="V215" s="32" t="n">
        <f>2842116005</f>
        <v>2.842116005E9</v>
      </c>
      <c r="W215" s="32" t="n">
        <f>2225510880</f>
        <v>2.22551088E9</v>
      </c>
      <c r="X215" s="36" t="n">
        <f>20</f>
        <v>20.0</v>
      </c>
    </row>
    <row r="216">
      <c r="A216" s="27" t="s">
        <v>42</v>
      </c>
      <c r="B216" s="27" t="s">
        <v>694</v>
      </c>
      <c r="C216" s="27" t="s">
        <v>695</v>
      </c>
      <c r="D216" s="27" t="s">
        <v>696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1350</f>
        <v>1350.0</v>
      </c>
      <c r="L216" s="34" t="s">
        <v>48</v>
      </c>
      <c r="M216" s="33" t="n">
        <f>1457.5</f>
        <v>1457.5</v>
      </c>
      <c r="N216" s="34" t="s">
        <v>166</v>
      </c>
      <c r="O216" s="33" t="n">
        <f>1339</f>
        <v>1339.0</v>
      </c>
      <c r="P216" s="34" t="s">
        <v>73</v>
      </c>
      <c r="Q216" s="33" t="n">
        <f>1406.5</f>
        <v>1406.5</v>
      </c>
      <c r="R216" s="34" t="s">
        <v>51</v>
      </c>
      <c r="S216" s="35" t="n">
        <f>1392.43</f>
        <v>1392.43</v>
      </c>
      <c r="T216" s="32" t="n">
        <f>427400</f>
        <v>427400.0</v>
      </c>
      <c r="U216" s="32" t="n">
        <f>1390</f>
        <v>1390.0</v>
      </c>
      <c r="V216" s="32" t="n">
        <f>592380942</f>
        <v>5.92380942E8</v>
      </c>
      <c r="W216" s="32" t="n">
        <f>2028642</f>
        <v>2028642.0</v>
      </c>
      <c r="X216" s="36" t="n">
        <f>20</f>
        <v>20.0</v>
      </c>
    </row>
    <row r="217">
      <c r="A217" s="27" t="s">
        <v>42</v>
      </c>
      <c r="B217" s="27" t="s">
        <v>697</v>
      </c>
      <c r="C217" s="27" t="s">
        <v>698</v>
      </c>
      <c r="D217" s="27" t="s">
        <v>699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602</f>
        <v>602.0</v>
      </c>
      <c r="L217" s="34" t="s">
        <v>48</v>
      </c>
      <c r="M217" s="33" t="n">
        <f>653</f>
        <v>653.0</v>
      </c>
      <c r="N217" s="34" t="s">
        <v>49</v>
      </c>
      <c r="O217" s="33" t="n">
        <f>525.6</f>
        <v>525.6</v>
      </c>
      <c r="P217" s="34" t="s">
        <v>168</v>
      </c>
      <c r="Q217" s="33" t="n">
        <f>537.7</f>
        <v>537.7</v>
      </c>
      <c r="R217" s="34" t="s">
        <v>51</v>
      </c>
      <c r="S217" s="35" t="n">
        <f>584.82</f>
        <v>584.82</v>
      </c>
      <c r="T217" s="32" t="n">
        <f>60704540</f>
        <v>6.070454E7</v>
      </c>
      <c r="U217" s="32" t="n">
        <f>1339030</f>
        <v>1339030.0</v>
      </c>
      <c r="V217" s="32" t="n">
        <f>35889884727</f>
        <v>3.5889884727E10</v>
      </c>
      <c r="W217" s="32" t="n">
        <f>775180397</f>
        <v>7.75180397E8</v>
      </c>
      <c r="X217" s="36" t="n">
        <f>20</f>
        <v>20.0</v>
      </c>
    </row>
    <row r="218">
      <c r="A218" s="27" t="s">
        <v>42</v>
      </c>
      <c r="B218" s="27" t="s">
        <v>700</v>
      </c>
      <c r="C218" s="27" t="s">
        <v>701</v>
      </c>
      <c r="D218" s="27" t="s">
        <v>702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1177.5</f>
        <v>1177.5</v>
      </c>
      <c r="L218" s="34" t="s">
        <v>48</v>
      </c>
      <c r="M218" s="33" t="n">
        <f>1206</f>
        <v>1206.0</v>
      </c>
      <c r="N218" s="34" t="s">
        <v>72</v>
      </c>
      <c r="O218" s="33" t="n">
        <f>1158</f>
        <v>1158.0</v>
      </c>
      <c r="P218" s="34" t="s">
        <v>114</v>
      </c>
      <c r="Q218" s="33" t="n">
        <f>1169</f>
        <v>1169.0</v>
      </c>
      <c r="R218" s="34" t="s">
        <v>51</v>
      </c>
      <c r="S218" s="35" t="n">
        <f>1174.48</f>
        <v>1174.48</v>
      </c>
      <c r="T218" s="32" t="n">
        <f>515340</f>
        <v>515340.0</v>
      </c>
      <c r="U218" s="32" t="n">
        <f>368000</f>
        <v>368000.0</v>
      </c>
      <c r="V218" s="32" t="n">
        <f>604884194</f>
        <v>6.04884194E8</v>
      </c>
      <c r="W218" s="32" t="n">
        <f>431455669</f>
        <v>4.31455669E8</v>
      </c>
      <c r="X218" s="36" t="n">
        <f>20</f>
        <v>20.0</v>
      </c>
    </row>
    <row r="219">
      <c r="A219" s="27" t="s">
        <v>42</v>
      </c>
      <c r="B219" s="27" t="s">
        <v>703</v>
      </c>
      <c r="C219" s="27" t="s">
        <v>704</v>
      </c>
      <c r="D219" s="27" t="s">
        <v>705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1.0</v>
      </c>
      <c r="K219" s="33" t="n">
        <f>1136</f>
        <v>1136.0</v>
      </c>
      <c r="L219" s="34" t="s">
        <v>48</v>
      </c>
      <c r="M219" s="33" t="n">
        <f>1136</f>
        <v>1136.0</v>
      </c>
      <c r="N219" s="34" t="s">
        <v>48</v>
      </c>
      <c r="O219" s="33" t="n">
        <f>1049</f>
        <v>1049.0</v>
      </c>
      <c r="P219" s="34" t="s">
        <v>50</v>
      </c>
      <c r="Q219" s="33" t="n">
        <f>1080</f>
        <v>1080.0</v>
      </c>
      <c r="R219" s="34" t="s">
        <v>51</v>
      </c>
      <c r="S219" s="35" t="n">
        <f>1092.15</f>
        <v>1092.15</v>
      </c>
      <c r="T219" s="32" t="n">
        <f>81702</f>
        <v>81702.0</v>
      </c>
      <c r="U219" s="32" t="str">
        <f>"－"</f>
        <v>－</v>
      </c>
      <c r="V219" s="32" t="n">
        <f>90835148</f>
        <v>9.0835148E7</v>
      </c>
      <c r="W219" s="32" t="str">
        <f>"－"</f>
        <v>－</v>
      </c>
      <c r="X219" s="36" t="n">
        <f>20</f>
        <v>20.0</v>
      </c>
    </row>
    <row r="220">
      <c r="A220" s="27" t="s">
        <v>42</v>
      </c>
      <c r="B220" s="27" t="s">
        <v>706</v>
      </c>
      <c r="C220" s="27" t="s">
        <v>707</v>
      </c>
      <c r="D220" s="27" t="s">
        <v>708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926.6</f>
        <v>926.6</v>
      </c>
      <c r="L220" s="34" t="s">
        <v>48</v>
      </c>
      <c r="M220" s="33" t="n">
        <f>949.9</f>
        <v>949.9</v>
      </c>
      <c r="N220" s="34" t="s">
        <v>226</v>
      </c>
      <c r="O220" s="33" t="n">
        <f>925</f>
        <v>925.0</v>
      </c>
      <c r="P220" s="34" t="s">
        <v>254</v>
      </c>
      <c r="Q220" s="33" t="n">
        <f>934.6</f>
        <v>934.6</v>
      </c>
      <c r="R220" s="34" t="s">
        <v>51</v>
      </c>
      <c r="S220" s="35" t="n">
        <f>936.12</f>
        <v>936.12</v>
      </c>
      <c r="T220" s="32" t="n">
        <f>27560</f>
        <v>27560.0</v>
      </c>
      <c r="U220" s="32" t="n">
        <f>20</f>
        <v>20.0</v>
      </c>
      <c r="V220" s="32" t="n">
        <f>25825398</f>
        <v>2.5825398E7</v>
      </c>
      <c r="W220" s="32" t="n">
        <f>18825</f>
        <v>18825.0</v>
      </c>
      <c r="X220" s="36" t="n">
        <f>20</f>
        <v>20.0</v>
      </c>
    </row>
    <row r="221">
      <c r="A221" s="27" t="s">
        <v>42</v>
      </c>
      <c r="B221" s="27" t="s">
        <v>709</v>
      </c>
      <c r="C221" s="27" t="s">
        <v>710</v>
      </c>
      <c r="D221" s="27" t="s">
        <v>711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1210.5</f>
        <v>1210.5</v>
      </c>
      <c r="L221" s="34" t="s">
        <v>48</v>
      </c>
      <c r="M221" s="33" t="n">
        <f>1248</f>
        <v>1248.0</v>
      </c>
      <c r="N221" s="34" t="s">
        <v>49</v>
      </c>
      <c r="O221" s="33" t="n">
        <f>1143.5</f>
        <v>1143.5</v>
      </c>
      <c r="P221" s="34" t="s">
        <v>50</v>
      </c>
      <c r="Q221" s="33" t="n">
        <f>1182.5</f>
        <v>1182.5</v>
      </c>
      <c r="R221" s="34" t="s">
        <v>51</v>
      </c>
      <c r="S221" s="35" t="n">
        <f>1212.08</f>
        <v>1212.08</v>
      </c>
      <c r="T221" s="32" t="n">
        <f>77490</f>
        <v>77490.0</v>
      </c>
      <c r="U221" s="32" t="str">
        <f>"－"</f>
        <v>－</v>
      </c>
      <c r="V221" s="32" t="n">
        <f>92556480</f>
        <v>9.255648E7</v>
      </c>
      <c r="W221" s="32" t="str">
        <f>"－"</f>
        <v>－</v>
      </c>
      <c r="X221" s="36" t="n">
        <f>20</f>
        <v>20.0</v>
      </c>
    </row>
    <row r="222">
      <c r="A222" s="27" t="s">
        <v>42</v>
      </c>
      <c r="B222" s="27" t="s">
        <v>712</v>
      </c>
      <c r="C222" s="27" t="s">
        <v>713</v>
      </c>
      <c r="D222" s="27" t="s">
        <v>714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1589</f>
        <v>1589.0</v>
      </c>
      <c r="L222" s="34" t="s">
        <v>48</v>
      </c>
      <c r="M222" s="33" t="n">
        <f>1599</f>
        <v>1599.0</v>
      </c>
      <c r="N222" s="34" t="s">
        <v>49</v>
      </c>
      <c r="O222" s="33" t="n">
        <f>1450</f>
        <v>1450.0</v>
      </c>
      <c r="P222" s="34" t="s">
        <v>50</v>
      </c>
      <c r="Q222" s="33" t="n">
        <f>1467</f>
        <v>1467.0</v>
      </c>
      <c r="R222" s="34" t="s">
        <v>51</v>
      </c>
      <c r="S222" s="35" t="n">
        <f>1540.33</f>
        <v>1540.33</v>
      </c>
      <c r="T222" s="32" t="n">
        <f>11500880</f>
        <v>1.150088E7</v>
      </c>
      <c r="U222" s="32" t="n">
        <f>1731800</f>
        <v>1731800.0</v>
      </c>
      <c r="V222" s="32" t="n">
        <f>17598614235</f>
        <v>1.7598614235E10</v>
      </c>
      <c r="W222" s="32" t="n">
        <f>2647553990</f>
        <v>2.64755399E9</v>
      </c>
      <c r="X222" s="36" t="n">
        <f>20</f>
        <v>20.0</v>
      </c>
    </row>
    <row r="223">
      <c r="A223" s="27" t="s">
        <v>42</v>
      </c>
      <c r="B223" s="27" t="s">
        <v>715</v>
      </c>
      <c r="C223" s="27" t="s">
        <v>716</v>
      </c>
      <c r="D223" s="27" t="s">
        <v>717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1.0</v>
      </c>
      <c r="K223" s="33" t="n">
        <f>3875</f>
        <v>3875.0</v>
      </c>
      <c r="L223" s="34" t="s">
        <v>48</v>
      </c>
      <c r="M223" s="33" t="n">
        <f>3915</f>
        <v>3915.0</v>
      </c>
      <c r="N223" s="34" t="s">
        <v>49</v>
      </c>
      <c r="O223" s="33" t="n">
        <f>3435</f>
        <v>3435.0</v>
      </c>
      <c r="P223" s="34" t="s">
        <v>50</v>
      </c>
      <c r="Q223" s="33" t="n">
        <f>3565</f>
        <v>3565.0</v>
      </c>
      <c r="R223" s="34" t="s">
        <v>51</v>
      </c>
      <c r="S223" s="35" t="n">
        <f>3684</f>
        <v>3684.0</v>
      </c>
      <c r="T223" s="32" t="n">
        <f>41528</f>
        <v>41528.0</v>
      </c>
      <c r="U223" s="32" t="str">
        <f>"－"</f>
        <v>－</v>
      </c>
      <c r="V223" s="32" t="n">
        <f>151110925</f>
        <v>1.51110925E8</v>
      </c>
      <c r="W223" s="32" t="str">
        <f>"－"</f>
        <v>－</v>
      </c>
      <c r="X223" s="36" t="n">
        <f>20</f>
        <v>20.0</v>
      </c>
    </row>
    <row r="224">
      <c r="A224" s="27" t="s">
        <v>42</v>
      </c>
      <c r="B224" s="27" t="s">
        <v>718</v>
      </c>
      <c r="C224" s="27" t="s">
        <v>719</v>
      </c>
      <c r="D224" s="27" t="s">
        <v>720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1624</f>
        <v>1624.0</v>
      </c>
      <c r="L224" s="34" t="s">
        <v>48</v>
      </c>
      <c r="M224" s="33" t="n">
        <f>1657.5</f>
        <v>1657.5</v>
      </c>
      <c r="N224" s="34" t="s">
        <v>49</v>
      </c>
      <c r="O224" s="33" t="n">
        <f>1551.5</f>
        <v>1551.5</v>
      </c>
      <c r="P224" s="34" t="s">
        <v>50</v>
      </c>
      <c r="Q224" s="33" t="n">
        <f>1579</f>
        <v>1579.0</v>
      </c>
      <c r="R224" s="34" t="s">
        <v>51</v>
      </c>
      <c r="S224" s="35" t="n">
        <f>1608.59</f>
        <v>1608.59</v>
      </c>
      <c r="T224" s="32" t="n">
        <f>2400</f>
        <v>2400.0</v>
      </c>
      <c r="U224" s="32" t="str">
        <f>"－"</f>
        <v>－</v>
      </c>
      <c r="V224" s="32" t="n">
        <f>3822000</f>
        <v>3822000.0</v>
      </c>
      <c r="W224" s="32" t="str">
        <f>"－"</f>
        <v>－</v>
      </c>
      <c r="X224" s="36" t="n">
        <f>16</f>
        <v>16.0</v>
      </c>
    </row>
    <row r="225">
      <c r="A225" s="27" t="s">
        <v>42</v>
      </c>
      <c r="B225" s="27" t="s">
        <v>721</v>
      </c>
      <c r="C225" s="27" t="s">
        <v>722</v>
      </c>
      <c r="D225" s="27" t="s">
        <v>723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1969</f>
        <v>1969.0</v>
      </c>
      <c r="L225" s="34" t="s">
        <v>48</v>
      </c>
      <c r="M225" s="33" t="n">
        <f>2019</f>
        <v>2019.0</v>
      </c>
      <c r="N225" s="34" t="s">
        <v>49</v>
      </c>
      <c r="O225" s="33" t="n">
        <f>1892.5</f>
        <v>1892.5</v>
      </c>
      <c r="P225" s="34" t="s">
        <v>50</v>
      </c>
      <c r="Q225" s="33" t="n">
        <f>1941</f>
        <v>1941.0</v>
      </c>
      <c r="R225" s="34" t="s">
        <v>51</v>
      </c>
      <c r="S225" s="35" t="n">
        <f>1946.34</f>
        <v>1946.34</v>
      </c>
      <c r="T225" s="32" t="n">
        <f>923580</f>
        <v>923580.0</v>
      </c>
      <c r="U225" s="32" t="n">
        <f>460000</f>
        <v>460000.0</v>
      </c>
      <c r="V225" s="32" t="n">
        <f>1829848727</f>
        <v>1.829848727E9</v>
      </c>
      <c r="W225" s="32" t="n">
        <f>917777037</f>
        <v>9.17777037E8</v>
      </c>
      <c r="X225" s="36" t="n">
        <f>19</f>
        <v>19.0</v>
      </c>
    </row>
    <row r="226">
      <c r="A226" s="27" t="s">
        <v>42</v>
      </c>
      <c r="B226" s="27" t="s">
        <v>724</v>
      </c>
      <c r="C226" s="27" t="s">
        <v>725</v>
      </c>
      <c r="D226" s="27" t="s">
        <v>726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28050</f>
        <v>28050.0</v>
      </c>
      <c r="L226" s="34" t="s">
        <v>48</v>
      </c>
      <c r="M226" s="33" t="n">
        <f>28280</f>
        <v>28280.0</v>
      </c>
      <c r="N226" s="34" t="s">
        <v>49</v>
      </c>
      <c r="O226" s="33" t="n">
        <f>26510</f>
        <v>26510.0</v>
      </c>
      <c r="P226" s="34" t="s">
        <v>50</v>
      </c>
      <c r="Q226" s="33" t="n">
        <f>27035</f>
        <v>27035.0</v>
      </c>
      <c r="R226" s="34" t="s">
        <v>51</v>
      </c>
      <c r="S226" s="35" t="n">
        <f>27389.71</f>
        <v>27389.71</v>
      </c>
      <c r="T226" s="32" t="n">
        <f>7535</f>
        <v>7535.0</v>
      </c>
      <c r="U226" s="32" t="str">
        <f>"－"</f>
        <v>－</v>
      </c>
      <c r="V226" s="32" t="n">
        <f>208043800</f>
        <v>2.080438E8</v>
      </c>
      <c r="W226" s="32" t="str">
        <f>"－"</f>
        <v>－</v>
      </c>
      <c r="X226" s="36" t="n">
        <f>17</f>
        <v>17.0</v>
      </c>
    </row>
    <row r="227">
      <c r="A227" s="27" t="s">
        <v>42</v>
      </c>
      <c r="B227" s="27" t="s">
        <v>727</v>
      </c>
      <c r="C227" s="27" t="s">
        <v>728</v>
      </c>
      <c r="D227" s="27" t="s">
        <v>729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17890</f>
        <v>17890.0</v>
      </c>
      <c r="L227" s="34" t="s">
        <v>48</v>
      </c>
      <c r="M227" s="33" t="n">
        <f>18075</f>
        <v>18075.0</v>
      </c>
      <c r="N227" s="34" t="s">
        <v>49</v>
      </c>
      <c r="O227" s="33" t="n">
        <f>17035</f>
        <v>17035.0</v>
      </c>
      <c r="P227" s="34" t="s">
        <v>50</v>
      </c>
      <c r="Q227" s="33" t="n">
        <f>17130</f>
        <v>17130.0</v>
      </c>
      <c r="R227" s="34" t="s">
        <v>51</v>
      </c>
      <c r="S227" s="35" t="n">
        <f>17450.71</f>
        <v>17450.71</v>
      </c>
      <c r="T227" s="32" t="n">
        <f>2157</f>
        <v>2157.0</v>
      </c>
      <c r="U227" s="32" t="str">
        <f>"－"</f>
        <v>－</v>
      </c>
      <c r="V227" s="32" t="n">
        <f>37681545</f>
        <v>3.7681545E7</v>
      </c>
      <c r="W227" s="32" t="str">
        <f>"－"</f>
        <v>－</v>
      </c>
      <c r="X227" s="36" t="n">
        <f>7</f>
        <v>7.0</v>
      </c>
    </row>
    <row r="228">
      <c r="A228" s="27" t="s">
        <v>42</v>
      </c>
      <c r="B228" s="27" t="s">
        <v>730</v>
      </c>
      <c r="C228" s="27" t="s">
        <v>731</v>
      </c>
      <c r="D228" s="27" t="s">
        <v>732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1182</f>
        <v>1182.0</v>
      </c>
      <c r="L228" s="34" t="s">
        <v>48</v>
      </c>
      <c r="M228" s="33" t="n">
        <f>1199</f>
        <v>1199.0</v>
      </c>
      <c r="N228" s="34" t="s">
        <v>226</v>
      </c>
      <c r="O228" s="33" t="n">
        <f>1162.5</f>
        <v>1162.5</v>
      </c>
      <c r="P228" s="34" t="s">
        <v>114</v>
      </c>
      <c r="Q228" s="33" t="n">
        <f>1177</f>
        <v>1177.0</v>
      </c>
      <c r="R228" s="34" t="s">
        <v>50</v>
      </c>
      <c r="S228" s="35" t="n">
        <f>1180.57</f>
        <v>1180.57</v>
      </c>
      <c r="T228" s="32" t="n">
        <f>228920</f>
        <v>228920.0</v>
      </c>
      <c r="U228" s="32" t="str">
        <f>"－"</f>
        <v>－</v>
      </c>
      <c r="V228" s="32" t="n">
        <f>268570920</f>
        <v>2.6857092E8</v>
      </c>
      <c r="W228" s="32" t="str">
        <f>"－"</f>
        <v>－</v>
      </c>
      <c r="X228" s="36" t="n">
        <f>14</f>
        <v>14.0</v>
      </c>
    </row>
    <row r="229">
      <c r="A229" s="27" t="s">
        <v>42</v>
      </c>
      <c r="B229" s="27" t="s">
        <v>733</v>
      </c>
      <c r="C229" s="27" t="s">
        <v>734</v>
      </c>
      <c r="D229" s="27" t="s">
        <v>735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1171</f>
        <v>1171.0</v>
      </c>
      <c r="L229" s="34" t="s">
        <v>48</v>
      </c>
      <c r="M229" s="33" t="n">
        <f>1202</f>
        <v>1202.0</v>
      </c>
      <c r="N229" s="34" t="s">
        <v>72</v>
      </c>
      <c r="O229" s="33" t="n">
        <f>1151</f>
        <v>1151.0</v>
      </c>
      <c r="P229" s="34" t="s">
        <v>114</v>
      </c>
      <c r="Q229" s="33" t="n">
        <f>1161</f>
        <v>1161.0</v>
      </c>
      <c r="R229" s="34" t="s">
        <v>51</v>
      </c>
      <c r="S229" s="35" t="n">
        <f>1169.15</f>
        <v>1169.15</v>
      </c>
      <c r="T229" s="32" t="n">
        <f>3280</f>
        <v>3280.0</v>
      </c>
      <c r="U229" s="32" t="str">
        <f>"－"</f>
        <v>－</v>
      </c>
      <c r="V229" s="32" t="n">
        <f>3838865</f>
        <v>3838865.0</v>
      </c>
      <c r="W229" s="32" t="str">
        <f>"－"</f>
        <v>－</v>
      </c>
      <c r="X229" s="36" t="n">
        <f>20</f>
        <v>20.0</v>
      </c>
    </row>
    <row r="230">
      <c r="A230" s="27" t="s">
        <v>42</v>
      </c>
      <c r="B230" s="27" t="s">
        <v>736</v>
      </c>
      <c r="C230" s="27" t="s">
        <v>737</v>
      </c>
      <c r="D230" s="27" t="s">
        <v>738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1184</f>
        <v>1184.0</v>
      </c>
      <c r="L230" s="34" t="s">
        <v>48</v>
      </c>
      <c r="M230" s="33" t="n">
        <f>1229</f>
        <v>1229.0</v>
      </c>
      <c r="N230" s="34" t="s">
        <v>49</v>
      </c>
      <c r="O230" s="33" t="n">
        <f>1129</f>
        <v>1129.0</v>
      </c>
      <c r="P230" s="34" t="s">
        <v>92</v>
      </c>
      <c r="Q230" s="33" t="n">
        <f>1174</f>
        <v>1174.0</v>
      </c>
      <c r="R230" s="34" t="s">
        <v>51</v>
      </c>
      <c r="S230" s="35" t="n">
        <f>1176.85</f>
        <v>1176.85</v>
      </c>
      <c r="T230" s="32" t="n">
        <f>61453</f>
        <v>61453.0</v>
      </c>
      <c r="U230" s="32" t="str">
        <f>"－"</f>
        <v>－</v>
      </c>
      <c r="V230" s="32" t="n">
        <f>71307500</f>
        <v>7.13075E7</v>
      </c>
      <c r="W230" s="32" t="str">
        <f>"－"</f>
        <v>－</v>
      </c>
      <c r="X230" s="36" t="n">
        <f>20</f>
        <v>20.0</v>
      </c>
    </row>
    <row r="231">
      <c r="A231" s="27" t="s">
        <v>42</v>
      </c>
      <c r="B231" s="27" t="s">
        <v>739</v>
      </c>
      <c r="C231" s="27" t="s">
        <v>740</v>
      </c>
      <c r="D231" s="27" t="s">
        <v>741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13520</f>
        <v>13520.0</v>
      </c>
      <c r="L231" s="34" t="s">
        <v>48</v>
      </c>
      <c r="M231" s="33" t="n">
        <f>14100</f>
        <v>14100.0</v>
      </c>
      <c r="N231" s="34" t="s">
        <v>73</v>
      </c>
      <c r="O231" s="33" t="n">
        <f>12300</f>
        <v>12300.0</v>
      </c>
      <c r="P231" s="34" t="s">
        <v>50</v>
      </c>
      <c r="Q231" s="33" t="n">
        <f>13060</f>
        <v>13060.0</v>
      </c>
      <c r="R231" s="34" t="s">
        <v>51</v>
      </c>
      <c r="S231" s="35" t="n">
        <f>13409.75</f>
        <v>13409.75</v>
      </c>
      <c r="T231" s="32" t="n">
        <f>1257</f>
        <v>1257.0</v>
      </c>
      <c r="U231" s="32" t="str">
        <f>"－"</f>
        <v>－</v>
      </c>
      <c r="V231" s="32" t="n">
        <f>16527905</f>
        <v>1.6527905E7</v>
      </c>
      <c r="W231" s="32" t="str">
        <f>"－"</f>
        <v>－</v>
      </c>
      <c r="X231" s="36" t="n">
        <f>20</f>
        <v>20.0</v>
      </c>
    </row>
    <row r="232">
      <c r="A232" s="27" t="s">
        <v>42</v>
      </c>
      <c r="B232" s="27" t="s">
        <v>742</v>
      </c>
      <c r="C232" s="27" t="s">
        <v>743</v>
      </c>
      <c r="D232" s="27" t="s">
        <v>744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2151</f>
        <v>2151.0</v>
      </c>
      <c r="L232" s="34" t="s">
        <v>48</v>
      </c>
      <c r="M232" s="33" t="n">
        <f>2210</f>
        <v>2210.0</v>
      </c>
      <c r="N232" s="34" t="s">
        <v>72</v>
      </c>
      <c r="O232" s="33" t="n">
        <f>2090</f>
        <v>2090.0</v>
      </c>
      <c r="P232" s="34" t="s">
        <v>114</v>
      </c>
      <c r="Q232" s="33" t="n">
        <f>2117</f>
        <v>2117.0</v>
      </c>
      <c r="R232" s="34" t="s">
        <v>51</v>
      </c>
      <c r="S232" s="35" t="n">
        <f>2128.6</f>
        <v>2128.6</v>
      </c>
      <c r="T232" s="32" t="n">
        <f>49301</f>
        <v>49301.0</v>
      </c>
      <c r="U232" s="32" t="str">
        <f>"－"</f>
        <v>－</v>
      </c>
      <c r="V232" s="32" t="n">
        <f>105723761</f>
        <v>1.05723761E8</v>
      </c>
      <c r="W232" s="32" t="str">
        <f>"－"</f>
        <v>－</v>
      </c>
      <c r="X232" s="36" t="n">
        <f>20</f>
        <v>20.0</v>
      </c>
    </row>
    <row r="233">
      <c r="A233" s="27" t="s">
        <v>42</v>
      </c>
      <c r="B233" s="27" t="s">
        <v>745</v>
      </c>
      <c r="C233" s="27" t="s">
        <v>746</v>
      </c>
      <c r="D233" s="27" t="s">
        <v>747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1612</f>
        <v>1612.0</v>
      </c>
      <c r="L233" s="34" t="s">
        <v>48</v>
      </c>
      <c r="M233" s="33" t="n">
        <f>1954.5</f>
        <v>1954.5</v>
      </c>
      <c r="N233" s="34" t="s">
        <v>114</v>
      </c>
      <c r="O233" s="33" t="n">
        <f>1350</f>
        <v>1350.0</v>
      </c>
      <c r="P233" s="34" t="s">
        <v>50</v>
      </c>
      <c r="Q233" s="33" t="n">
        <f>1408</f>
        <v>1408.0</v>
      </c>
      <c r="R233" s="34" t="s">
        <v>51</v>
      </c>
      <c r="S233" s="35" t="n">
        <f>1562</f>
        <v>1562.0</v>
      </c>
      <c r="T233" s="32" t="n">
        <f>5230</f>
        <v>5230.0</v>
      </c>
      <c r="U233" s="32" t="str">
        <f>"－"</f>
        <v>－</v>
      </c>
      <c r="V233" s="32" t="n">
        <f>8717175</f>
        <v>8717175.0</v>
      </c>
      <c r="W233" s="32" t="str">
        <f>"－"</f>
        <v>－</v>
      </c>
      <c r="X233" s="36" t="n">
        <f>17</f>
        <v>17.0</v>
      </c>
    </row>
    <row r="234">
      <c r="A234" s="27" t="s">
        <v>42</v>
      </c>
      <c r="B234" s="27" t="s">
        <v>748</v>
      </c>
      <c r="C234" s="27" t="s">
        <v>749</v>
      </c>
      <c r="D234" s="27" t="s">
        <v>750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931.8</f>
        <v>931.8</v>
      </c>
      <c r="L234" s="34" t="s">
        <v>48</v>
      </c>
      <c r="M234" s="33" t="n">
        <f>931.8</f>
        <v>931.8</v>
      </c>
      <c r="N234" s="34" t="s">
        <v>48</v>
      </c>
      <c r="O234" s="33" t="n">
        <f>900.7</f>
        <v>900.7</v>
      </c>
      <c r="P234" s="34" t="s">
        <v>168</v>
      </c>
      <c r="Q234" s="33" t="n">
        <f>908.6</f>
        <v>908.6</v>
      </c>
      <c r="R234" s="34" t="s">
        <v>51</v>
      </c>
      <c r="S234" s="35" t="n">
        <f>914.85</f>
        <v>914.85</v>
      </c>
      <c r="T234" s="32" t="n">
        <f>1192580</f>
        <v>1192580.0</v>
      </c>
      <c r="U234" s="32" t="n">
        <f>787930</f>
        <v>787930.0</v>
      </c>
      <c r="V234" s="32" t="n">
        <f>1082788964</f>
        <v>1.082788964E9</v>
      </c>
      <c r="W234" s="32" t="n">
        <f>714626751</f>
        <v>7.14626751E8</v>
      </c>
      <c r="X234" s="36" t="n">
        <f>20</f>
        <v>20.0</v>
      </c>
    </row>
    <row r="235">
      <c r="A235" s="27" t="s">
        <v>42</v>
      </c>
      <c r="B235" s="27" t="s">
        <v>751</v>
      </c>
      <c r="C235" s="27" t="s">
        <v>752</v>
      </c>
      <c r="D235" s="27" t="s">
        <v>753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2046</f>
        <v>2046.0</v>
      </c>
      <c r="L235" s="34" t="s">
        <v>48</v>
      </c>
      <c r="M235" s="33" t="n">
        <f>2110.5</f>
        <v>2110.5</v>
      </c>
      <c r="N235" s="34" t="s">
        <v>72</v>
      </c>
      <c r="O235" s="33" t="n">
        <f>2001.5</f>
        <v>2001.5</v>
      </c>
      <c r="P235" s="34" t="s">
        <v>114</v>
      </c>
      <c r="Q235" s="33" t="n">
        <f>2031</f>
        <v>2031.0</v>
      </c>
      <c r="R235" s="34" t="s">
        <v>51</v>
      </c>
      <c r="S235" s="35" t="n">
        <f>2038.58</f>
        <v>2038.58</v>
      </c>
      <c r="T235" s="32" t="n">
        <f>18150</f>
        <v>18150.0</v>
      </c>
      <c r="U235" s="32" t="str">
        <f>"－"</f>
        <v>－</v>
      </c>
      <c r="V235" s="32" t="n">
        <f>37086440</f>
        <v>3.708644E7</v>
      </c>
      <c r="W235" s="32" t="str">
        <f>"－"</f>
        <v>－</v>
      </c>
      <c r="X235" s="36" t="n">
        <f>20</f>
        <v>20.0</v>
      </c>
    </row>
    <row r="236">
      <c r="A236" s="27" t="s">
        <v>42</v>
      </c>
      <c r="B236" s="27" t="s">
        <v>754</v>
      </c>
      <c r="C236" s="27" t="s">
        <v>755</v>
      </c>
      <c r="D236" s="27" t="s">
        <v>756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2057.5</f>
        <v>2057.5</v>
      </c>
      <c r="L236" s="34" t="s">
        <v>48</v>
      </c>
      <c r="M236" s="33" t="n">
        <f>2107.5</f>
        <v>2107.5</v>
      </c>
      <c r="N236" s="34" t="s">
        <v>72</v>
      </c>
      <c r="O236" s="33" t="n">
        <f>1983</f>
        <v>1983.0</v>
      </c>
      <c r="P236" s="34" t="s">
        <v>86</v>
      </c>
      <c r="Q236" s="33" t="n">
        <f>2015.5</f>
        <v>2015.5</v>
      </c>
      <c r="R236" s="34" t="s">
        <v>51</v>
      </c>
      <c r="S236" s="35" t="n">
        <f>2029.18</f>
        <v>2029.18</v>
      </c>
      <c r="T236" s="32" t="n">
        <f>569260</f>
        <v>569260.0</v>
      </c>
      <c r="U236" s="32" t="n">
        <f>227640</f>
        <v>227640.0</v>
      </c>
      <c r="V236" s="32" t="n">
        <f>1160928718</f>
        <v>1.160928718E9</v>
      </c>
      <c r="W236" s="32" t="n">
        <f>463714698</f>
        <v>4.63714698E8</v>
      </c>
      <c r="X236" s="36" t="n">
        <f>20</f>
        <v>20.0</v>
      </c>
    </row>
    <row r="237">
      <c r="A237" s="27" t="s">
        <v>42</v>
      </c>
      <c r="B237" s="27" t="s">
        <v>757</v>
      </c>
      <c r="C237" s="27" t="s">
        <v>758</v>
      </c>
      <c r="D237" s="27" t="s">
        <v>759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1968</f>
        <v>1968.0</v>
      </c>
      <c r="L237" s="34" t="s">
        <v>48</v>
      </c>
      <c r="M237" s="33" t="n">
        <f>1983</f>
        <v>1983.0</v>
      </c>
      <c r="N237" s="34" t="s">
        <v>49</v>
      </c>
      <c r="O237" s="33" t="n">
        <f>1855</f>
        <v>1855.0</v>
      </c>
      <c r="P237" s="34" t="s">
        <v>50</v>
      </c>
      <c r="Q237" s="33" t="n">
        <f>1903</f>
        <v>1903.0</v>
      </c>
      <c r="R237" s="34" t="s">
        <v>51</v>
      </c>
      <c r="S237" s="35" t="n">
        <f>1914.57</f>
        <v>1914.57</v>
      </c>
      <c r="T237" s="32" t="n">
        <f>115930</f>
        <v>115930.0</v>
      </c>
      <c r="U237" s="32" t="str">
        <f>"－"</f>
        <v>－</v>
      </c>
      <c r="V237" s="32" t="n">
        <f>227604825</f>
        <v>2.27604825E8</v>
      </c>
      <c r="W237" s="32" t="str">
        <f>"－"</f>
        <v>－</v>
      </c>
      <c r="X237" s="36" t="n">
        <f>15</f>
        <v>15.0</v>
      </c>
    </row>
    <row r="238">
      <c r="A238" s="27" t="s">
        <v>42</v>
      </c>
      <c r="B238" s="27" t="s">
        <v>760</v>
      </c>
      <c r="C238" s="27" t="s">
        <v>761</v>
      </c>
      <c r="D238" s="27" t="s">
        <v>762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15920</f>
        <v>15920.0</v>
      </c>
      <c r="L238" s="34" t="s">
        <v>48</v>
      </c>
      <c r="M238" s="33" t="n">
        <f>16560</f>
        <v>16560.0</v>
      </c>
      <c r="N238" s="34" t="s">
        <v>166</v>
      </c>
      <c r="O238" s="33" t="n">
        <f>15280</f>
        <v>15280.0</v>
      </c>
      <c r="P238" s="34" t="s">
        <v>50</v>
      </c>
      <c r="Q238" s="33" t="n">
        <f>15795</f>
        <v>15795.0</v>
      </c>
      <c r="R238" s="34" t="s">
        <v>51</v>
      </c>
      <c r="S238" s="35" t="n">
        <f>16015.5</f>
        <v>16015.5</v>
      </c>
      <c r="T238" s="32" t="n">
        <f>965845</f>
        <v>965845.0</v>
      </c>
      <c r="U238" s="32" t="n">
        <f>67738</f>
        <v>67738.0</v>
      </c>
      <c r="V238" s="32" t="n">
        <f>15415985981</f>
        <v>1.5415985981E10</v>
      </c>
      <c r="W238" s="32" t="n">
        <f>1081402551</f>
        <v>1.081402551E9</v>
      </c>
      <c r="X238" s="36" t="n">
        <f>20</f>
        <v>20.0</v>
      </c>
    </row>
    <row r="239">
      <c r="A239" s="27" t="s">
        <v>42</v>
      </c>
      <c r="B239" s="27" t="s">
        <v>763</v>
      </c>
      <c r="C239" s="27" t="s">
        <v>764</v>
      </c>
      <c r="D239" s="27" t="s">
        <v>765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14240</f>
        <v>14240.0</v>
      </c>
      <c r="L239" s="34" t="s">
        <v>48</v>
      </c>
      <c r="M239" s="33" t="n">
        <f>14780</f>
        <v>14780.0</v>
      </c>
      <c r="N239" s="34" t="s">
        <v>114</v>
      </c>
      <c r="O239" s="33" t="n">
        <f>13715</f>
        <v>13715.0</v>
      </c>
      <c r="P239" s="34" t="s">
        <v>50</v>
      </c>
      <c r="Q239" s="33" t="n">
        <f>14260</f>
        <v>14260.0</v>
      </c>
      <c r="R239" s="34" t="s">
        <v>51</v>
      </c>
      <c r="S239" s="35" t="n">
        <f>14378.25</f>
        <v>14378.25</v>
      </c>
      <c r="T239" s="32" t="n">
        <f>144084</f>
        <v>144084.0</v>
      </c>
      <c r="U239" s="32" t="n">
        <f>15</f>
        <v>15.0</v>
      </c>
      <c r="V239" s="32" t="n">
        <f>2059548570</f>
        <v>2.05954857E9</v>
      </c>
      <c r="W239" s="32" t="n">
        <f>212925</f>
        <v>212925.0</v>
      </c>
      <c r="X239" s="36" t="n">
        <f>20</f>
        <v>20.0</v>
      </c>
    </row>
    <row r="240">
      <c r="A240" s="27" t="s">
        <v>42</v>
      </c>
      <c r="B240" s="27" t="s">
        <v>766</v>
      </c>
      <c r="C240" s="27" t="s">
        <v>767</v>
      </c>
      <c r="D240" s="27" t="s">
        <v>768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26180</f>
        <v>26180.0</v>
      </c>
      <c r="L240" s="34" t="s">
        <v>72</v>
      </c>
      <c r="M240" s="33" t="n">
        <f>26350</f>
        <v>26350.0</v>
      </c>
      <c r="N240" s="34" t="s">
        <v>72</v>
      </c>
      <c r="O240" s="33" t="n">
        <f>25240</f>
        <v>25240.0</v>
      </c>
      <c r="P240" s="34" t="s">
        <v>168</v>
      </c>
      <c r="Q240" s="33" t="n">
        <f>25525</f>
        <v>25525.0</v>
      </c>
      <c r="R240" s="34" t="s">
        <v>51</v>
      </c>
      <c r="S240" s="35" t="n">
        <f>25638.57</f>
        <v>25638.57</v>
      </c>
      <c r="T240" s="32" t="n">
        <f>42</f>
        <v>42.0</v>
      </c>
      <c r="U240" s="32" t="str">
        <f>"－"</f>
        <v>－</v>
      </c>
      <c r="V240" s="32" t="n">
        <f>1074150</f>
        <v>1074150.0</v>
      </c>
      <c r="W240" s="32" t="str">
        <f>"－"</f>
        <v>－</v>
      </c>
      <c r="X240" s="36" t="n">
        <f>7</f>
        <v>7.0</v>
      </c>
    </row>
    <row r="241">
      <c r="A241" s="27" t="s">
        <v>42</v>
      </c>
      <c r="B241" s="27" t="s">
        <v>769</v>
      </c>
      <c r="C241" s="27" t="s">
        <v>770</v>
      </c>
      <c r="D241" s="27" t="s">
        <v>771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2639</f>
        <v>2639.0</v>
      </c>
      <c r="L241" s="34" t="s">
        <v>48</v>
      </c>
      <c r="M241" s="33" t="n">
        <f>2657</f>
        <v>2657.0</v>
      </c>
      <c r="N241" s="34" t="s">
        <v>48</v>
      </c>
      <c r="O241" s="33" t="n">
        <f>2609</f>
        <v>2609.0</v>
      </c>
      <c r="P241" s="34" t="s">
        <v>168</v>
      </c>
      <c r="Q241" s="33" t="n">
        <f>2628</f>
        <v>2628.0</v>
      </c>
      <c r="R241" s="34" t="s">
        <v>51</v>
      </c>
      <c r="S241" s="35" t="n">
        <f>2625.15</f>
        <v>2625.15</v>
      </c>
      <c r="T241" s="32" t="n">
        <f>3503108</f>
        <v>3503108.0</v>
      </c>
      <c r="U241" s="32" t="n">
        <f>2898362</f>
        <v>2898362.0</v>
      </c>
      <c r="V241" s="32" t="n">
        <f>9169652511</f>
        <v>9.169652511E9</v>
      </c>
      <c r="W241" s="32" t="n">
        <f>7581176400</f>
        <v>7.5811764E9</v>
      </c>
      <c r="X241" s="36" t="n">
        <f>20</f>
        <v>20.0</v>
      </c>
    </row>
    <row r="242">
      <c r="A242" s="27" t="s">
        <v>42</v>
      </c>
      <c r="B242" s="27" t="s">
        <v>772</v>
      </c>
      <c r="C242" s="27" t="s">
        <v>773</v>
      </c>
      <c r="D242" s="27" t="s">
        <v>774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3012</f>
        <v>3012.0</v>
      </c>
      <c r="L242" s="34" t="s">
        <v>48</v>
      </c>
      <c r="M242" s="33" t="n">
        <f>3070</f>
        <v>3070.0</v>
      </c>
      <c r="N242" s="34" t="s">
        <v>48</v>
      </c>
      <c r="O242" s="33" t="n">
        <f>2878.5</f>
        <v>2878.5</v>
      </c>
      <c r="P242" s="34" t="s">
        <v>50</v>
      </c>
      <c r="Q242" s="33" t="n">
        <f>2889</f>
        <v>2889.0</v>
      </c>
      <c r="R242" s="34" t="s">
        <v>51</v>
      </c>
      <c r="S242" s="35" t="n">
        <f>2981.35</f>
        <v>2981.35</v>
      </c>
      <c r="T242" s="32" t="n">
        <f>3615320</f>
        <v>3615320.0</v>
      </c>
      <c r="U242" s="32" t="n">
        <f>1896920</f>
        <v>1896920.0</v>
      </c>
      <c r="V242" s="32" t="n">
        <f>10830886638</f>
        <v>1.0830886638E10</v>
      </c>
      <c r="W242" s="32" t="n">
        <f>5686013273</f>
        <v>5.686013273E9</v>
      </c>
      <c r="X242" s="36" t="n">
        <f>20</f>
        <v>20.0</v>
      </c>
    </row>
    <row r="243">
      <c r="A243" s="27" t="s">
        <v>42</v>
      </c>
      <c r="B243" s="27" t="s">
        <v>775</v>
      </c>
      <c r="C243" s="27" t="s">
        <v>776</v>
      </c>
      <c r="D243" s="27" t="s">
        <v>777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296.1</f>
        <v>296.1</v>
      </c>
      <c r="L243" s="34" t="s">
        <v>48</v>
      </c>
      <c r="M243" s="33" t="n">
        <f>298.5</f>
        <v>298.5</v>
      </c>
      <c r="N243" s="34" t="s">
        <v>49</v>
      </c>
      <c r="O243" s="33" t="n">
        <f>270.7</f>
        <v>270.7</v>
      </c>
      <c r="P243" s="34" t="s">
        <v>50</v>
      </c>
      <c r="Q243" s="33" t="n">
        <f>274</f>
        <v>274.0</v>
      </c>
      <c r="R243" s="34" t="s">
        <v>51</v>
      </c>
      <c r="S243" s="35" t="n">
        <f>287.65</f>
        <v>287.65</v>
      </c>
      <c r="T243" s="32" t="n">
        <f>41068060</f>
        <v>4.106806E7</v>
      </c>
      <c r="U243" s="32" t="n">
        <f>6093050</f>
        <v>6093050.0</v>
      </c>
      <c r="V243" s="32" t="n">
        <f>11632039199</f>
        <v>1.1632039199E10</v>
      </c>
      <c r="W243" s="32" t="n">
        <f>1684680639</f>
        <v>1.684680639E9</v>
      </c>
      <c r="X243" s="36" t="n">
        <f>20</f>
        <v>20.0</v>
      </c>
    </row>
    <row r="244">
      <c r="A244" s="27" t="s">
        <v>42</v>
      </c>
      <c r="B244" s="27" t="s">
        <v>778</v>
      </c>
      <c r="C244" s="27" t="s">
        <v>779</v>
      </c>
      <c r="D244" s="27" t="s">
        <v>780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2005</f>
        <v>2005.0</v>
      </c>
      <c r="L244" s="34" t="s">
        <v>48</v>
      </c>
      <c r="M244" s="33" t="n">
        <f>2060</f>
        <v>2060.0</v>
      </c>
      <c r="N244" s="34" t="s">
        <v>114</v>
      </c>
      <c r="O244" s="33" t="n">
        <f>1919</f>
        <v>1919.0</v>
      </c>
      <c r="P244" s="34" t="s">
        <v>50</v>
      </c>
      <c r="Q244" s="33" t="n">
        <f>1948</f>
        <v>1948.0</v>
      </c>
      <c r="R244" s="34" t="s">
        <v>51</v>
      </c>
      <c r="S244" s="35" t="n">
        <f>1989.5</f>
        <v>1989.5</v>
      </c>
      <c r="T244" s="32" t="n">
        <f>228774</f>
        <v>228774.0</v>
      </c>
      <c r="U244" s="32" t="n">
        <f>78656</f>
        <v>78656.0</v>
      </c>
      <c r="V244" s="32" t="n">
        <f>458360827</f>
        <v>4.58360827E8</v>
      </c>
      <c r="W244" s="32" t="n">
        <f>158175954</f>
        <v>1.58175954E8</v>
      </c>
      <c r="X244" s="36" t="n">
        <f>20</f>
        <v>20.0</v>
      </c>
    </row>
    <row r="245">
      <c r="A245" s="27" t="s">
        <v>42</v>
      </c>
      <c r="B245" s="27" t="s">
        <v>781</v>
      </c>
      <c r="C245" s="27" t="s">
        <v>782</v>
      </c>
      <c r="D245" s="27" t="s">
        <v>783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1158</f>
        <v>1158.0</v>
      </c>
      <c r="L245" s="34" t="s">
        <v>48</v>
      </c>
      <c r="M245" s="33" t="n">
        <f>1194</f>
        <v>1194.0</v>
      </c>
      <c r="N245" s="34" t="s">
        <v>72</v>
      </c>
      <c r="O245" s="33" t="n">
        <f>1124</f>
        <v>1124.0</v>
      </c>
      <c r="P245" s="34" t="s">
        <v>264</v>
      </c>
      <c r="Q245" s="33" t="n">
        <f>1141</f>
        <v>1141.0</v>
      </c>
      <c r="R245" s="34" t="s">
        <v>51</v>
      </c>
      <c r="S245" s="35" t="n">
        <f>1152.9</f>
        <v>1152.9</v>
      </c>
      <c r="T245" s="32" t="n">
        <f>267125</f>
        <v>267125.0</v>
      </c>
      <c r="U245" s="32" t="str">
        <f>"－"</f>
        <v>－</v>
      </c>
      <c r="V245" s="32" t="n">
        <f>306080616</f>
        <v>3.06080616E8</v>
      </c>
      <c r="W245" s="32" t="str">
        <f>"－"</f>
        <v>－</v>
      </c>
      <c r="X245" s="36" t="n">
        <f>20</f>
        <v>20.0</v>
      </c>
    </row>
    <row r="246">
      <c r="A246" s="27" t="s">
        <v>42</v>
      </c>
      <c r="B246" s="27" t="s">
        <v>784</v>
      </c>
      <c r="C246" s="27" t="s">
        <v>785</v>
      </c>
      <c r="D246" s="27" t="s">
        <v>786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1138.5</f>
        <v>1138.5</v>
      </c>
      <c r="L246" s="34" t="s">
        <v>48</v>
      </c>
      <c r="M246" s="33" t="n">
        <f>1153</f>
        <v>1153.0</v>
      </c>
      <c r="N246" s="34" t="s">
        <v>72</v>
      </c>
      <c r="O246" s="33" t="n">
        <f>1102.5</f>
        <v>1102.5</v>
      </c>
      <c r="P246" s="34" t="s">
        <v>114</v>
      </c>
      <c r="Q246" s="33" t="n">
        <f>1116</f>
        <v>1116.0</v>
      </c>
      <c r="R246" s="34" t="s">
        <v>51</v>
      </c>
      <c r="S246" s="35" t="n">
        <f>1121.98</f>
        <v>1121.98</v>
      </c>
      <c r="T246" s="32" t="n">
        <f>15960</f>
        <v>15960.0</v>
      </c>
      <c r="U246" s="32" t="str">
        <f>"－"</f>
        <v>－</v>
      </c>
      <c r="V246" s="32" t="n">
        <f>17832035</f>
        <v>1.7832035E7</v>
      </c>
      <c r="W246" s="32" t="str">
        <f>"－"</f>
        <v>－</v>
      </c>
      <c r="X246" s="36" t="n">
        <f>20</f>
        <v>20.0</v>
      </c>
    </row>
    <row r="247">
      <c r="A247" s="27" t="s">
        <v>42</v>
      </c>
      <c r="B247" s="27" t="s">
        <v>787</v>
      </c>
      <c r="C247" s="27" t="s">
        <v>788</v>
      </c>
      <c r="D247" s="27" t="s">
        <v>789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242.9</f>
        <v>242.9</v>
      </c>
      <c r="L247" s="34" t="s">
        <v>48</v>
      </c>
      <c r="M247" s="33" t="n">
        <f>256.1</f>
        <v>256.1</v>
      </c>
      <c r="N247" s="34" t="s">
        <v>226</v>
      </c>
      <c r="O247" s="33" t="n">
        <f>227.5</f>
        <v>227.5</v>
      </c>
      <c r="P247" s="34" t="s">
        <v>50</v>
      </c>
      <c r="Q247" s="33" t="n">
        <f>235.5</f>
        <v>235.5</v>
      </c>
      <c r="R247" s="34" t="s">
        <v>51</v>
      </c>
      <c r="S247" s="35" t="n">
        <f>240.97</f>
        <v>240.97</v>
      </c>
      <c r="T247" s="32" t="n">
        <f>25740</f>
        <v>25740.0</v>
      </c>
      <c r="U247" s="32" t="str">
        <f>"－"</f>
        <v>－</v>
      </c>
      <c r="V247" s="32" t="n">
        <f>6148152</f>
        <v>6148152.0</v>
      </c>
      <c r="W247" s="32" t="str">
        <f>"－"</f>
        <v>－</v>
      </c>
      <c r="X247" s="36" t="n">
        <f>20</f>
        <v>20.0</v>
      </c>
    </row>
    <row r="248">
      <c r="A248" s="27" t="s">
        <v>42</v>
      </c>
      <c r="B248" s="27" t="s">
        <v>790</v>
      </c>
      <c r="C248" s="27" t="s">
        <v>791</v>
      </c>
      <c r="D248" s="27" t="s">
        <v>792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3124</f>
        <v>3124.0</v>
      </c>
      <c r="L248" s="34" t="s">
        <v>48</v>
      </c>
      <c r="M248" s="33" t="n">
        <f>3204</f>
        <v>3204.0</v>
      </c>
      <c r="N248" s="34" t="s">
        <v>49</v>
      </c>
      <c r="O248" s="33" t="n">
        <f>2843</f>
        <v>2843.0</v>
      </c>
      <c r="P248" s="34" t="s">
        <v>50</v>
      </c>
      <c r="Q248" s="33" t="n">
        <f>2954.5</f>
        <v>2954.5</v>
      </c>
      <c r="R248" s="34" t="s">
        <v>51</v>
      </c>
      <c r="S248" s="35" t="n">
        <f>3058.43</f>
        <v>3058.43</v>
      </c>
      <c r="T248" s="32" t="n">
        <f>3606620</f>
        <v>3606620.0</v>
      </c>
      <c r="U248" s="32" t="n">
        <f>1000</f>
        <v>1000.0</v>
      </c>
      <c r="V248" s="32" t="n">
        <f>10883170880</f>
        <v>1.088317088E10</v>
      </c>
      <c r="W248" s="32" t="n">
        <f>3125600</f>
        <v>3125600.0</v>
      </c>
      <c r="X248" s="36" t="n">
        <f>20</f>
        <v>20.0</v>
      </c>
    </row>
    <row r="249">
      <c r="A249" s="27" t="s">
        <v>42</v>
      </c>
      <c r="B249" s="27" t="s">
        <v>793</v>
      </c>
      <c r="C249" s="27" t="s">
        <v>794</v>
      </c>
      <c r="D249" s="27" t="s">
        <v>795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2687.5</f>
        <v>2687.5</v>
      </c>
      <c r="L249" s="34" t="s">
        <v>48</v>
      </c>
      <c r="M249" s="33" t="n">
        <f>2730.5</f>
        <v>2730.5</v>
      </c>
      <c r="N249" s="34" t="s">
        <v>49</v>
      </c>
      <c r="O249" s="33" t="n">
        <f>2318.5</f>
        <v>2318.5</v>
      </c>
      <c r="P249" s="34" t="s">
        <v>50</v>
      </c>
      <c r="Q249" s="33" t="n">
        <f>2360.5</f>
        <v>2360.5</v>
      </c>
      <c r="R249" s="34" t="s">
        <v>51</v>
      </c>
      <c r="S249" s="35" t="n">
        <f>2538.85</f>
        <v>2538.85</v>
      </c>
      <c r="T249" s="32" t="n">
        <f>9279390</f>
        <v>9279390.0</v>
      </c>
      <c r="U249" s="32" t="n">
        <f>3259370</f>
        <v>3259370.0</v>
      </c>
      <c r="V249" s="32" t="n">
        <f>23201871986</f>
        <v>2.3201871986E10</v>
      </c>
      <c r="W249" s="32" t="n">
        <f>8371887261</f>
        <v>8.371887261E9</v>
      </c>
      <c r="X249" s="36" t="n">
        <f>20</f>
        <v>20.0</v>
      </c>
    </row>
    <row r="250">
      <c r="A250" s="27" t="s">
        <v>42</v>
      </c>
      <c r="B250" s="27" t="s">
        <v>796</v>
      </c>
      <c r="C250" s="27" t="s">
        <v>797</v>
      </c>
      <c r="D250" s="27" t="s">
        <v>798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2778</f>
        <v>2778.0</v>
      </c>
      <c r="L250" s="34" t="s">
        <v>48</v>
      </c>
      <c r="M250" s="33" t="n">
        <f>2943</f>
        <v>2943.0</v>
      </c>
      <c r="N250" s="34" t="s">
        <v>51</v>
      </c>
      <c r="O250" s="33" t="n">
        <f>2764</f>
        <v>2764.0</v>
      </c>
      <c r="P250" s="34" t="s">
        <v>48</v>
      </c>
      <c r="Q250" s="33" t="n">
        <f>2939</f>
        <v>2939.0</v>
      </c>
      <c r="R250" s="34" t="s">
        <v>51</v>
      </c>
      <c r="S250" s="35" t="n">
        <f>2850.85</f>
        <v>2850.85</v>
      </c>
      <c r="T250" s="32" t="n">
        <f>4146560</f>
        <v>4146560.0</v>
      </c>
      <c r="U250" s="32" t="n">
        <f>2653630</f>
        <v>2653630.0</v>
      </c>
      <c r="V250" s="32" t="n">
        <f>11733320412</f>
        <v>1.1733320412E10</v>
      </c>
      <c r="W250" s="32" t="n">
        <f>7505240947</f>
        <v>7.505240947E9</v>
      </c>
      <c r="X250" s="36" t="n">
        <f>20</f>
        <v>20.0</v>
      </c>
    </row>
    <row r="251">
      <c r="A251" s="27" t="s">
        <v>42</v>
      </c>
      <c r="B251" s="27" t="s">
        <v>799</v>
      </c>
      <c r="C251" s="27" t="s">
        <v>800</v>
      </c>
      <c r="D251" s="27" t="s">
        <v>801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2020</f>
        <v>2020.0</v>
      </c>
      <c r="L251" s="34" t="s">
        <v>48</v>
      </c>
      <c r="M251" s="33" t="n">
        <f>2020</f>
        <v>2020.0</v>
      </c>
      <c r="N251" s="34" t="s">
        <v>48</v>
      </c>
      <c r="O251" s="33" t="n">
        <f>1772</f>
        <v>1772.0</v>
      </c>
      <c r="P251" s="34" t="s">
        <v>114</v>
      </c>
      <c r="Q251" s="33" t="n">
        <f>1807</f>
        <v>1807.0</v>
      </c>
      <c r="R251" s="34" t="s">
        <v>51</v>
      </c>
      <c r="S251" s="35" t="n">
        <f>1861.35</f>
        <v>1861.35</v>
      </c>
      <c r="T251" s="32" t="n">
        <f>2128357</f>
        <v>2128357.0</v>
      </c>
      <c r="U251" s="32" t="n">
        <f>22</f>
        <v>22.0</v>
      </c>
      <c r="V251" s="32" t="n">
        <f>3933524383</f>
        <v>3.933524383E9</v>
      </c>
      <c r="W251" s="32" t="n">
        <f>40793</f>
        <v>40793.0</v>
      </c>
      <c r="X251" s="36" t="n">
        <f>20</f>
        <v>20.0</v>
      </c>
    </row>
    <row r="252">
      <c r="A252" s="27" t="s">
        <v>42</v>
      </c>
      <c r="B252" s="27" t="s">
        <v>802</v>
      </c>
      <c r="C252" s="27" t="s">
        <v>803</v>
      </c>
      <c r="D252" s="27" t="s">
        <v>804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2216</f>
        <v>2216.0</v>
      </c>
      <c r="L252" s="34" t="s">
        <v>48</v>
      </c>
      <c r="M252" s="33" t="n">
        <f>2234</f>
        <v>2234.0</v>
      </c>
      <c r="N252" s="34" t="s">
        <v>49</v>
      </c>
      <c r="O252" s="33" t="n">
        <f>2044</f>
        <v>2044.0</v>
      </c>
      <c r="P252" s="34" t="s">
        <v>168</v>
      </c>
      <c r="Q252" s="33" t="n">
        <f>2055</f>
        <v>2055.0</v>
      </c>
      <c r="R252" s="34" t="s">
        <v>51</v>
      </c>
      <c r="S252" s="35" t="n">
        <f>2112.05</f>
        <v>2112.05</v>
      </c>
      <c r="T252" s="32" t="n">
        <f>53830</f>
        <v>53830.0</v>
      </c>
      <c r="U252" s="32" t="str">
        <f>"－"</f>
        <v>－</v>
      </c>
      <c r="V252" s="32" t="n">
        <f>113715183</f>
        <v>1.13715183E8</v>
      </c>
      <c r="W252" s="32" t="str">
        <f>"－"</f>
        <v>－</v>
      </c>
      <c r="X252" s="36" t="n">
        <f>20</f>
        <v>20.0</v>
      </c>
    </row>
    <row r="253">
      <c r="A253" s="27" t="s">
        <v>42</v>
      </c>
      <c r="B253" s="27" t="s">
        <v>805</v>
      </c>
      <c r="C253" s="27" t="s">
        <v>806</v>
      </c>
      <c r="D253" s="27" t="s">
        <v>807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2369</f>
        <v>2369.0</v>
      </c>
      <c r="L253" s="34" t="s">
        <v>72</v>
      </c>
      <c r="M253" s="33" t="n">
        <f>2376</f>
        <v>2376.0</v>
      </c>
      <c r="N253" s="34" t="s">
        <v>49</v>
      </c>
      <c r="O253" s="33" t="n">
        <f>2283</f>
        <v>2283.0</v>
      </c>
      <c r="P253" s="34" t="s">
        <v>51</v>
      </c>
      <c r="Q253" s="33" t="n">
        <f>2296</f>
        <v>2296.0</v>
      </c>
      <c r="R253" s="34" t="s">
        <v>51</v>
      </c>
      <c r="S253" s="35" t="n">
        <f>2330.79</f>
        <v>2330.79</v>
      </c>
      <c r="T253" s="32" t="n">
        <f>2182</f>
        <v>2182.0</v>
      </c>
      <c r="U253" s="32" t="str">
        <f>"－"</f>
        <v>－</v>
      </c>
      <c r="V253" s="32" t="n">
        <f>5041881</f>
        <v>5041881.0</v>
      </c>
      <c r="W253" s="32" t="str">
        <f>"－"</f>
        <v>－</v>
      </c>
      <c r="X253" s="36" t="n">
        <f>19</f>
        <v>19.0</v>
      </c>
    </row>
    <row r="254">
      <c r="A254" s="27" t="s">
        <v>42</v>
      </c>
      <c r="B254" s="27" t="s">
        <v>808</v>
      </c>
      <c r="C254" s="27" t="s">
        <v>809</v>
      </c>
      <c r="D254" s="27" t="s">
        <v>810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2785</f>
        <v>2785.0</v>
      </c>
      <c r="L254" s="34" t="s">
        <v>48</v>
      </c>
      <c r="M254" s="33" t="n">
        <f>2820</f>
        <v>2820.0</v>
      </c>
      <c r="N254" s="34" t="s">
        <v>49</v>
      </c>
      <c r="O254" s="33" t="n">
        <f>2615</f>
        <v>2615.0</v>
      </c>
      <c r="P254" s="34" t="s">
        <v>50</v>
      </c>
      <c r="Q254" s="33" t="n">
        <f>2691</f>
        <v>2691.0</v>
      </c>
      <c r="R254" s="34" t="s">
        <v>51</v>
      </c>
      <c r="S254" s="35" t="n">
        <f>2715.25</f>
        <v>2715.25</v>
      </c>
      <c r="T254" s="32" t="n">
        <f>995295</f>
        <v>995295.0</v>
      </c>
      <c r="U254" s="32" t="n">
        <f>170000</f>
        <v>170000.0</v>
      </c>
      <c r="V254" s="32" t="n">
        <f>2688590190</f>
        <v>2.68859019E9</v>
      </c>
      <c r="W254" s="32" t="n">
        <f>456892000</f>
        <v>4.56892E8</v>
      </c>
      <c r="X254" s="36" t="n">
        <f>20</f>
        <v>20.0</v>
      </c>
    </row>
    <row r="255">
      <c r="A255" s="27" t="s">
        <v>42</v>
      </c>
      <c r="B255" s="27" t="s">
        <v>811</v>
      </c>
      <c r="C255" s="27" t="s">
        <v>812</v>
      </c>
      <c r="D255" s="27" t="s">
        <v>813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1955</f>
        <v>1955.0</v>
      </c>
      <c r="L255" s="34" t="s">
        <v>48</v>
      </c>
      <c r="M255" s="33" t="n">
        <f>1994</f>
        <v>1994.0</v>
      </c>
      <c r="N255" s="34" t="s">
        <v>49</v>
      </c>
      <c r="O255" s="33" t="n">
        <f>1845</f>
        <v>1845.0</v>
      </c>
      <c r="P255" s="34" t="s">
        <v>50</v>
      </c>
      <c r="Q255" s="33" t="n">
        <f>1900</f>
        <v>1900.0</v>
      </c>
      <c r="R255" s="34" t="s">
        <v>51</v>
      </c>
      <c r="S255" s="35" t="n">
        <f>1907.9</f>
        <v>1907.9</v>
      </c>
      <c r="T255" s="32" t="n">
        <f>237079</f>
        <v>237079.0</v>
      </c>
      <c r="U255" s="32" t="n">
        <f>50000</f>
        <v>50000.0</v>
      </c>
      <c r="V255" s="32" t="n">
        <f>450759262</f>
        <v>4.50759262E8</v>
      </c>
      <c r="W255" s="32" t="n">
        <f>97275000</f>
        <v>9.7275E7</v>
      </c>
      <c r="X255" s="36" t="n">
        <f>20</f>
        <v>20.0</v>
      </c>
    </row>
    <row r="256">
      <c r="A256" s="27" t="s">
        <v>42</v>
      </c>
      <c r="B256" s="27" t="s">
        <v>814</v>
      </c>
      <c r="C256" s="27" t="s">
        <v>815</v>
      </c>
      <c r="D256" s="27" t="s">
        <v>816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1976</f>
        <v>1976.0</v>
      </c>
      <c r="L256" s="34" t="s">
        <v>48</v>
      </c>
      <c r="M256" s="33" t="n">
        <f>2047</f>
        <v>2047.0</v>
      </c>
      <c r="N256" s="34" t="s">
        <v>49</v>
      </c>
      <c r="O256" s="33" t="n">
        <f>1899</f>
        <v>1899.0</v>
      </c>
      <c r="P256" s="34" t="s">
        <v>168</v>
      </c>
      <c r="Q256" s="33" t="n">
        <f>1944</f>
        <v>1944.0</v>
      </c>
      <c r="R256" s="34" t="s">
        <v>51</v>
      </c>
      <c r="S256" s="35" t="n">
        <f>1972.45</f>
        <v>1972.45</v>
      </c>
      <c r="T256" s="32" t="n">
        <f>53582</f>
        <v>53582.0</v>
      </c>
      <c r="U256" s="32" t="str">
        <f>"－"</f>
        <v>－</v>
      </c>
      <c r="V256" s="32" t="n">
        <f>104625106</f>
        <v>1.04625106E8</v>
      </c>
      <c r="W256" s="32" t="str">
        <f>"－"</f>
        <v>－</v>
      </c>
      <c r="X256" s="36" t="n">
        <f>20</f>
        <v>20.0</v>
      </c>
    </row>
    <row r="257">
      <c r="A257" s="27" t="s">
        <v>42</v>
      </c>
      <c r="B257" s="27" t="s">
        <v>817</v>
      </c>
      <c r="C257" s="27" t="s">
        <v>818</v>
      </c>
      <c r="D257" s="27" t="s">
        <v>819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1769</f>
        <v>1769.0</v>
      </c>
      <c r="L257" s="34" t="s">
        <v>48</v>
      </c>
      <c r="M257" s="33" t="n">
        <f>1848</f>
        <v>1848.0</v>
      </c>
      <c r="N257" s="34" t="s">
        <v>49</v>
      </c>
      <c r="O257" s="33" t="n">
        <f>1608</f>
        <v>1608.0</v>
      </c>
      <c r="P257" s="34" t="s">
        <v>51</v>
      </c>
      <c r="Q257" s="33" t="n">
        <f>1623</f>
        <v>1623.0</v>
      </c>
      <c r="R257" s="34" t="s">
        <v>51</v>
      </c>
      <c r="S257" s="35" t="n">
        <f>1711.05</f>
        <v>1711.05</v>
      </c>
      <c r="T257" s="32" t="n">
        <f>101377</f>
        <v>101377.0</v>
      </c>
      <c r="U257" s="32" t="str">
        <f>"－"</f>
        <v>－</v>
      </c>
      <c r="V257" s="32" t="n">
        <f>164587932</f>
        <v>1.64587932E8</v>
      </c>
      <c r="W257" s="32" t="str">
        <f>"－"</f>
        <v>－</v>
      </c>
      <c r="X257" s="36" t="n">
        <f>20</f>
        <v>20.0</v>
      </c>
    </row>
    <row r="258">
      <c r="A258" s="27" t="s">
        <v>42</v>
      </c>
      <c r="B258" s="27" t="s">
        <v>820</v>
      </c>
      <c r="C258" s="27" t="s">
        <v>821</v>
      </c>
      <c r="D258" s="27" t="s">
        <v>822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2158</f>
        <v>2158.0</v>
      </c>
      <c r="L258" s="34" t="s">
        <v>48</v>
      </c>
      <c r="M258" s="33" t="n">
        <f>2180</f>
        <v>2180.0</v>
      </c>
      <c r="N258" s="34" t="s">
        <v>226</v>
      </c>
      <c r="O258" s="33" t="n">
        <f>1789</f>
        <v>1789.0</v>
      </c>
      <c r="P258" s="34" t="s">
        <v>50</v>
      </c>
      <c r="Q258" s="33" t="n">
        <f>1816</f>
        <v>1816.0</v>
      </c>
      <c r="R258" s="34" t="s">
        <v>51</v>
      </c>
      <c r="S258" s="35" t="n">
        <f>1996.3</f>
        <v>1996.3</v>
      </c>
      <c r="T258" s="32" t="n">
        <f>24631</f>
        <v>24631.0</v>
      </c>
      <c r="U258" s="32" t="str">
        <f>"－"</f>
        <v>－</v>
      </c>
      <c r="V258" s="32" t="n">
        <f>48752343</f>
        <v>4.8752343E7</v>
      </c>
      <c r="W258" s="32" t="str">
        <f>"－"</f>
        <v>－</v>
      </c>
      <c r="X258" s="36" t="n">
        <f>20</f>
        <v>20.0</v>
      </c>
    </row>
    <row r="259">
      <c r="A259" s="27" t="s">
        <v>42</v>
      </c>
      <c r="B259" s="27" t="s">
        <v>823</v>
      </c>
      <c r="C259" s="27" t="s">
        <v>824</v>
      </c>
      <c r="D259" s="27" t="s">
        <v>825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2506</f>
        <v>2506.0</v>
      </c>
      <c r="L259" s="34" t="s">
        <v>48</v>
      </c>
      <c r="M259" s="33" t="n">
        <f>2543</f>
        <v>2543.0</v>
      </c>
      <c r="N259" s="34" t="s">
        <v>226</v>
      </c>
      <c r="O259" s="33" t="n">
        <f>2231</f>
        <v>2231.0</v>
      </c>
      <c r="P259" s="34" t="s">
        <v>50</v>
      </c>
      <c r="Q259" s="33" t="n">
        <f>2318</f>
        <v>2318.0</v>
      </c>
      <c r="R259" s="34" t="s">
        <v>51</v>
      </c>
      <c r="S259" s="35" t="n">
        <f>2446.21</f>
        <v>2446.21</v>
      </c>
      <c r="T259" s="32" t="n">
        <f>3658</f>
        <v>3658.0</v>
      </c>
      <c r="U259" s="32" t="str">
        <f>"－"</f>
        <v>－</v>
      </c>
      <c r="V259" s="32" t="n">
        <f>8748418</f>
        <v>8748418.0</v>
      </c>
      <c r="W259" s="32" t="str">
        <f>"－"</f>
        <v>－</v>
      </c>
      <c r="X259" s="36" t="n">
        <f>19</f>
        <v>19.0</v>
      </c>
    </row>
    <row r="260">
      <c r="A260" s="27" t="s">
        <v>42</v>
      </c>
      <c r="B260" s="27" t="s">
        <v>826</v>
      </c>
      <c r="C260" s="27" t="s">
        <v>827</v>
      </c>
      <c r="D260" s="27" t="s">
        <v>828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11800</f>
        <v>11800.0</v>
      </c>
      <c r="L260" s="34" t="s">
        <v>48</v>
      </c>
      <c r="M260" s="33" t="n">
        <f>11950</f>
        <v>11950.0</v>
      </c>
      <c r="N260" s="34" t="s">
        <v>72</v>
      </c>
      <c r="O260" s="33" t="n">
        <f>10765</f>
        <v>10765.0</v>
      </c>
      <c r="P260" s="34" t="s">
        <v>50</v>
      </c>
      <c r="Q260" s="33" t="n">
        <f>10880</f>
        <v>10880.0</v>
      </c>
      <c r="R260" s="34" t="s">
        <v>51</v>
      </c>
      <c r="S260" s="35" t="n">
        <f>11451.25</f>
        <v>11451.25</v>
      </c>
      <c r="T260" s="32" t="n">
        <f>379345</f>
        <v>379345.0</v>
      </c>
      <c r="U260" s="32" t="n">
        <f>106246</f>
        <v>106246.0</v>
      </c>
      <c r="V260" s="32" t="n">
        <f>4287672230</f>
        <v>4.28767223E9</v>
      </c>
      <c r="W260" s="32" t="n">
        <f>1193077100</f>
        <v>1.1930771E9</v>
      </c>
      <c r="X260" s="36" t="n">
        <f>20</f>
        <v>20.0</v>
      </c>
    </row>
    <row r="261">
      <c r="A261" s="27" t="s">
        <v>42</v>
      </c>
      <c r="B261" s="27" t="s">
        <v>829</v>
      </c>
      <c r="C261" s="27" t="s">
        <v>830</v>
      </c>
      <c r="D261" s="27" t="s">
        <v>831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13045</f>
        <v>13045.0</v>
      </c>
      <c r="L261" s="34" t="s">
        <v>48</v>
      </c>
      <c r="M261" s="33" t="n">
        <f>13380</f>
        <v>13380.0</v>
      </c>
      <c r="N261" s="34" t="s">
        <v>49</v>
      </c>
      <c r="O261" s="33" t="n">
        <f>11875</f>
        <v>11875.0</v>
      </c>
      <c r="P261" s="34" t="s">
        <v>50</v>
      </c>
      <c r="Q261" s="33" t="n">
        <f>12340</f>
        <v>12340.0</v>
      </c>
      <c r="R261" s="34" t="s">
        <v>51</v>
      </c>
      <c r="S261" s="35" t="n">
        <f>12780.5</f>
        <v>12780.5</v>
      </c>
      <c r="T261" s="32" t="n">
        <f>982962</f>
        <v>982962.0</v>
      </c>
      <c r="U261" s="32" t="n">
        <f>1</f>
        <v>1.0</v>
      </c>
      <c r="V261" s="32" t="n">
        <f>12514463450</f>
        <v>1.251446345E10</v>
      </c>
      <c r="W261" s="32" t="n">
        <f>12990</f>
        <v>12990.0</v>
      </c>
      <c r="X261" s="36" t="n">
        <f>20</f>
        <v>20.0</v>
      </c>
    </row>
    <row r="262">
      <c r="A262" s="27" t="s">
        <v>42</v>
      </c>
      <c r="B262" s="27" t="s">
        <v>832</v>
      </c>
      <c r="C262" s="27" t="s">
        <v>833</v>
      </c>
      <c r="D262" s="27" t="s">
        <v>834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11290</f>
        <v>11290.0</v>
      </c>
      <c r="L262" s="34" t="s">
        <v>48</v>
      </c>
      <c r="M262" s="33" t="n">
        <f>11555</f>
        <v>11555.0</v>
      </c>
      <c r="N262" s="34" t="s">
        <v>49</v>
      </c>
      <c r="O262" s="33" t="n">
        <f>9727</f>
        <v>9727.0</v>
      </c>
      <c r="P262" s="34" t="s">
        <v>50</v>
      </c>
      <c r="Q262" s="33" t="n">
        <f>9892</f>
        <v>9892.0</v>
      </c>
      <c r="R262" s="34" t="s">
        <v>51</v>
      </c>
      <c r="S262" s="35" t="n">
        <f>10642</f>
        <v>10642.0</v>
      </c>
      <c r="T262" s="32" t="n">
        <f>733800</f>
        <v>733800.0</v>
      </c>
      <c r="U262" s="32" t="n">
        <f>45004</f>
        <v>45004.0</v>
      </c>
      <c r="V262" s="32" t="n">
        <f>7574724992</f>
        <v>7.574724992E9</v>
      </c>
      <c r="W262" s="32" t="n">
        <f>495391312</f>
        <v>4.95391312E8</v>
      </c>
      <c r="X262" s="36" t="n">
        <f>20</f>
        <v>20.0</v>
      </c>
    </row>
    <row r="263">
      <c r="A263" s="27" t="s">
        <v>42</v>
      </c>
      <c r="B263" s="27" t="s">
        <v>835</v>
      </c>
      <c r="C263" s="27" t="s">
        <v>836</v>
      </c>
      <c r="D263" s="27" t="s">
        <v>837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10.0</v>
      </c>
      <c r="K263" s="33" t="n">
        <f>2566</f>
        <v>2566.0</v>
      </c>
      <c r="L263" s="34" t="s">
        <v>48</v>
      </c>
      <c r="M263" s="33" t="n">
        <f>2668.5</f>
        <v>2668.5</v>
      </c>
      <c r="N263" s="34" t="s">
        <v>166</v>
      </c>
      <c r="O263" s="33" t="n">
        <f>2461</f>
        <v>2461.0</v>
      </c>
      <c r="P263" s="34" t="s">
        <v>50</v>
      </c>
      <c r="Q263" s="33" t="n">
        <f>2541.5</f>
        <v>2541.5</v>
      </c>
      <c r="R263" s="34" t="s">
        <v>51</v>
      </c>
      <c r="S263" s="35" t="n">
        <f>2578.4</f>
        <v>2578.4</v>
      </c>
      <c r="T263" s="32" t="n">
        <f>1977560</f>
        <v>1977560.0</v>
      </c>
      <c r="U263" s="32" t="n">
        <f>20</f>
        <v>20.0</v>
      </c>
      <c r="V263" s="32" t="n">
        <f>5103899470</f>
        <v>5.10389947E9</v>
      </c>
      <c r="W263" s="32" t="n">
        <f>51560</f>
        <v>51560.0</v>
      </c>
      <c r="X263" s="36" t="n">
        <f>20</f>
        <v>20.0</v>
      </c>
    </row>
    <row r="264">
      <c r="A264" s="27" t="s">
        <v>42</v>
      </c>
      <c r="B264" s="27" t="s">
        <v>838</v>
      </c>
      <c r="C264" s="27" t="s">
        <v>839</v>
      </c>
      <c r="D264" s="27" t="s">
        <v>840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2301</f>
        <v>2301.0</v>
      </c>
      <c r="L264" s="34" t="s">
        <v>48</v>
      </c>
      <c r="M264" s="33" t="n">
        <f>2319</f>
        <v>2319.0</v>
      </c>
      <c r="N264" s="34" t="s">
        <v>49</v>
      </c>
      <c r="O264" s="33" t="n">
        <f>2104</f>
        <v>2104.0</v>
      </c>
      <c r="P264" s="34" t="s">
        <v>50</v>
      </c>
      <c r="Q264" s="33" t="n">
        <f>2128.5</f>
        <v>2128.5</v>
      </c>
      <c r="R264" s="34" t="s">
        <v>51</v>
      </c>
      <c r="S264" s="35" t="n">
        <f>2234.33</f>
        <v>2234.33</v>
      </c>
      <c r="T264" s="32" t="n">
        <f>4271000</f>
        <v>4271000.0</v>
      </c>
      <c r="U264" s="32" t="n">
        <f>798150</f>
        <v>798150.0</v>
      </c>
      <c r="V264" s="32" t="n">
        <f>9547972988</f>
        <v>9.547972988E9</v>
      </c>
      <c r="W264" s="32" t="n">
        <f>1798982803</f>
        <v>1.798982803E9</v>
      </c>
      <c r="X264" s="36" t="n">
        <f>20</f>
        <v>20.0</v>
      </c>
    </row>
    <row r="265">
      <c r="A265" s="27" t="s">
        <v>42</v>
      </c>
      <c r="B265" s="27" t="s">
        <v>841</v>
      </c>
      <c r="C265" s="27" t="s">
        <v>842</v>
      </c>
      <c r="D265" s="27" t="s">
        <v>843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2638.5</f>
        <v>2638.5</v>
      </c>
      <c r="L265" s="34" t="s">
        <v>48</v>
      </c>
      <c r="M265" s="33" t="n">
        <f>2735.5</f>
        <v>2735.5</v>
      </c>
      <c r="N265" s="34" t="s">
        <v>166</v>
      </c>
      <c r="O265" s="33" t="n">
        <f>2523.5</f>
        <v>2523.5</v>
      </c>
      <c r="P265" s="34" t="s">
        <v>50</v>
      </c>
      <c r="Q265" s="33" t="n">
        <f>2605.5</f>
        <v>2605.5</v>
      </c>
      <c r="R265" s="34" t="s">
        <v>51</v>
      </c>
      <c r="S265" s="35" t="n">
        <f>2645.08</f>
        <v>2645.08</v>
      </c>
      <c r="T265" s="32" t="n">
        <f>431660</f>
        <v>431660.0</v>
      </c>
      <c r="U265" s="32" t="n">
        <f>180000</f>
        <v>180000.0</v>
      </c>
      <c r="V265" s="32" t="n">
        <f>1140156435</f>
        <v>1.140156435E9</v>
      </c>
      <c r="W265" s="32" t="n">
        <f>482994000</f>
        <v>4.82994E8</v>
      </c>
      <c r="X265" s="36" t="n">
        <f>20</f>
        <v>20.0</v>
      </c>
    </row>
    <row r="266">
      <c r="A266" s="27" t="s">
        <v>42</v>
      </c>
      <c r="B266" s="27" t="s">
        <v>844</v>
      </c>
      <c r="C266" s="27" t="s">
        <v>845</v>
      </c>
      <c r="D266" s="27" t="s">
        <v>846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2600</f>
        <v>2600.0</v>
      </c>
      <c r="L266" s="34" t="s">
        <v>48</v>
      </c>
      <c r="M266" s="33" t="n">
        <f>2626</f>
        <v>2626.0</v>
      </c>
      <c r="N266" s="34" t="s">
        <v>49</v>
      </c>
      <c r="O266" s="33" t="n">
        <f>2424</f>
        <v>2424.0</v>
      </c>
      <c r="P266" s="34" t="s">
        <v>50</v>
      </c>
      <c r="Q266" s="33" t="n">
        <f>2469</f>
        <v>2469.0</v>
      </c>
      <c r="R266" s="34" t="s">
        <v>51</v>
      </c>
      <c r="S266" s="35" t="n">
        <f>2530.21</f>
        <v>2530.21</v>
      </c>
      <c r="T266" s="32" t="n">
        <f>18848</f>
        <v>18848.0</v>
      </c>
      <c r="U266" s="32" t="str">
        <f>"－"</f>
        <v>－</v>
      </c>
      <c r="V266" s="32" t="n">
        <f>48768541</f>
        <v>4.8768541E7</v>
      </c>
      <c r="W266" s="32" t="str">
        <f>"－"</f>
        <v>－</v>
      </c>
      <c r="X266" s="36" t="n">
        <f>19</f>
        <v>19.0</v>
      </c>
    </row>
    <row r="267">
      <c r="A267" s="27" t="s">
        <v>42</v>
      </c>
      <c r="B267" s="27" t="s">
        <v>847</v>
      </c>
      <c r="C267" s="27" t="s">
        <v>848</v>
      </c>
      <c r="D267" s="27" t="s">
        <v>849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1569</f>
        <v>1569.0</v>
      </c>
      <c r="L267" s="34" t="s">
        <v>48</v>
      </c>
      <c r="M267" s="33" t="n">
        <f>1596</f>
        <v>1596.0</v>
      </c>
      <c r="N267" s="34" t="s">
        <v>49</v>
      </c>
      <c r="O267" s="33" t="n">
        <f>1425</f>
        <v>1425.0</v>
      </c>
      <c r="P267" s="34" t="s">
        <v>50</v>
      </c>
      <c r="Q267" s="33" t="n">
        <f>1488</f>
        <v>1488.0</v>
      </c>
      <c r="R267" s="34" t="s">
        <v>51</v>
      </c>
      <c r="S267" s="35" t="n">
        <f>1492.65</f>
        <v>1492.65</v>
      </c>
      <c r="T267" s="32" t="n">
        <f>37561</f>
        <v>37561.0</v>
      </c>
      <c r="U267" s="32" t="str">
        <f>"－"</f>
        <v>－</v>
      </c>
      <c r="V267" s="32" t="n">
        <f>57582420</f>
        <v>5.758242E7</v>
      </c>
      <c r="W267" s="32" t="str">
        <f>"－"</f>
        <v>－</v>
      </c>
      <c r="X267" s="36" t="n">
        <f>20</f>
        <v>20.0</v>
      </c>
    </row>
    <row r="268">
      <c r="A268" s="27" t="s">
        <v>42</v>
      </c>
      <c r="B268" s="27" t="s">
        <v>850</v>
      </c>
      <c r="C268" s="27" t="s">
        <v>851</v>
      </c>
      <c r="D268" s="27" t="s">
        <v>852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1967</f>
        <v>1967.0</v>
      </c>
      <c r="L268" s="34" t="s">
        <v>48</v>
      </c>
      <c r="M268" s="33" t="n">
        <f>2046</f>
        <v>2046.0</v>
      </c>
      <c r="N268" s="34" t="s">
        <v>49</v>
      </c>
      <c r="O268" s="33" t="n">
        <f>1813</f>
        <v>1813.0</v>
      </c>
      <c r="P268" s="34" t="s">
        <v>50</v>
      </c>
      <c r="Q268" s="33" t="n">
        <f>1894</f>
        <v>1894.0</v>
      </c>
      <c r="R268" s="34" t="s">
        <v>51</v>
      </c>
      <c r="S268" s="35" t="n">
        <f>1924.7</f>
        <v>1924.7</v>
      </c>
      <c r="T268" s="32" t="n">
        <f>64011</f>
        <v>64011.0</v>
      </c>
      <c r="U268" s="32" t="str">
        <f>"－"</f>
        <v>－</v>
      </c>
      <c r="V268" s="32" t="n">
        <f>125959358</f>
        <v>1.25959358E8</v>
      </c>
      <c r="W268" s="32" t="str">
        <f>"－"</f>
        <v>－</v>
      </c>
      <c r="X268" s="36" t="n">
        <f>20</f>
        <v>20.0</v>
      </c>
    </row>
    <row r="269">
      <c r="A269" s="27" t="s">
        <v>42</v>
      </c>
      <c r="B269" s="27" t="s">
        <v>853</v>
      </c>
      <c r="C269" s="27" t="s">
        <v>854</v>
      </c>
      <c r="D269" s="27" t="s">
        <v>855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1583</f>
        <v>1583.0</v>
      </c>
      <c r="L269" s="34" t="s">
        <v>48</v>
      </c>
      <c r="M269" s="33" t="n">
        <f>1644</f>
        <v>1644.0</v>
      </c>
      <c r="N269" s="34" t="s">
        <v>49</v>
      </c>
      <c r="O269" s="33" t="n">
        <f>1568</f>
        <v>1568.0</v>
      </c>
      <c r="P269" s="34" t="s">
        <v>50</v>
      </c>
      <c r="Q269" s="33" t="n">
        <f>1606</f>
        <v>1606.0</v>
      </c>
      <c r="R269" s="34" t="s">
        <v>51</v>
      </c>
      <c r="S269" s="35" t="n">
        <f>1614.8</f>
        <v>1614.8</v>
      </c>
      <c r="T269" s="32" t="n">
        <f>8941</f>
        <v>8941.0</v>
      </c>
      <c r="U269" s="32" t="str">
        <f>"－"</f>
        <v>－</v>
      </c>
      <c r="V269" s="32" t="n">
        <f>14497335</f>
        <v>1.4497335E7</v>
      </c>
      <c r="W269" s="32" t="str">
        <f>"－"</f>
        <v>－</v>
      </c>
      <c r="X269" s="36" t="n">
        <f>20</f>
        <v>20.0</v>
      </c>
    </row>
    <row r="270">
      <c r="A270" s="27" t="s">
        <v>42</v>
      </c>
      <c r="B270" s="27" t="s">
        <v>856</v>
      </c>
      <c r="C270" s="27" t="s">
        <v>857</v>
      </c>
      <c r="D270" s="27" t="s">
        <v>858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2640</f>
        <v>2640.0</v>
      </c>
      <c r="L270" s="34" t="s">
        <v>48</v>
      </c>
      <c r="M270" s="33" t="n">
        <f>2730</f>
        <v>2730.0</v>
      </c>
      <c r="N270" s="34" t="s">
        <v>49</v>
      </c>
      <c r="O270" s="33" t="n">
        <f>2537</f>
        <v>2537.0</v>
      </c>
      <c r="P270" s="34" t="s">
        <v>168</v>
      </c>
      <c r="Q270" s="33" t="n">
        <f>2611</f>
        <v>2611.0</v>
      </c>
      <c r="R270" s="34" t="s">
        <v>51</v>
      </c>
      <c r="S270" s="35" t="n">
        <f>2646.3</f>
        <v>2646.3</v>
      </c>
      <c r="T270" s="32" t="n">
        <f>64526</f>
        <v>64526.0</v>
      </c>
      <c r="U270" s="32" t="str">
        <f>"－"</f>
        <v>－</v>
      </c>
      <c r="V270" s="32" t="n">
        <f>171762855</f>
        <v>1.71762855E8</v>
      </c>
      <c r="W270" s="32" t="str">
        <f>"－"</f>
        <v>－</v>
      </c>
      <c r="X270" s="36" t="n">
        <f>20</f>
        <v>20.0</v>
      </c>
    </row>
    <row r="271">
      <c r="A271" s="27" t="s">
        <v>42</v>
      </c>
      <c r="B271" s="27" t="s">
        <v>859</v>
      </c>
      <c r="C271" s="27" t="s">
        <v>860</v>
      </c>
      <c r="D271" s="27" t="s">
        <v>861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2078</f>
        <v>2078.0</v>
      </c>
      <c r="L271" s="34" t="s">
        <v>48</v>
      </c>
      <c r="M271" s="33" t="n">
        <f>2107</f>
        <v>2107.0</v>
      </c>
      <c r="N271" s="34" t="s">
        <v>49</v>
      </c>
      <c r="O271" s="33" t="n">
        <f>1968</f>
        <v>1968.0</v>
      </c>
      <c r="P271" s="34" t="s">
        <v>50</v>
      </c>
      <c r="Q271" s="33" t="n">
        <f>2025</f>
        <v>2025.0</v>
      </c>
      <c r="R271" s="34" t="s">
        <v>51</v>
      </c>
      <c r="S271" s="35" t="n">
        <f>2038.65</f>
        <v>2038.65</v>
      </c>
      <c r="T271" s="32" t="n">
        <f>55219</f>
        <v>55219.0</v>
      </c>
      <c r="U271" s="32" t="str">
        <f>"－"</f>
        <v>－</v>
      </c>
      <c r="V271" s="32" t="n">
        <f>113377818</f>
        <v>1.13377818E8</v>
      </c>
      <c r="W271" s="32" t="str">
        <f>"－"</f>
        <v>－</v>
      </c>
      <c r="X271" s="36" t="n">
        <f>20</f>
        <v>20.0</v>
      </c>
    </row>
    <row r="272">
      <c r="A272" s="27" t="s">
        <v>42</v>
      </c>
      <c r="B272" s="27" t="s">
        <v>862</v>
      </c>
      <c r="C272" s="27" t="s">
        <v>863</v>
      </c>
      <c r="D272" s="27" t="s">
        <v>864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26055</f>
        <v>26055.0</v>
      </c>
      <c r="L272" s="34" t="s">
        <v>72</v>
      </c>
      <c r="M272" s="33" t="n">
        <f>26055</f>
        <v>26055.0</v>
      </c>
      <c r="N272" s="34" t="s">
        <v>72</v>
      </c>
      <c r="O272" s="33" t="n">
        <f>24870</f>
        <v>24870.0</v>
      </c>
      <c r="P272" s="34" t="s">
        <v>50</v>
      </c>
      <c r="Q272" s="33" t="n">
        <f>25260</f>
        <v>25260.0</v>
      </c>
      <c r="R272" s="34" t="s">
        <v>51</v>
      </c>
      <c r="S272" s="35" t="n">
        <f>25330.88</f>
        <v>25330.88</v>
      </c>
      <c r="T272" s="32" t="n">
        <f>45</f>
        <v>45.0</v>
      </c>
      <c r="U272" s="32" t="str">
        <f>"－"</f>
        <v>－</v>
      </c>
      <c r="V272" s="32" t="n">
        <f>1140735</f>
        <v>1140735.0</v>
      </c>
      <c r="W272" s="32" t="str">
        <f>"－"</f>
        <v>－</v>
      </c>
      <c r="X272" s="36" t="n">
        <f>17</f>
        <v>17.0</v>
      </c>
    </row>
    <row r="273">
      <c r="A273" s="27" t="s">
        <v>42</v>
      </c>
      <c r="B273" s="27" t="s">
        <v>865</v>
      </c>
      <c r="C273" s="27" t="s">
        <v>866</v>
      </c>
      <c r="D273" s="27" t="s">
        <v>867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2054</f>
        <v>2054.0</v>
      </c>
      <c r="L273" s="34" t="s">
        <v>48</v>
      </c>
      <c r="M273" s="33" t="n">
        <f>2088</f>
        <v>2088.0</v>
      </c>
      <c r="N273" s="34" t="s">
        <v>49</v>
      </c>
      <c r="O273" s="33" t="n">
        <f>1946</f>
        <v>1946.0</v>
      </c>
      <c r="P273" s="34" t="s">
        <v>50</v>
      </c>
      <c r="Q273" s="33" t="n">
        <f>1999</f>
        <v>1999.0</v>
      </c>
      <c r="R273" s="34" t="s">
        <v>51</v>
      </c>
      <c r="S273" s="35" t="n">
        <f>2013.2</f>
        <v>2013.2</v>
      </c>
      <c r="T273" s="32" t="n">
        <f>14006</f>
        <v>14006.0</v>
      </c>
      <c r="U273" s="32" t="str">
        <f>"－"</f>
        <v>－</v>
      </c>
      <c r="V273" s="32" t="n">
        <f>28121116</f>
        <v>2.8121116E7</v>
      </c>
      <c r="W273" s="32" t="str">
        <f>"－"</f>
        <v>－</v>
      </c>
      <c r="X273" s="36" t="n">
        <f>20</f>
        <v>20.0</v>
      </c>
    </row>
    <row r="274">
      <c r="A274" s="27" t="s">
        <v>42</v>
      </c>
      <c r="B274" s="27" t="s">
        <v>868</v>
      </c>
      <c r="C274" s="27" t="s">
        <v>869</v>
      </c>
      <c r="D274" s="27" t="s">
        <v>870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2293</f>
        <v>2293.0</v>
      </c>
      <c r="L274" s="34" t="s">
        <v>48</v>
      </c>
      <c r="M274" s="33" t="n">
        <f>2308</f>
        <v>2308.0</v>
      </c>
      <c r="N274" s="34" t="s">
        <v>49</v>
      </c>
      <c r="O274" s="33" t="n">
        <f>2017</f>
        <v>2017.0</v>
      </c>
      <c r="P274" s="34" t="s">
        <v>254</v>
      </c>
      <c r="Q274" s="33" t="n">
        <f>2121</f>
        <v>2121.0</v>
      </c>
      <c r="R274" s="34" t="s">
        <v>51</v>
      </c>
      <c r="S274" s="35" t="n">
        <f>2130</f>
        <v>2130.0</v>
      </c>
      <c r="T274" s="32" t="n">
        <f>367764</f>
        <v>367764.0</v>
      </c>
      <c r="U274" s="32" t="str">
        <f>"－"</f>
        <v>－</v>
      </c>
      <c r="V274" s="32" t="n">
        <f>771636831</f>
        <v>7.71636831E8</v>
      </c>
      <c r="W274" s="32" t="str">
        <f>"－"</f>
        <v>－</v>
      </c>
      <c r="X274" s="36" t="n">
        <f>20</f>
        <v>20.0</v>
      </c>
    </row>
    <row r="275">
      <c r="A275" s="27" t="s">
        <v>42</v>
      </c>
      <c r="B275" s="27" t="s">
        <v>871</v>
      </c>
      <c r="C275" s="27" t="s">
        <v>872</v>
      </c>
      <c r="D275" s="27" t="s">
        <v>873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1954</f>
        <v>1954.0</v>
      </c>
      <c r="L275" s="34" t="s">
        <v>48</v>
      </c>
      <c r="M275" s="33" t="n">
        <f>2007</f>
        <v>2007.0</v>
      </c>
      <c r="N275" s="34" t="s">
        <v>49</v>
      </c>
      <c r="O275" s="33" t="n">
        <f>1844</f>
        <v>1844.0</v>
      </c>
      <c r="P275" s="34" t="s">
        <v>51</v>
      </c>
      <c r="Q275" s="33" t="n">
        <f>1869</f>
        <v>1869.0</v>
      </c>
      <c r="R275" s="34" t="s">
        <v>51</v>
      </c>
      <c r="S275" s="35" t="n">
        <f>1926.6</f>
        <v>1926.6</v>
      </c>
      <c r="T275" s="32" t="n">
        <f>85197</f>
        <v>85197.0</v>
      </c>
      <c r="U275" s="32" t="str">
        <f>"－"</f>
        <v>－</v>
      </c>
      <c r="V275" s="32" t="n">
        <f>162074810</f>
        <v>1.6207481E8</v>
      </c>
      <c r="W275" s="32" t="str">
        <f>"－"</f>
        <v>－</v>
      </c>
      <c r="X275" s="36" t="n">
        <f>20</f>
        <v>20.0</v>
      </c>
    </row>
    <row r="276">
      <c r="A276" s="27" t="s">
        <v>42</v>
      </c>
      <c r="B276" s="27" t="s">
        <v>874</v>
      </c>
      <c r="C276" s="27" t="s">
        <v>875</v>
      </c>
      <c r="D276" s="27" t="s">
        <v>876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1529</f>
        <v>1529.0</v>
      </c>
      <c r="L276" s="34" t="s">
        <v>48</v>
      </c>
      <c r="M276" s="33" t="n">
        <f>1568</f>
        <v>1568.0</v>
      </c>
      <c r="N276" s="34" t="s">
        <v>49</v>
      </c>
      <c r="O276" s="33" t="n">
        <f>1340</f>
        <v>1340.0</v>
      </c>
      <c r="P276" s="34" t="s">
        <v>168</v>
      </c>
      <c r="Q276" s="33" t="n">
        <f>1423</f>
        <v>1423.0</v>
      </c>
      <c r="R276" s="34" t="s">
        <v>51</v>
      </c>
      <c r="S276" s="35" t="n">
        <f>1488.7</f>
        <v>1488.7</v>
      </c>
      <c r="T276" s="32" t="n">
        <f>21575</f>
        <v>21575.0</v>
      </c>
      <c r="U276" s="32" t="str">
        <f>"－"</f>
        <v>－</v>
      </c>
      <c r="V276" s="32" t="n">
        <f>32230961</f>
        <v>3.2230961E7</v>
      </c>
      <c r="W276" s="32" t="str">
        <f>"－"</f>
        <v>－</v>
      </c>
      <c r="X276" s="36" t="n">
        <f>20</f>
        <v>20.0</v>
      </c>
    </row>
    <row r="277">
      <c r="A277" s="27" t="s">
        <v>42</v>
      </c>
      <c r="B277" s="27" t="s">
        <v>877</v>
      </c>
      <c r="C277" s="27" t="s">
        <v>878</v>
      </c>
      <c r="D277" s="27" t="s">
        <v>879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5043</f>
        <v>5043.0</v>
      </c>
      <c r="L277" s="34" t="s">
        <v>49</v>
      </c>
      <c r="M277" s="33" t="n">
        <f>5125</f>
        <v>5125.0</v>
      </c>
      <c r="N277" s="34" t="s">
        <v>51</v>
      </c>
      <c r="O277" s="33" t="n">
        <f>4998</f>
        <v>4998.0</v>
      </c>
      <c r="P277" s="34" t="s">
        <v>86</v>
      </c>
      <c r="Q277" s="33" t="n">
        <f>5125</f>
        <v>5125.0</v>
      </c>
      <c r="R277" s="34" t="s">
        <v>51</v>
      </c>
      <c r="S277" s="35" t="n">
        <f>5064.47</f>
        <v>5064.47</v>
      </c>
      <c r="T277" s="32" t="n">
        <f>328720</f>
        <v>328720.0</v>
      </c>
      <c r="U277" s="32" t="n">
        <f>19900</f>
        <v>19900.0</v>
      </c>
      <c r="V277" s="32" t="n">
        <f>1668160360</f>
        <v>1.66816036E9</v>
      </c>
      <c r="W277" s="32" t="n">
        <f>99991530</f>
        <v>9.999153E7</v>
      </c>
      <c r="X277" s="36" t="n">
        <f>15</f>
        <v>15.0</v>
      </c>
    </row>
    <row r="278">
      <c r="A278" s="27" t="s">
        <v>42</v>
      </c>
      <c r="B278" s="27" t="s">
        <v>880</v>
      </c>
      <c r="C278" s="27" t="s">
        <v>881</v>
      </c>
      <c r="D278" s="27" t="s">
        <v>882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4645</f>
        <v>4645.0</v>
      </c>
      <c r="L278" s="34" t="s">
        <v>49</v>
      </c>
      <c r="M278" s="33" t="n">
        <f>4645</f>
        <v>4645.0</v>
      </c>
      <c r="N278" s="34" t="s">
        <v>49</v>
      </c>
      <c r="O278" s="33" t="n">
        <f>4440</f>
        <v>4440.0</v>
      </c>
      <c r="P278" s="34" t="s">
        <v>264</v>
      </c>
      <c r="Q278" s="33" t="n">
        <f>4497</f>
        <v>4497.0</v>
      </c>
      <c r="R278" s="34" t="s">
        <v>51</v>
      </c>
      <c r="S278" s="35" t="n">
        <f>4530</f>
        <v>4530.0</v>
      </c>
      <c r="T278" s="32" t="n">
        <f>244600</f>
        <v>244600.0</v>
      </c>
      <c r="U278" s="32" t="n">
        <f>106000</f>
        <v>106000.0</v>
      </c>
      <c r="V278" s="32" t="n">
        <f>1099011760</f>
        <v>1.09901176E9</v>
      </c>
      <c r="W278" s="32" t="n">
        <f>474402400</f>
        <v>4.744024E8</v>
      </c>
      <c r="X278" s="36" t="n">
        <f>10</f>
        <v>10.0</v>
      </c>
    </row>
    <row r="279">
      <c r="A279" s="27" t="s">
        <v>42</v>
      </c>
      <c r="B279" s="27" t="s">
        <v>883</v>
      </c>
      <c r="C279" s="27" t="s">
        <v>884</v>
      </c>
      <c r="D279" s="27" t="s">
        <v>885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10.0</v>
      </c>
      <c r="K279" s="33" t="n">
        <f>770.4</f>
        <v>770.4</v>
      </c>
      <c r="L279" s="34" t="s">
        <v>72</v>
      </c>
      <c r="M279" s="33" t="n">
        <f>770.4</f>
        <v>770.4</v>
      </c>
      <c r="N279" s="34" t="s">
        <v>72</v>
      </c>
      <c r="O279" s="33" t="n">
        <f>744.1</f>
        <v>744.1</v>
      </c>
      <c r="P279" s="34" t="s">
        <v>168</v>
      </c>
      <c r="Q279" s="33" t="n">
        <f>749.6</f>
        <v>749.6</v>
      </c>
      <c r="R279" s="34" t="s">
        <v>51</v>
      </c>
      <c r="S279" s="35" t="n">
        <f>755.39</f>
        <v>755.39</v>
      </c>
      <c r="T279" s="32" t="n">
        <f>75300</f>
        <v>75300.0</v>
      </c>
      <c r="U279" s="32" t="str">
        <f>"－"</f>
        <v>－</v>
      </c>
      <c r="V279" s="32" t="n">
        <f>56738848</f>
        <v>5.6738848E7</v>
      </c>
      <c r="W279" s="32" t="str">
        <f>"－"</f>
        <v>－</v>
      </c>
      <c r="X279" s="36" t="n">
        <f>16</f>
        <v>16.0</v>
      </c>
    </row>
    <row r="280">
      <c r="A280" s="27" t="s">
        <v>42</v>
      </c>
      <c r="B280" s="27" t="s">
        <v>886</v>
      </c>
      <c r="C280" s="27" t="s">
        <v>887</v>
      </c>
      <c r="D280" s="27" t="s">
        <v>888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2309</f>
        <v>2309.0</v>
      </c>
      <c r="L280" s="34" t="s">
        <v>48</v>
      </c>
      <c r="M280" s="33" t="n">
        <f>2446</f>
        <v>2446.0</v>
      </c>
      <c r="N280" s="34" t="s">
        <v>49</v>
      </c>
      <c r="O280" s="33" t="n">
        <f>2098</f>
        <v>2098.0</v>
      </c>
      <c r="P280" s="34" t="s">
        <v>50</v>
      </c>
      <c r="Q280" s="33" t="n">
        <f>2120</f>
        <v>2120.0</v>
      </c>
      <c r="R280" s="34" t="s">
        <v>51</v>
      </c>
      <c r="S280" s="35" t="n">
        <f>2273.5</f>
        <v>2273.5</v>
      </c>
      <c r="T280" s="32" t="n">
        <f>89109</f>
        <v>89109.0</v>
      </c>
      <c r="U280" s="32" t="str">
        <f>"－"</f>
        <v>－</v>
      </c>
      <c r="V280" s="32" t="n">
        <f>205106142</f>
        <v>2.05106142E8</v>
      </c>
      <c r="W280" s="32" t="str">
        <f>"－"</f>
        <v>－</v>
      </c>
      <c r="X280" s="36" t="n">
        <f>20</f>
        <v>20.0</v>
      </c>
    </row>
    <row r="281">
      <c r="A281" s="27" t="s">
        <v>42</v>
      </c>
      <c r="B281" s="27" t="s">
        <v>889</v>
      </c>
      <c r="C281" s="27" t="s">
        <v>890</v>
      </c>
      <c r="D281" s="27" t="s">
        <v>891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1880</f>
        <v>1880.0</v>
      </c>
      <c r="L281" s="34" t="s">
        <v>48</v>
      </c>
      <c r="M281" s="33" t="n">
        <f>1968</f>
        <v>1968.0</v>
      </c>
      <c r="N281" s="34" t="s">
        <v>49</v>
      </c>
      <c r="O281" s="33" t="n">
        <f>1796</f>
        <v>1796.0</v>
      </c>
      <c r="P281" s="34" t="s">
        <v>168</v>
      </c>
      <c r="Q281" s="33" t="n">
        <f>1857</f>
        <v>1857.0</v>
      </c>
      <c r="R281" s="34" t="s">
        <v>51</v>
      </c>
      <c r="S281" s="35" t="n">
        <f>1873.55</f>
        <v>1873.55</v>
      </c>
      <c r="T281" s="32" t="n">
        <f>1087</f>
        <v>1087.0</v>
      </c>
      <c r="U281" s="32" t="str">
        <f>"－"</f>
        <v>－</v>
      </c>
      <c r="V281" s="32" t="n">
        <f>1999411</f>
        <v>1999411.0</v>
      </c>
      <c r="W281" s="32" t="str">
        <f>"－"</f>
        <v>－</v>
      </c>
      <c r="X281" s="36" t="n">
        <f>20</f>
        <v>20.0</v>
      </c>
    </row>
    <row r="282">
      <c r="A282" s="27" t="s">
        <v>42</v>
      </c>
      <c r="B282" s="27" t="s">
        <v>892</v>
      </c>
      <c r="C282" s="27" t="s">
        <v>893</v>
      </c>
      <c r="D282" s="27" t="s">
        <v>894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7533</f>
        <v>7533.0</v>
      </c>
      <c r="L282" s="34" t="s">
        <v>72</v>
      </c>
      <c r="M282" s="33" t="n">
        <f>7729</f>
        <v>7729.0</v>
      </c>
      <c r="N282" s="34" t="s">
        <v>51</v>
      </c>
      <c r="O282" s="33" t="n">
        <f>7440</f>
        <v>7440.0</v>
      </c>
      <c r="P282" s="34" t="s">
        <v>167</v>
      </c>
      <c r="Q282" s="33" t="n">
        <f>7729</f>
        <v>7729.0</v>
      </c>
      <c r="R282" s="34" t="s">
        <v>51</v>
      </c>
      <c r="S282" s="35" t="n">
        <f>7544.79</f>
        <v>7544.79</v>
      </c>
      <c r="T282" s="32" t="n">
        <f>258803</f>
        <v>258803.0</v>
      </c>
      <c r="U282" s="32" t="n">
        <f>105350</f>
        <v>105350.0</v>
      </c>
      <c r="V282" s="32" t="n">
        <f>1951455702</f>
        <v>1.951455702E9</v>
      </c>
      <c r="W282" s="32" t="n">
        <f>795659053</f>
        <v>7.95659053E8</v>
      </c>
      <c r="X282" s="36" t="n">
        <f>19</f>
        <v>19.0</v>
      </c>
    </row>
    <row r="283">
      <c r="A283" s="27" t="s">
        <v>42</v>
      </c>
      <c r="B283" s="27" t="s">
        <v>895</v>
      </c>
      <c r="C283" s="27" t="s">
        <v>896</v>
      </c>
      <c r="D283" s="27" t="s">
        <v>897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6950</f>
        <v>6950.0</v>
      </c>
      <c r="L283" s="34" t="s">
        <v>48</v>
      </c>
      <c r="M283" s="33" t="n">
        <f>6990</f>
        <v>6990.0</v>
      </c>
      <c r="N283" s="34" t="s">
        <v>61</v>
      </c>
      <c r="O283" s="33" t="n">
        <f>6635</f>
        <v>6635.0</v>
      </c>
      <c r="P283" s="34" t="s">
        <v>264</v>
      </c>
      <c r="Q283" s="33" t="n">
        <f>6721</f>
        <v>6721.0</v>
      </c>
      <c r="R283" s="34" t="s">
        <v>51</v>
      </c>
      <c r="S283" s="35" t="n">
        <f>6790</f>
        <v>6790.0</v>
      </c>
      <c r="T283" s="32" t="n">
        <f>73837</f>
        <v>73837.0</v>
      </c>
      <c r="U283" s="32" t="n">
        <f>29700</f>
        <v>29700.0</v>
      </c>
      <c r="V283" s="32" t="n">
        <f>497016662</f>
        <v>4.97016662E8</v>
      </c>
      <c r="W283" s="32" t="n">
        <f>199353753</f>
        <v>1.99353753E8</v>
      </c>
      <c r="X283" s="36" t="n">
        <f>17</f>
        <v>17.0</v>
      </c>
    </row>
    <row r="284">
      <c r="A284" s="27" t="s">
        <v>42</v>
      </c>
      <c r="B284" s="27" t="s">
        <v>898</v>
      </c>
      <c r="C284" s="27" t="s">
        <v>899</v>
      </c>
      <c r="D284" s="27" t="s">
        <v>900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17095</f>
        <v>17095.0</v>
      </c>
      <c r="L284" s="34" t="s">
        <v>48</v>
      </c>
      <c r="M284" s="33" t="n">
        <f>17520</f>
        <v>17520.0</v>
      </c>
      <c r="N284" s="34" t="s">
        <v>49</v>
      </c>
      <c r="O284" s="33" t="n">
        <f>15550</f>
        <v>15550.0</v>
      </c>
      <c r="P284" s="34" t="s">
        <v>50</v>
      </c>
      <c r="Q284" s="33" t="n">
        <f>16135</f>
        <v>16135.0</v>
      </c>
      <c r="R284" s="34" t="s">
        <v>51</v>
      </c>
      <c r="S284" s="35" t="n">
        <f>16716</f>
        <v>16716.0</v>
      </c>
      <c r="T284" s="32" t="n">
        <f>24506</f>
        <v>24506.0</v>
      </c>
      <c r="U284" s="32" t="str">
        <f>"－"</f>
        <v>－</v>
      </c>
      <c r="V284" s="32" t="n">
        <f>407439265</f>
        <v>4.07439265E8</v>
      </c>
      <c r="W284" s="32" t="str">
        <f>"－"</f>
        <v>－</v>
      </c>
      <c r="X284" s="36" t="n">
        <f>20</f>
        <v>20.0</v>
      </c>
    </row>
    <row r="285">
      <c r="A285" s="27" t="s">
        <v>42</v>
      </c>
      <c r="B285" s="27" t="s">
        <v>901</v>
      </c>
      <c r="C285" s="27" t="s">
        <v>902</v>
      </c>
      <c r="D285" s="27" t="s">
        <v>903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10625</f>
        <v>10625.0</v>
      </c>
      <c r="L285" s="34" t="s">
        <v>48</v>
      </c>
      <c r="M285" s="33" t="n">
        <f>10780</f>
        <v>10780.0</v>
      </c>
      <c r="N285" s="34" t="s">
        <v>49</v>
      </c>
      <c r="O285" s="33" t="n">
        <f>9162</f>
        <v>9162.0</v>
      </c>
      <c r="P285" s="34" t="s">
        <v>50</v>
      </c>
      <c r="Q285" s="33" t="n">
        <f>9319</f>
        <v>9319.0</v>
      </c>
      <c r="R285" s="34" t="s">
        <v>51</v>
      </c>
      <c r="S285" s="35" t="n">
        <f>10001.45</f>
        <v>10001.45</v>
      </c>
      <c r="T285" s="32" t="n">
        <f>193132</f>
        <v>193132.0</v>
      </c>
      <c r="U285" s="32" t="str">
        <f>"－"</f>
        <v>－</v>
      </c>
      <c r="V285" s="32" t="n">
        <f>1850880842</f>
        <v>1.850880842E9</v>
      </c>
      <c r="W285" s="32" t="str">
        <f>"－"</f>
        <v>－</v>
      </c>
      <c r="X285" s="36" t="n">
        <f>20</f>
        <v>20.0</v>
      </c>
    </row>
    <row r="286">
      <c r="A286" s="27" t="s">
        <v>42</v>
      </c>
      <c r="B286" s="27" t="s">
        <v>904</v>
      </c>
      <c r="C286" s="27" t="s">
        <v>905</v>
      </c>
      <c r="D286" s="27" t="s">
        <v>906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26265</f>
        <v>26265.0</v>
      </c>
      <c r="L286" s="34" t="s">
        <v>48</v>
      </c>
      <c r="M286" s="33" t="n">
        <f>30000</f>
        <v>30000.0</v>
      </c>
      <c r="N286" s="34" t="s">
        <v>50</v>
      </c>
      <c r="O286" s="33" t="n">
        <f>25785</f>
        <v>25785.0</v>
      </c>
      <c r="P286" s="34" t="s">
        <v>49</v>
      </c>
      <c r="Q286" s="33" t="n">
        <f>29505</f>
        <v>29505.0</v>
      </c>
      <c r="R286" s="34" t="s">
        <v>51</v>
      </c>
      <c r="S286" s="35" t="n">
        <f>27711.75</f>
        <v>27711.75</v>
      </c>
      <c r="T286" s="32" t="n">
        <f>130608</f>
        <v>130608.0</v>
      </c>
      <c r="U286" s="32" t="str">
        <f>"－"</f>
        <v>－</v>
      </c>
      <c r="V286" s="32" t="n">
        <f>3692380090</f>
        <v>3.69238009E9</v>
      </c>
      <c r="W286" s="32" t="str">
        <f>"－"</f>
        <v>－</v>
      </c>
      <c r="X286" s="36" t="n">
        <f>20</f>
        <v>20.0</v>
      </c>
    </row>
    <row r="287">
      <c r="A287" s="27" t="s">
        <v>42</v>
      </c>
      <c r="B287" s="27" t="s">
        <v>907</v>
      </c>
      <c r="C287" s="27" t="s">
        <v>908</v>
      </c>
      <c r="D287" s="27" t="s">
        <v>909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10.0</v>
      </c>
      <c r="K287" s="33" t="n">
        <f>4723</f>
        <v>4723.0</v>
      </c>
      <c r="L287" s="34" t="s">
        <v>48</v>
      </c>
      <c r="M287" s="33" t="n">
        <f>5876</f>
        <v>5876.0</v>
      </c>
      <c r="N287" s="34" t="s">
        <v>434</v>
      </c>
      <c r="O287" s="33" t="n">
        <f>4620</f>
        <v>4620.0</v>
      </c>
      <c r="P287" s="34" t="s">
        <v>264</v>
      </c>
      <c r="Q287" s="33" t="n">
        <f>4637</f>
        <v>4637.0</v>
      </c>
      <c r="R287" s="34" t="s">
        <v>50</v>
      </c>
      <c r="S287" s="35" t="n">
        <f>4717.06</f>
        <v>4717.06</v>
      </c>
      <c r="T287" s="32" t="n">
        <f>133310</f>
        <v>133310.0</v>
      </c>
      <c r="U287" s="32" t="str">
        <f>"－"</f>
        <v>－</v>
      </c>
      <c r="V287" s="32" t="n">
        <f>623360530</f>
        <v>6.2336053E8</v>
      </c>
      <c r="W287" s="32" t="str">
        <f>"－"</f>
        <v>－</v>
      </c>
      <c r="X287" s="36" t="n">
        <f>16</f>
        <v>16.0</v>
      </c>
    </row>
    <row r="288">
      <c r="A288" s="27" t="s">
        <v>42</v>
      </c>
      <c r="B288" s="27" t="s">
        <v>910</v>
      </c>
      <c r="C288" s="27" t="s">
        <v>911</v>
      </c>
      <c r="D288" s="27" t="s">
        <v>912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10.0</v>
      </c>
      <c r="K288" s="33" t="n">
        <f>5250</f>
        <v>5250.0</v>
      </c>
      <c r="L288" s="34" t="s">
        <v>48</v>
      </c>
      <c r="M288" s="33" t="n">
        <f>5398</f>
        <v>5398.0</v>
      </c>
      <c r="N288" s="34" t="s">
        <v>166</v>
      </c>
      <c r="O288" s="33" t="n">
        <f>5137</f>
        <v>5137.0</v>
      </c>
      <c r="P288" s="34" t="s">
        <v>50</v>
      </c>
      <c r="Q288" s="33" t="n">
        <f>5141</f>
        <v>5141.0</v>
      </c>
      <c r="R288" s="34" t="s">
        <v>51</v>
      </c>
      <c r="S288" s="35" t="n">
        <f>5277.11</f>
        <v>5277.11</v>
      </c>
      <c r="T288" s="32" t="n">
        <f>304090</f>
        <v>304090.0</v>
      </c>
      <c r="U288" s="32" t="n">
        <f>31510</f>
        <v>31510.0</v>
      </c>
      <c r="V288" s="32" t="n">
        <f>1620378522</f>
        <v>1.620378522E9</v>
      </c>
      <c r="W288" s="32" t="n">
        <f>166600712</f>
        <v>1.66600712E8</v>
      </c>
      <c r="X288" s="36" t="n">
        <f>18</f>
        <v>18.0</v>
      </c>
    </row>
    <row r="289">
      <c r="A289" s="27" t="s">
        <v>42</v>
      </c>
      <c r="B289" s="27" t="s">
        <v>913</v>
      </c>
      <c r="C289" s="27" t="s">
        <v>914</v>
      </c>
      <c r="D289" s="27" t="s">
        <v>915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2207</f>
        <v>2207.0</v>
      </c>
      <c r="L289" s="34" t="s">
        <v>48</v>
      </c>
      <c r="M289" s="33" t="n">
        <f>2255</f>
        <v>2255.0</v>
      </c>
      <c r="N289" s="34" t="s">
        <v>49</v>
      </c>
      <c r="O289" s="33" t="n">
        <f>1903.5</f>
        <v>1903.5</v>
      </c>
      <c r="P289" s="34" t="s">
        <v>50</v>
      </c>
      <c r="Q289" s="33" t="n">
        <f>1934.5</f>
        <v>1934.5</v>
      </c>
      <c r="R289" s="34" t="s">
        <v>51</v>
      </c>
      <c r="S289" s="35" t="n">
        <f>2082.58</f>
        <v>2082.58</v>
      </c>
      <c r="T289" s="32" t="n">
        <f>1739450</f>
        <v>1739450.0</v>
      </c>
      <c r="U289" s="32" t="n">
        <f>264300</f>
        <v>264300.0</v>
      </c>
      <c r="V289" s="32" t="n">
        <f>3521340956</f>
        <v>3.521340956E9</v>
      </c>
      <c r="W289" s="32" t="n">
        <f>517371301</f>
        <v>5.17371301E8</v>
      </c>
      <c r="X289" s="36" t="n">
        <f>20</f>
        <v>20.0</v>
      </c>
    </row>
    <row r="290">
      <c r="A290" s="27" t="s">
        <v>42</v>
      </c>
      <c r="B290" s="27" t="s">
        <v>916</v>
      </c>
      <c r="C290" s="27" t="s">
        <v>917</v>
      </c>
      <c r="D290" s="27" t="s">
        <v>918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2090</f>
        <v>2090.0</v>
      </c>
      <c r="L290" s="34" t="s">
        <v>48</v>
      </c>
      <c r="M290" s="33" t="n">
        <f>2107</f>
        <v>2107.0</v>
      </c>
      <c r="N290" s="34" t="s">
        <v>72</v>
      </c>
      <c r="O290" s="33" t="n">
        <f>1950</f>
        <v>1950.0</v>
      </c>
      <c r="P290" s="34" t="s">
        <v>92</v>
      </c>
      <c r="Q290" s="33" t="n">
        <f>1970</f>
        <v>1970.0</v>
      </c>
      <c r="R290" s="34" t="s">
        <v>51</v>
      </c>
      <c r="S290" s="35" t="n">
        <f>2034.35</f>
        <v>2034.35</v>
      </c>
      <c r="T290" s="32" t="n">
        <f>958530</f>
        <v>958530.0</v>
      </c>
      <c r="U290" s="32" t="n">
        <f>952200</f>
        <v>952200.0</v>
      </c>
      <c r="V290" s="32" t="n">
        <f>1917368335</f>
        <v>1.917368335E9</v>
      </c>
      <c r="W290" s="32" t="n">
        <f>1904529680</f>
        <v>1.90452968E9</v>
      </c>
      <c r="X290" s="36" t="n">
        <f>20</f>
        <v>20.0</v>
      </c>
    </row>
    <row r="291">
      <c r="A291" s="27" t="s">
        <v>42</v>
      </c>
      <c r="B291" s="27" t="s">
        <v>919</v>
      </c>
      <c r="C291" s="27" t="s">
        <v>920</v>
      </c>
      <c r="D291" s="27" t="s">
        <v>921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1532</f>
        <v>1532.0</v>
      </c>
      <c r="L291" s="34" t="s">
        <v>48</v>
      </c>
      <c r="M291" s="33" t="n">
        <f>1587</f>
        <v>1587.0</v>
      </c>
      <c r="N291" s="34" t="s">
        <v>49</v>
      </c>
      <c r="O291" s="33" t="n">
        <f>1431</f>
        <v>1431.0</v>
      </c>
      <c r="P291" s="34" t="s">
        <v>50</v>
      </c>
      <c r="Q291" s="33" t="n">
        <f>1486</f>
        <v>1486.0</v>
      </c>
      <c r="R291" s="34" t="s">
        <v>51</v>
      </c>
      <c r="S291" s="35" t="n">
        <f>1500.65</f>
        <v>1500.65</v>
      </c>
      <c r="T291" s="32" t="n">
        <f>96529</f>
        <v>96529.0</v>
      </c>
      <c r="U291" s="32" t="str">
        <f>"－"</f>
        <v>－</v>
      </c>
      <c r="V291" s="32" t="n">
        <f>144014792</f>
        <v>1.44014792E8</v>
      </c>
      <c r="W291" s="32" t="str">
        <f>"－"</f>
        <v>－</v>
      </c>
      <c r="X291" s="36" t="n">
        <f>20</f>
        <v>20.0</v>
      </c>
    </row>
    <row r="292">
      <c r="A292" s="27" t="s">
        <v>42</v>
      </c>
      <c r="B292" s="27" t="s">
        <v>922</v>
      </c>
      <c r="C292" s="27" t="s">
        <v>923</v>
      </c>
      <c r="D292" s="27" t="s">
        <v>924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1560</f>
        <v>1560.0</v>
      </c>
      <c r="L292" s="34" t="s">
        <v>48</v>
      </c>
      <c r="M292" s="33" t="n">
        <f>1574</f>
        <v>1574.0</v>
      </c>
      <c r="N292" s="34" t="s">
        <v>72</v>
      </c>
      <c r="O292" s="33" t="n">
        <f>1469</f>
        <v>1469.0</v>
      </c>
      <c r="P292" s="34" t="s">
        <v>50</v>
      </c>
      <c r="Q292" s="33" t="n">
        <f>1507</f>
        <v>1507.0</v>
      </c>
      <c r="R292" s="34" t="s">
        <v>51</v>
      </c>
      <c r="S292" s="35" t="n">
        <f>1526.45</f>
        <v>1526.45</v>
      </c>
      <c r="T292" s="32" t="n">
        <f>129524</f>
        <v>129524.0</v>
      </c>
      <c r="U292" s="32" t="str">
        <f>"－"</f>
        <v>－</v>
      </c>
      <c r="V292" s="32" t="n">
        <f>198436439</f>
        <v>1.98436439E8</v>
      </c>
      <c r="W292" s="32" t="str">
        <f>"－"</f>
        <v>－</v>
      </c>
      <c r="X292" s="36" t="n">
        <f>20</f>
        <v>20.0</v>
      </c>
    </row>
    <row r="293">
      <c r="A293" s="27" t="s">
        <v>42</v>
      </c>
      <c r="B293" s="27" t="s">
        <v>925</v>
      </c>
      <c r="C293" s="27" t="s">
        <v>926</v>
      </c>
      <c r="D293" s="27" t="s">
        <v>927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2949</f>
        <v>2949.0</v>
      </c>
      <c r="L293" s="34" t="s">
        <v>48</v>
      </c>
      <c r="M293" s="33" t="n">
        <f>3045</f>
        <v>3045.0</v>
      </c>
      <c r="N293" s="34" t="s">
        <v>114</v>
      </c>
      <c r="O293" s="33" t="n">
        <f>2935</f>
        <v>2935.0</v>
      </c>
      <c r="P293" s="34" t="s">
        <v>50</v>
      </c>
      <c r="Q293" s="33" t="n">
        <f>3000</f>
        <v>3000.0</v>
      </c>
      <c r="R293" s="34" t="s">
        <v>51</v>
      </c>
      <c r="S293" s="35" t="n">
        <f>2989.65</f>
        <v>2989.65</v>
      </c>
      <c r="T293" s="32" t="n">
        <f>12828</f>
        <v>12828.0</v>
      </c>
      <c r="U293" s="32" t="str">
        <f>"－"</f>
        <v>－</v>
      </c>
      <c r="V293" s="32" t="n">
        <f>38268621</f>
        <v>3.8268621E7</v>
      </c>
      <c r="W293" s="32" t="str">
        <f>"－"</f>
        <v>－</v>
      </c>
      <c r="X293" s="36" t="n">
        <f>20</f>
        <v>20.0</v>
      </c>
    </row>
    <row r="294">
      <c r="A294" s="27" t="s">
        <v>42</v>
      </c>
      <c r="B294" s="27" t="s">
        <v>928</v>
      </c>
      <c r="C294" s="27" t="s">
        <v>929</v>
      </c>
      <c r="D294" s="27" t="s">
        <v>930</v>
      </c>
      <c r="E294" s="28" t="s">
        <v>931</v>
      </c>
      <c r="F294" s="29" t="s">
        <v>932</v>
      </c>
      <c r="G294" s="30" t="s">
        <v>933</v>
      </c>
      <c r="H294" s="31"/>
      <c r="I294" s="31" t="s">
        <v>47</v>
      </c>
      <c r="J294" s="32" t="n">
        <v>10.0</v>
      </c>
      <c r="K294" s="33" t="n">
        <f>2011</f>
        <v>2011.0</v>
      </c>
      <c r="L294" s="34" t="s">
        <v>86</v>
      </c>
      <c r="M294" s="33" t="n">
        <f>2011</f>
        <v>2011.0</v>
      </c>
      <c r="N294" s="34" t="s">
        <v>86</v>
      </c>
      <c r="O294" s="33" t="n">
        <f>1908</f>
        <v>1908.0</v>
      </c>
      <c r="P294" s="34" t="s">
        <v>50</v>
      </c>
      <c r="Q294" s="33" t="n">
        <f>1909</f>
        <v>1909.0</v>
      </c>
      <c r="R294" s="34" t="s">
        <v>50</v>
      </c>
      <c r="S294" s="35" t="n">
        <f>1958.27</f>
        <v>1958.27</v>
      </c>
      <c r="T294" s="32" t="n">
        <f>38800</f>
        <v>38800.0</v>
      </c>
      <c r="U294" s="32" t="n">
        <f>10000</f>
        <v>10000.0</v>
      </c>
      <c r="V294" s="32" t="n">
        <f>76395545</f>
        <v>7.6395545E7</v>
      </c>
      <c r="W294" s="32" t="n">
        <f>19821800</f>
        <v>1.98218E7</v>
      </c>
      <c r="X294" s="36" t="n">
        <f>13</f>
        <v>13.0</v>
      </c>
    </row>
    <row r="295">
      <c r="A295" s="27" t="s">
        <v>42</v>
      </c>
      <c r="B295" s="27" t="s">
        <v>934</v>
      </c>
      <c r="C295" s="27" t="s">
        <v>935</v>
      </c>
      <c r="D295" s="27" t="s">
        <v>936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136000</f>
        <v>136000.0</v>
      </c>
      <c r="L295" s="34" t="s">
        <v>48</v>
      </c>
      <c r="M295" s="33" t="n">
        <f>137800</f>
        <v>137800.0</v>
      </c>
      <c r="N295" s="34" t="s">
        <v>72</v>
      </c>
      <c r="O295" s="33" t="n">
        <f>131800</f>
        <v>131800.0</v>
      </c>
      <c r="P295" s="34" t="s">
        <v>91</v>
      </c>
      <c r="Q295" s="33" t="n">
        <f>133900</f>
        <v>133900.0</v>
      </c>
      <c r="R295" s="34" t="s">
        <v>51</v>
      </c>
      <c r="S295" s="35" t="n">
        <f>134300</f>
        <v>134300.0</v>
      </c>
      <c r="T295" s="32" t="n">
        <f>16490</f>
        <v>16490.0</v>
      </c>
      <c r="U295" s="32" t="n">
        <f>2261</f>
        <v>2261.0</v>
      </c>
      <c r="V295" s="32" t="n">
        <f>2212601225</f>
        <v>2.212601225E9</v>
      </c>
      <c r="W295" s="32" t="n">
        <f>303225025</f>
        <v>3.03225025E8</v>
      </c>
      <c r="X295" s="36" t="n">
        <f>20</f>
        <v>20.0</v>
      </c>
    </row>
    <row r="296">
      <c r="A296" s="27" t="s">
        <v>42</v>
      </c>
      <c r="B296" s="27" t="s">
        <v>937</v>
      </c>
      <c r="C296" s="27" t="s">
        <v>938</v>
      </c>
      <c r="D296" s="27" t="s">
        <v>939</v>
      </c>
      <c r="E296" s="28" t="s">
        <v>46</v>
      </c>
      <c r="F296" s="29" t="s">
        <v>46</v>
      </c>
      <c r="G296" s="30" t="s">
        <v>46</v>
      </c>
      <c r="H296" s="31"/>
      <c r="I296" s="31" t="s">
        <v>600</v>
      </c>
      <c r="J296" s="32" t="n">
        <v>1.0</v>
      </c>
      <c r="K296" s="33" t="n">
        <f>109700</f>
        <v>109700.0</v>
      </c>
      <c r="L296" s="34" t="s">
        <v>48</v>
      </c>
      <c r="M296" s="33" t="n">
        <f>111200</f>
        <v>111200.0</v>
      </c>
      <c r="N296" s="34" t="s">
        <v>72</v>
      </c>
      <c r="O296" s="33" t="n">
        <f>98600</f>
        <v>98600.0</v>
      </c>
      <c r="P296" s="34" t="s">
        <v>50</v>
      </c>
      <c r="Q296" s="33" t="n">
        <f>98900</f>
        <v>98900.0</v>
      </c>
      <c r="R296" s="34" t="s">
        <v>51</v>
      </c>
      <c r="S296" s="35" t="n">
        <f>102825</f>
        <v>102825.0</v>
      </c>
      <c r="T296" s="32" t="n">
        <f>120860</f>
        <v>120860.0</v>
      </c>
      <c r="U296" s="32" t="n">
        <f>29179</f>
        <v>29179.0</v>
      </c>
      <c r="V296" s="32" t="n">
        <f>12420829052</f>
        <v>1.2420829052E10</v>
      </c>
      <c r="W296" s="32" t="n">
        <f>2988371052</f>
        <v>2.988371052E9</v>
      </c>
      <c r="X296" s="36" t="n">
        <f>20</f>
        <v>20.0</v>
      </c>
    </row>
    <row r="297">
      <c r="A297" s="27" t="s">
        <v>42</v>
      </c>
      <c r="B297" s="27" t="s">
        <v>940</v>
      </c>
      <c r="C297" s="27" t="s">
        <v>941</v>
      </c>
      <c r="D297" s="27" t="s">
        <v>942</v>
      </c>
      <c r="E297" s="28" t="s">
        <v>46</v>
      </c>
      <c r="F297" s="29" t="s">
        <v>46</v>
      </c>
      <c r="G297" s="30" t="s">
        <v>46</v>
      </c>
      <c r="H297" s="31"/>
      <c r="I297" s="31" t="s">
        <v>600</v>
      </c>
      <c r="J297" s="32" t="n">
        <v>1.0</v>
      </c>
      <c r="K297" s="33" t="n">
        <f>159800</f>
        <v>159800.0</v>
      </c>
      <c r="L297" s="34" t="s">
        <v>48</v>
      </c>
      <c r="M297" s="33" t="n">
        <f>164700</f>
        <v>164700.0</v>
      </c>
      <c r="N297" s="34" t="s">
        <v>72</v>
      </c>
      <c r="O297" s="33" t="n">
        <f>151100</f>
        <v>151100.0</v>
      </c>
      <c r="P297" s="34" t="s">
        <v>114</v>
      </c>
      <c r="Q297" s="33" t="n">
        <f>158000</f>
        <v>158000.0</v>
      </c>
      <c r="R297" s="34" t="s">
        <v>51</v>
      </c>
      <c r="S297" s="35" t="n">
        <f>156540</f>
        <v>156540.0</v>
      </c>
      <c r="T297" s="32" t="n">
        <f>43131</f>
        <v>43131.0</v>
      </c>
      <c r="U297" s="32" t="n">
        <f>8666</f>
        <v>8666.0</v>
      </c>
      <c r="V297" s="32" t="n">
        <f>6776517223</f>
        <v>6.776517223E9</v>
      </c>
      <c r="W297" s="32" t="n">
        <f>1362607923</f>
        <v>1.362607923E9</v>
      </c>
      <c r="X297" s="36" t="n">
        <f>20</f>
        <v>20.0</v>
      </c>
    </row>
    <row r="298">
      <c r="A298" s="27" t="s">
        <v>42</v>
      </c>
      <c r="B298" s="27" t="s">
        <v>943</v>
      </c>
      <c r="C298" s="27" t="s">
        <v>944</v>
      </c>
      <c r="D298" s="27" t="s">
        <v>945</v>
      </c>
      <c r="E298" s="28" t="s">
        <v>46</v>
      </c>
      <c r="F298" s="29" t="s">
        <v>46</v>
      </c>
      <c r="G298" s="30" t="s">
        <v>46</v>
      </c>
      <c r="H298" s="31"/>
      <c r="I298" s="31" t="s">
        <v>600</v>
      </c>
      <c r="J298" s="32" t="n">
        <v>1.0</v>
      </c>
      <c r="K298" s="33" t="n">
        <f>115400</f>
        <v>115400.0</v>
      </c>
      <c r="L298" s="34" t="s">
        <v>48</v>
      </c>
      <c r="M298" s="33" t="n">
        <f>118800</f>
        <v>118800.0</v>
      </c>
      <c r="N298" s="34" t="s">
        <v>226</v>
      </c>
      <c r="O298" s="33" t="n">
        <f>113400</f>
        <v>113400.0</v>
      </c>
      <c r="P298" s="34" t="s">
        <v>114</v>
      </c>
      <c r="Q298" s="33" t="n">
        <f>114700</f>
        <v>114700.0</v>
      </c>
      <c r="R298" s="34" t="s">
        <v>51</v>
      </c>
      <c r="S298" s="35" t="n">
        <f>115990</f>
        <v>115990.0</v>
      </c>
      <c r="T298" s="32" t="n">
        <f>16068</f>
        <v>16068.0</v>
      </c>
      <c r="U298" s="32" t="n">
        <f>1215</f>
        <v>1215.0</v>
      </c>
      <c r="V298" s="32" t="n">
        <f>1863164937</f>
        <v>1.863164937E9</v>
      </c>
      <c r="W298" s="32" t="n">
        <f>140845937</f>
        <v>1.40845937E8</v>
      </c>
      <c r="X298" s="36" t="n">
        <f>20</f>
        <v>20.0</v>
      </c>
    </row>
    <row r="299">
      <c r="A299" s="27" t="s">
        <v>42</v>
      </c>
      <c r="B299" s="27" t="s">
        <v>946</v>
      </c>
      <c r="C299" s="27" t="s">
        <v>947</v>
      </c>
      <c r="D299" s="27" t="s">
        <v>948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639000</f>
        <v>639000.0</v>
      </c>
      <c r="L299" s="34" t="s">
        <v>48</v>
      </c>
      <c r="M299" s="33" t="n">
        <f>654000</f>
        <v>654000.0</v>
      </c>
      <c r="N299" s="34" t="s">
        <v>62</v>
      </c>
      <c r="O299" s="33" t="n">
        <f>624000</f>
        <v>624000.0</v>
      </c>
      <c r="P299" s="34" t="s">
        <v>114</v>
      </c>
      <c r="Q299" s="33" t="n">
        <f>639000</f>
        <v>639000.0</v>
      </c>
      <c r="R299" s="34" t="s">
        <v>51</v>
      </c>
      <c r="S299" s="35" t="n">
        <f>638900</f>
        <v>638900.0</v>
      </c>
      <c r="T299" s="32" t="n">
        <f>26230</f>
        <v>26230.0</v>
      </c>
      <c r="U299" s="32" t="n">
        <f>4433</f>
        <v>4433.0</v>
      </c>
      <c r="V299" s="32" t="n">
        <f>16773589840</f>
        <v>1.677358984E10</v>
      </c>
      <c r="W299" s="32" t="n">
        <f>2840838840</f>
        <v>2.84083884E9</v>
      </c>
      <c r="X299" s="36" t="n">
        <f>20</f>
        <v>20.0</v>
      </c>
    </row>
    <row r="300">
      <c r="A300" s="27" t="s">
        <v>42</v>
      </c>
      <c r="B300" s="27" t="s">
        <v>949</v>
      </c>
      <c r="C300" s="27" t="s">
        <v>950</v>
      </c>
      <c r="D300" s="27" t="s">
        <v>951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149800</f>
        <v>149800.0</v>
      </c>
      <c r="L300" s="34" t="s">
        <v>48</v>
      </c>
      <c r="M300" s="33" t="n">
        <f>153000</f>
        <v>153000.0</v>
      </c>
      <c r="N300" s="34" t="s">
        <v>72</v>
      </c>
      <c r="O300" s="33" t="n">
        <f>146400</f>
        <v>146400.0</v>
      </c>
      <c r="P300" s="34" t="s">
        <v>86</v>
      </c>
      <c r="Q300" s="33" t="n">
        <f>147700</f>
        <v>147700.0</v>
      </c>
      <c r="R300" s="34" t="s">
        <v>51</v>
      </c>
      <c r="S300" s="35" t="n">
        <f>148940</f>
        <v>148940.0</v>
      </c>
      <c r="T300" s="32" t="n">
        <f>109468</f>
        <v>109468.0</v>
      </c>
      <c r="U300" s="32" t="n">
        <f>26422</f>
        <v>26422.0</v>
      </c>
      <c r="V300" s="32" t="n">
        <f>16300767490</f>
        <v>1.630076749E10</v>
      </c>
      <c r="W300" s="32" t="n">
        <f>3934995590</f>
        <v>3.93499559E9</v>
      </c>
      <c r="X300" s="36" t="n">
        <f>20</f>
        <v>20.0</v>
      </c>
    </row>
    <row r="301">
      <c r="A301" s="27" t="s">
        <v>42</v>
      </c>
      <c r="B301" s="27" t="s">
        <v>952</v>
      </c>
      <c r="C301" s="27" t="s">
        <v>953</v>
      </c>
      <c r="D301" s="27" t="s">
        <v>954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186000</f>
        <v>186000.0</v>
      </c>
      <c r="L301" s="34" t="s">
        <v>48</v>
      </c>
      <c r="M301" s="33" t="n">
        <f>193000</f>
        <v>193000.0</v>
      </c>
      <c r="N301" s="34" t="s">
        <v>72</v>
      </c>
      <c r="O301" s="33" t="n">
        <f>179600</f>
        <v>179600.0</v>
      </c>
      <c r="P301" s="34" t="s">
        <v>114</v>
      </c>
      <c r="Q301" s="33" t="n">
        <f>186700</f>
        <v>186700.0</v>
      </c>
      <c r="R301" s="34" t="s">
        <v>51</v>
      </c>
      <c r="S301" s="35" t="n">
        <f>186775</f>
        <v>186775.0</v>
      </c>
      <c r="T301" s="32" t="n">
        <f>152765</f>
        <v>152765.0</v>
      </c>
      <c r="U301" s="32" t="n">
        <f>33176</f>
        <v>33176.0</v>
      </c>
      <c r="V301" s="32" t="n">
        <f>28544446874</f>
        <v>2.8544446874E10</v>
      </c>
      <c r="W301" s="32" t="n">
        <f>6204787274</f>
        <v>6.204787274E9</v>
      </c>
      <c r="X301" s="36" t="n">
        <f>20</f>
        <v>20.0</v>
      </c>
    </row>
    <row r="302">
      <c r="A302" s="27" t="s">
        <v>42</v>
      </c>
      <c r="B302" s="27" t="s">
        <v>955</v>
      </c>
      <c r="C302" s="27" t="s">
        <v>956</v>
      </c>
      <c r="D302" s="27" t="s">
        <v>957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342500</f>
        <v>342500.0</v>
      </c>
      <c r="L302" s="34" t="s">
        <v>48</v>
      </c>
      <c r="M302" s="33" t="n">
        <f>364000</f>
        <v>364000.0</v>
      </c>
      <c r="N302" s="34" t="s">
        <v>51</v>
      </c>
      <c r="O302" s="33" t="n">
        <f>336500</f>
        <v>336500.0</v>
      </c>
      <c r="P302" s="34" t="s">
        <v>48</v>
      </c>
      <c r="Q302" s="33" t="n">
        <f>356500</f>
        <v>356500.0</v>
      </c>
      <c r="R302" s="34" t="s">
        <v>51</v>
      </c>
      <c r="S302" s="35" t="n">
        <f>352850</f>
        <v>352850.0</v>
      </c>
      <c r="T302" s="32" t="n">
        <f>93571</f>
        <v>93571.0</v>
      </c>
      <c r="U302" s="32" t="n">
        <f>26714</f>
        <v>26714.0</v>
      </c>
      <c r="V302" s="32" t="n">
        <f>33037353513</f>
        <v>3.3037353513E10</v>
      </c>
      <c r="W302" s="32" t="n">
        <f>9454324513</f>
        <v>9.454324513E9</v>
      </c>
      <c r="X302" s="36" t="n">
        <f>20</f>
        <v>20.0</v>
      </c>
    </row>
    <row r="303">
      <c r="A303" s="27" t="s">
        <v>42</v>
      </c>
      <c r="B303" s="27" t="s">
        <v>958</v>
      </c>
      <c r="C303" s="27" t="s">
        <v>959</v>
      </c>
      <c r="D303" s="27" t="s">
        <v>960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212300</f>
        <v>212300.0</v>
      </c>
      <c r="L303" s="34" t="s">
        <v>48</v>
      </c>
      <c r="M303" s="33" t="n">
        <f>216500</f>
        <v>216500.0</v>
      </c>
      <c r="N303" s="34" t="s">
        <v>72</v>
      </c>
      <c r="O303" s="33" t="n">
        <f>206300</f>
        <v>206300.0</v>
      </c>
      <c r="P303" s="34" t="s">
        <v>114</v>
      </c>
      <c r="Q303" s="33" t="n">
        <f>209600</f>
        <v>209600.0</v>
      </c>
      <c r="R303" s="34" t="s">
        <v>51</v>
      </c>
      <c r="S303" s="35" t="n">
        <f>210705</f>
        <v>210705.0</v>
      </c>
      <c r="T303" s="32" t="n">
        <f>61082</f>
        <v>61082.0</v>
      </c>
      <c r="U303" s="32" t="n">
        <f>13638</f>
        <v>13638.0</v>
      </c>
      <c r="V303" s="32" t="n">
        <f>12874611209</f>
        <v>1.2874611209E10</v>
      </c>
      <c r="W303" s="32" t="n">
        <f>2875219609</f>
        <v>2.875219609E9</v>
      </c>
      <c r="X303" s="36" t="n">
        <f>20</f>
        <v>20.0</v>
      </c>
    </row>
    <row r="304">
      <c r="A304" s="27" t="s">
        <v>42</v>
      </c>
      <c r="B304" s="27" t="s">
        <v>961</v>
      </c>
      <c r="C304" s="27" t="s">
        <v>962</v>
      </c>
      <c r="D304" s="27" t="s">
        <v>963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424000</f>
        <v>424000.0</v>
      </c>
      <c r="L304" s="34" t="s">
        <v>48</v>
      </c>
      <c r="M304" s="33" t="n">
        <f>433500</f>
        <v>433500.0</v>
      </c>
      <c r="N304" s="34" t="s">
        <v>72</v>
      </c>
      <c r="O304" s="33" t="n">
        <f>408500</f>
        <v>408500.0</v>
      </c>
      <c r="P304" s="34" t="s">
        <v>168</v>
      </c>
      <c r="Q304" s="33" t="n">
        <f>414000</f>
        <v>414000.0</v>
      </c>
      <c r="R304" s="34" t="s">
        <v>51</v>
      </c>
      <c r="S304" s="35" t="n">
        <f>419300</f>
        <v>419300.0</v>
      </c>
      <c r="T304" s="32" t="n">
        <f>52488</f>
        <v>52488.0</v>
      </c>
      <c r="U304" s="32" t="n">
        <f>9332</f>
        <v>9332.0</v>
      </c>
      <c r="V304" s="32" t="n">
        <f>22014210914</f>
        <v>2.2014210914E10</v>
      </c>
      <c r="W304" s="32" t="n">
        <f>3918420914</f>
        <v>3.918420914E9</v>
      </c>
      <c r="X304" s="36" t="n">
        <f>20</f>
        <v>20.0</v>
      </c>
    </row>
    <row r="305">
      <c r="A305" s="27" t="s">
        <v>42</v>
      </c>
      <c r="B305" s="27" t="s">
        <v>964</v>
      </c>
      <c r="C305" s="27" t="s">
        <v>965</v>
      </c>
      <c r="D305" s="27" t="s">
        <v>966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184600</f>
        <v>184600.0</v>
      </c>
      <c r="L305" s="34" t="s">
        <v>48</v>
      </c>
      <c r="M305" s="33" t="n">
        <f>192100</f>
        <v>192100.0</v>
      </c>
      <c r="N305" s="34" t="s">
        <v>72</v>
      </c>
      <c r="O305" s="33" t="n">
        <f>171700</f>
        <v>171700.0</v>
      </c>
      <c r="P305" s="34" t="s">
        <v>264</v>
      </c>
      <c r="Q305" s="33" t="n">
        <f>175800</f>
        <v>175800.0</v>
      </c>
      <c r="R305" s="34" t="s">
        <v>51</v>
      </c>
      <c r="S305" s="35" t="n">
        <f>180520</f>
        <v>180520.0</v>
      </c>
      <c r="T305" s="32" t="n">
        <f>301638</f>
        <v>301638.0</v>
      </c>
      <c r="U305" s="32" t="n">
        <f>65581</f>
        <v>65581.0</v>
      </c>
      <c r="V305" s="32" t="n">
        <f>54338163511</f>
        <v>5.4338163511E10</v>
      </c>
      <c r="W305" s="32" t="n">
        <f>11855035011</f>
        <v>1.1855035011E10</v>
      </c>
      <c r="X305" s="36" t="n">
        <f>20</f>
        <v>20.0</v>
      </c>
    </row>
    <row r="306">
      <c r="A306" s="27" t="s">
        <v>42</v>
      </c>
      <c r="B306" s="27" t="s">
        <v>967</v>
      </c>
      <c r="C306" s="27" t="s">
        <v>968</v>
      </c>
      <c r="D306" s="27" t="s">
        <v>969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325500</f>
        <v>325500.0</v>
      </c>
      <c r="L306" s="34" t="s">
        <v>48</v>
      </c>
      <c r="M306" s="33" t="n">
        <f>335000</f>
        <v>335000.0</v>
      </c>
      <c r="N306" s="34" t="s">
        <v>72</v>
      </c>
      <c r="O306" s="33" t="n">
        <f>316500</f>
        <v>316500.0</v>
      </c>
      <c r="P306" s="34" t="s">
        <v>114</v>
      </c>
      <c r="Q306" s="33" t="n">
        <f>324000</f>
        <v>324000.0</v>
      </c>
      <c r="R306" s="34" t="s">
        <v>51</v>
      </c>
      <c r="S306" s="35" t="n">
        <f>325925</f>
        <v>325925.0</v>
      </c>
      <c r="T306" s="32" t="n">
        <f>43484</f>
        <v>43484.0</v>
      </c>
      <c r="U306" s="32" t="n">
        <f>9048</f>
        <v>9048.0</v>
      </c>
      <c r="V306" s="32" t="n">
        <f>14169184003</f>
        <v>1.4169184003E10</v>
      </c>
      <c r="W306" s="32" t="n">
        <f>2949081503</f>
        <v>2.949081503E9</v>
      </c>
      <c r="X306" s="36" t="n">
        <f>20</f>
        <v>20.0</v>
      </c>
    </row>
    <row r="307">
      <c r="A307" s="27" t="s">
        <v>42</v>
      </c>
      <c r="B307" s="27" t="s">
        <v>970</v>
      </c>
      <c r="C307" s="27" t="s">
        <v>971</v>
      </c>
      <c r="D307" s="27" t="s">
        <v>972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357000</f>
        <v>357000.0</v>
      </c>
      <c r="L307" s="34" t="s">
        <v>48</v>
      </c>
      <c r="M307" s="33" t="n">
        <f>375500</f>
        <v>375500.0</v>
      </c>
      <c r="N307" s="34" t="s">
        <v>61</v>
      </c>
      <c r="O307" s="33" t="n">
        <f>348500</f>
        <v>348500.0</v>
      </c>
      <c r="P307" s="34" t="s">
        <v>48</v>
      </c>
      <c r="Q307" s="33" t="n">
        <f>360500</f>
        <v>360500.0</v>
      </c>
      <c r="R307" s="34" t="s">
        <v>51</v>
      </c>
      <c r="S307" s="35" t="n">
        <f>362750</f>
        <v>362750.0</v>
      </c>
      <c r="T307" s="32" t="n">
        <f>141810</f>
        <v>141810.0</v>
      </c>
      <c r="U307" s="32" t="n">
        <f>29122</f>
        <v>29122.0</v>
      </c>
      <c r="V307" s="32" t="n">
        <f>51411950365</f>
        <v>5.1411950365E10</v>
      </c>
      <c r="W307" s="32" t="n">
        <f>10565412865</f>
        <v>1.0565412865E10</v>
      </c>
      <c r="X307" s="36" t="n">
        <f>20</f>
        <v>20.0</v>
      </c>
    </row>
    <row r="308">
      <c r="A308" s="27" t="s">
        <v>42</v>
      </c>
      <c r="B308" s="27" t="s">
        <v>973</v>
      </c>
      <c r="C308" s="27" t="s">
        <v>974</v>
      </c>
      <c r="D308" s="27" t="s">
        <v>975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676000</f>
        <v>676000.0</v>
      </c>
      <c r="L308" s="34" t="s">
        <v>48</v>
      </c>
      <c r="M308" s="33" t="n">
        <f>695000</f>
        <v>695000.0</v>
      </c>
      <c r="N308" s="34" t="s">
        <v>72</v>
      </c>
      <c r="O308" s="33" t="n">
        <f>661000</f>
        <v>661000.0</v>
      </c>
      <c r="P308" s="34" t="s">
        <v>114</v>
      </c>
      <c r="Q308" s="33" t="n">
        <f>669000</f>
        <v>669000.0</v>
      </c>
      <c r="R308" s="34" t="s">
        <v>51</v>
      </c>
      <c r="S308" s="35" t="n">
        <f>674100</f>
        <v>674100.0</v>
      </c>
      <c r="T308" s="32" t="n">
        <f>18298</f>
        <v>18298.0</v>
      </c>
      <c r="U308" s="32" t="n">
        <f>2368</f>
        <v>2368.0</v>
      </c>
      <c r="V308" s="32" t="n">
        <f>12347167571</f>
        <v>1.2347167571E10</v>
      </c>
      <c r="W308" s="32" t="n">
        <f>1597077571</f>
        <v>1.597077571E9</v>
      </c>
      <c r="X308" s="36" t="n">
        <f>20</f>
        <v>20.0</v>
      </c>
    </row>
    <row r="309">
      <c r="A309" s="27" t="s">
        <v>42</v>
      </c>
      <c r="B309" s="27" t="s">
        <v>976</v>
      </c>
      <c r="C309" s="27" t="s">
        <v>977</v>
      </c>
      <c r="D309" s="27" t="s">
        <v>978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299600</f>
        <v>299600.0</v>
      </c>
      <c r="L309" s="34" t="s">
        <v>48</v>
      </c>
      <c r="M309" s="33" t="n">
        <f>302000</f>
        <v>302000.0</v>
      </c>
      <c r="N309" s="34" t="s">
        <v>72</v>
      </c>
      <c r="O309" s="33" t="n">
        <f>273800</f>
        <v>273800.0</v>
      </c>
      <c r="P309" s="34" t="s">
        <v>50</v>
      </c>
      <c r="Q309" s="33" t="n">
        <f>275300</f>
        <v>275300.0</v>
      </c>
      <c r="R309" s="34" t="s">
        <v>51</v>
      </c>
      <c r="S309" s="35" t="n">
        <f>286995</f>
        <v>286995.0</v>
      </c>
      <c r="T309" s="32" t="n">
        <f>26800</f>
        <v>26800.0</v>
      </c>
      <c r="U309" s="32" t="n">
        <f>3846</f>
        <v>3846.0</v>
      </c>
      <c r="V309" s="32" t="n">
        <f>7653546893</f>
        <v>7.653546893E9</v>
      </c>
      <c r="W309" s="32" t="n">
        <f>1093227993</f>
        <v>1.093227993E9</v>
      </c>
      <c r="X309" s="36" t="n">
        <f>20</f>
        <v>20.0</v>
      </c>
    </row>
    <row r="310">
      <c r="A310" s="27" t="s">
        <v>42</v>
      </c>
      <c r="B310" s="27" t="s">
        <v>979</v>
      </c>
      <c r="C310" s="27" t="s">
        <v>980</v>
      </c>
      <c r="D310" s="27" t="s">
        <v>981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149300</f>
        <v>149300.0</v>
      </c>
      <c r="L310" s="34" t="s">
        <v>48</v>
      </c>
      <c r="M310" s="33" t="n">
        <f>154000</f>
        <v>154000.0</v>
      </c>
      <c r="N310" s="34" t="s">
        <v>72</v>
      </c>
      <c r="O310" s="33" t="n">
        <f>147400</f>
        <v>147400.0</v>
      </c>
      <c r="P310" s="34" t="s">
        <v>114</v>
      </c>
      <c r="Q310" s="33" t="n">
        <f>149500</f>
        <v>149500.0</v>
      </c>
      <c r="R310" s="34" t="s">
        <v>51</v>
      </c>
      <c r="S310" s="35" t="n">
        <f>150005</f>
        <v>150005.0</v>
      </c>
      <c r="T310" s="32" t="n">
        <f>92592</f>
        <v>92592.0</v>
      </c>
      <c r="U310" s="32" t="n">
        <f>16950</f>
        <v>16950.0</v>
      </c>
      <c r="V310" s="32" t="n">
        <f>13894624121</f>
        <v>1.3894624121E10</v>
      </c>
      <c r="W310" s="32" t="n">
        <f>2545808321</f>
        <v>2.545808321E9</v>
      </c>
      <c r="X310" s="36" t="n">
        <f>20</f>
        <v>20.0</v>
      </c>
    </row>
    <row r="311">
      <c r="A311" s="27" t="s">
        <v>42</v>
      </c>
      <c r="B311" s="27" t="s">
        <v>982</v>
      </c>
      <c r="C311" s="27" t="s">
        <v>983</v>
      </c>
      <c r="D311" s="27" t="s">
        <v>984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166800</f>
        <v>166800.0</v>
      </c>
      <c r="L311" s="34" t="s">
        <v>48</v>
      </c>
      <c r="M311" s="33" t="n">
        <f>170800</f>
        <v>170800.0</v>
      </c>
      <c r="N311" s="34" t="s">
        <v>72</v>
      </c>
      <c r="O311" s="33" t="n">
        <f>159000</f>
        <v>159000.0</v>
      </c>
      <c r="P311" s="34" t="s">
        <v>168</v>
      </c>
      <c r="Q311" s="33" t="n">
        <f>161400</f>
        <v>161400.0</v>
      </c>
      <c r="R311" s="34" t="s">
        <v>51</v>
      </c>
      <c r="S311" s="35" t="n">
        <f>164785</f>
        <v>164785.0</v>
      </c>
      <c r="T311" s="32" t="n">
        <f>86330</f>
        <v>86330.0</v>
      </c>
      <c r="U311" s="32" t="n">
        <f>14071</f>
        <v>14071.0</v>
      </c>
      <c r="V311" s="32" t="n">
        <f>14189836127</f>
        <v>1.4189836127E10</v>
      </c>
      <c r="W311" s="32" t="n">
        <f>2312633727</f>
        <v>2.312633727E9</v>
      </c>
      <c r="X311" s="36" t="n">
        <f>20</f>
        <v>20.0</v>
      </c>
    </row>
    <row r="312">
      <c r="A312" s="27" t="s">
        <v>42</v>
      </c>
      <c r="B312" s="27" t="s">
        <v>985</v>
      </c>
      <c r="C312" s="27" t="s">
        <v>986</v>
      </c>
      <c r="D312" s="27" t="s">
        <v>987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380000</f>
        <v>380000.0</v>
      </c>
      <c r="L312" s="34" t="s">
        <v>48</v>
      </c>
      <c r="M312" s="33" t="n">
        <f>389000</f>
        <v>389000.0</v>
      </c>
      <c r="N312" s="34" t="s">
        <v>72</v>
      </c>
      <c r="O312" s="33" t="n">
        <f>368000</f>
        <v>368000.0</v>
      </c>
      <c r="P312" s="34" t="s">
        <v>114</v>
      </c>
      <c r="Q312" s="33" t="n">
        <f>372500</f>
        <v>372500.0</v>
      </c>
      <c r="R312" s="34" t="s">
        <v>51</v>
      </c>
      <c r="S312" s="35" t="n">
        <f>374425</f>
        <v>374425.0</v>
      </c>
      <c r="T312" s="32" t="n">
        <f>31956</f>
        <v>31956.0</v>
      </c>
      <c r="U312" s="32" t="n">
        <f>6756</f>
        <v>6756.0</v>
      </c>
      <c r="V312" s="32" t="n">
        <f>11971714524</f>
        <v>1.1971714524E10</v>
      </c>
      <c r="W312" s="32" t="n">
        <f>2530968524</f>
        <v>2.530968524E9</v>
      </c>
      <c r="X312" s="36" t="n">
        <f>20</f>
        <v>20.0</v>
      </c>
    </row>
    <row r="313">
      <c r="A313" s="27" t="s">
        <v>42</v>
      </c>
      <c r="B313" s="27" t="s">
        <v>988</v>
      </c>
      <c r="C313" s="27" t="s">
        <v>989</v>
      </c>
      <c r="D313" s="27" t="s">
        <v>990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80500</f>
        <v>80500.0</v>
      </c>
      <c r="L313" s="34" t="s">
        <v>48</v>
      </c>
      <c r="M313" s="33" t="n">
        <f>82800</f>
        <v>82800.0</v>
      </c>
      <c r="N313" s="34" t="s">
        <v>72</v>
      </c>
      <c r="O313" s="33" t="n">
        <f>75500</f>
        <v>75500.0</v>
      </c>
      <c r="P313" s="34" t="s">
        <v>50</v>
      </c>
      <c r="Q313" s="33" t="n">
        <f>76200</f>
        <v>76200.0</v>
      </c>
      <c r="R313" s="34" t="s">
        <v>51</v>
      </c>
      <c r="S313" s="35" t="n">
        <f>79580</f>
        <v>79580.0</v>
      </c>
      <c r="T313" s="32" t="n">
        <f>349705</f>
        <v>349705.0</v>
      </c>
      <c r="U313" s="32" t="n">
        <f>80512</f>
        <v>80512.0</v>
      </c>
      <c r="V313" s="32" t="n">
        <f>27712492962</f>
        <v>2.7712492962E10</v>
      </c>
      <c r="W313" s="32" t="n">
        <f>6385005962</f>
        <v>6.385005962E9</v>
      </c>
      <c r="X313" s="36" t="n">
        <f>20</f>
        <v>20.0</v>
      </c>
    </row>
    <row r="314">
      <c r="A314" s="27" t="s">
        <v>42</v>
      </c>
      <c r="B314" s="27" t="s">
        <v>991</v>
      </c>
      <c r="C314" s="27" t="s">
        <v>992</v>
      </c>
      <c r="D314" s="27" t="s">
        <v>993</v>
      </c>
      <c r="E314" s="28" t="s">
        <v>46</v>
      </c>
      <c r="F314" s="29" t="s">
        <v>46</v>
      </c>
      <c r="G314" s="30" t="s">
        <v>46</v>
      </c>
      <c r="H314" s="31"/>
      <c r="I314" s="31" t="s">
        <v>600</v>
      </c>
      <c r="J314" s="32" t="n">
        <v>1.0</v>
      </c>
      <c r="K314" s="33" t="n">
        <f>137200</f>
        <v>137200.0</v>
      </c>
      <c r="L314" s="34" t="s">
        <v>48</v>
      </c>
      <c r="M314" s="33" t="n">
        <f>139200</f>
        <v>139200.0</v>
      </c>
      <c r="N314" s="34" t="s">
        <v>72</v>
      </c>
      <c r="O314" s="33" t="n">
        <f>128600</f>
        <v>128600.0</v>
      </c>
      <c r="P314" s="34" t="s">
        <v>50</v>
      </c>
      <c r="Q314" s="33" t="n">
        <f>131900</f>
        <v>131900.0</v>
      </c>
      <c r="R314" s="34" t="s">
        <v>51</v>
      </c>
      <c r="S314" s="35" t="n">
        <f>135450</f>
        <v>135450.0</v>
      </c>
      <c r="T314" s="32" t="n">
        <f>32540</f>
        <v>32540.0</v>
      </c>
      <c r="U314" s="32" t="n">
        <f>3939</f>
        <v>3939.0</v>
      </c>
      <c r="V314" s="32" t="n">
        <f>4394652773</f>
        <v>4.394652773E9</v>
      </c>
      <c r="W314" s="32" t="n">
        <f>535248173</f>
        <v>5.35248173E8</v>
      </c>
      <c r="X314" s="36" t="n">
        <f>20</f>
        <v>20.0</v>
      </c>
    </row>
    <row r="315">
      <c r="A315" s="27" t="s">
        <v>42</v>
      </c>
      <c r="B315" s="27" t="s">
        <v>994</v>
      </c>
      <c r="C315" s="27" t="s">
        <v>995</v>
      </c>
      <c r="D315" s="27" t="s">
        <v>996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278600</f>
        <v>278600.0</v>
      </c>
      <c r="L315" s="34" t="s">
        <v>48</v>
      </c>
      <c r="M315" s="33" t="n">
        <f>285000</f>
        <v>285000.0</v>
      </c>
      <c r="N315" s="34" t="s">
        <v>72</v>
      </c>
      <c r="O315" s="33" t="n">
        <f>272200</f>
        <v>272200.0</v>
      </c>
      <c r="P315" s="34" t="s">
        <v>62</v>
      </c>
      <c r="Q315" s="33" t="n">
        <f>273900</f>
        <v>273900.0</v>
      </c>
      <c r="R315" s="34" t="s">
        <v>51</v>
      </c>
      <c r="S315" s="35" t="n">
        <f>277635</f>
        <v>277635.0</v>
      </c>
      <c r="T315" s="32" t="n">
        <f>55571</f>
        <v>55571.0</v>
      </c>
      <c r="U315" s="32" t="n">
        <f>8175</f>
        <v>8175.0</v>
      </c>
      <c r="V315" s="32" t="n">
        <f>15426370325</f>
        <v>1.5426370325E10</v>
      </c>
      <c r="W315" s="32" t="n">
        <f>2266148825</f>
        <v>2.266148825E9</v>
      </c>
      <c r="X315" s="36" t="n">
        <f>20</f>
        <v>20.0</v>
      </c>
    </row>
    <row r="316">
      <c r="A316" s="27" t="s">
        <v>42</v>
      </c>
      <c r="B316" s="27" t="s">
        <v>997</v>
      </c>
      <c r="C316" s="27" t="s">
        <v>998</v>
      </c>
      <c r="D316" s="27" t="s">
        <v>999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160400</f>
        <v>160400.0</v>
      </c>
      <c r="L316" s="34" t="s">
        <v>48</v>
      </c>
      <c r="M316" s="33" t="n">
        <f>163400</f>
        <v>163400.0</v>
      </c>
      <c r="N316" s="34" t="s">
        <v>49</v>
      </c>
      <c r="O316" s="33" t="n">
        <f>156000</f>
        <v>156000.0</v>
      </c>
      <c r="P316" s="34" t="s">
        <v>50</v>
      </c>
      <c r="Q316" s="33" t="n">
        <f>157800</f>
        <v>157800.0</v>
      </c>
      <c r="R316" s="34" t="s">
        <v>51</v>
      </c>
      <c r="S316" s="35" t="n">
        <f>160015</f>
        <v>160015.0</v>
      </c>
      <c r="T316" s="32" t="n">
        <f>22114</f>
        <v>22114.0</v>
      </c>
      <c r="U316" s="32" t="n">
        <f>5426</f>
        <v>5426.0</v>
      </c>
      <c r="V316" s="32" t="n">
        <f>3541222642</f>
        <v>3.541222642E9</v>
      </c>
      <c r="W316" s="32" t="n">
        <f>870868142</f>
        <v>8.70868142E8</v>
      </c>
      <c r="X316" s="36" t="n">
        <f>20</f>
        <v>20.0</v>
      </c>
    </row>
    <row r="317">
      <c r="A317" s="27" t="s">
        <v>42</v>
      </c>
      <c r="B317" s="27" t="s">
        <v>1000</v>
      </c>
      <c r="C317" s="27" t="s">
        <v>1001</v>
      </c>
      <c r="D317" s="27" t="s">
        <v>1002</v>
      </c>
      <c r="E317" s="28" t="s">
        <v>46</v>
      </c>
      <c r="F317" s="29" t="s">
        <v>46</v>
      </c>
      <c r="G317" s="30" t="s">
        <v>46</v>
      </c>
      <c r="H317" s="31"/>
      <c r="I317" s="31" t="s">
        <v>600</v>
      </c>
      <c r="J317" s="32" t="n">
        <v>1.0</v>
      </c>
      <c r="K317" s="33" t="n">
        <f>126000</f>
        <v>126000.0</v>
      </c>
      <c r="L317" s="34" t="s">
        <v>48</v>
      </c>
      <c r="M317" s="33" t="n">
        <f>132400</f>
        <v>132400.0</v>
      </c>
      <c r="N317" s="34" t="s">
        <v>51</v>
      </c>
      <c r="O317" s="33" t="n">
        <f>125100</f>
        <v>125100.0</v>
      </c>
      <c r="P317" s="34" t="s">
        <v>48</v>
      </c>
      <c r="Q317" s="33" t="n">
        <f>131500</f>
        <v>131500.0</v>
      </c>
      <c r="R317" s="34" t="s">
        <v>51</v>
      </c>
      <c r="S317" s="35" t="n">
        <f>128970</f>
        <v>128970.0</v>
      </c>
      <c r="T317" s="32" t="n">
        <f>23509</f>
        <v>23509.0</v>
      </c>
      <c r="U317" s="32" t="n">
        <f>3086</f>
        <v>3086.0</v>
      </c>
      <c r="V317" s="32" t="n">
        <f>3037334603</f>
        <v>3.037334603E9</v>
      </c>
      <c r="W317" s="32" t="n">
        <f>399722903</f>
        <v>3.99722903E8</v>
      </c>
      <c r="X317" s="36" t="n">
        <f>20</f>
        <v>20.0</v>
      </c>
    </row>
    <row r="318">
      <c r="A318" s="27" t="s">
        <v>42</v>
      </c>
      <c r="B318" s="27" t="s">
        <v>1003</v>
      </c>
      <c r="C318" s="27" t="s">
        <v>1004</v>
      </c>
      <c r="D318" s="27" t="s">
        <v>1005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161300</f>
        <v>161300.0</v>
      </c>
      <c r="L318" s="34" t="s">
        <v>48</v>
      </c>
      <c r="M318" s="33" t="n">
        <f>167900</f>
        <v>167900.0</v>
      </c>
      <c r="N318" s="34" t="s">
        <v>50</v>
      </c>
      <c r="O318" s="33" t="n">
        <f>156500</f>
        <v>156500.0</v>
      </c>
      <c r="P318" s="34" t="s">
        <v>86</v>
      </c>
      <c r="Q318" s="33" t="n">
        <f>163000</f>
        <v>163000.0</v>
      </c>
      <c r="R318" s="34" t="s">
        <v>51</v>
      </c>
      <c r="S318" s="35" t="n">
        <f>163240</f>
        <v>163240.0</v>
      </c>
      <c r="T318" s="32" t="n">
        <f>262563</f>
        <v>262563.0</v>
      </c>
      <c r="U318" s="32" t="n">
        <f>52235</f>
        <v>52235.0</v>
      </c>
      <c r="V318" s="32" t="n">
        <f>42817082668</f>
        <v>4.2817082668E10</v>
      </c>
      <c r="W318" s="32" t="n">
        <f>8504008668</f>
        <v>8.504008668E9</v>
      </c>
      <c r="X318" s="36" t="n">
        <f>20</f>
        <v>20.0</v>
      </c>
    </row>
    <row r="319">
      <c r="A319" s="27" t="s">
        <v>42</v>
      </c>
      <c r="B319" s="27" t="s">
        <v>1006</v>
      </c>
      <c r="C319" s="27" t="s">
        <v>1007</v>
      </c>
      <c r="D319" s="27" t="s">
        <v>1008</v>
      </c>
      <c r="E319" s="28" t="s">
        <v>46</v>
      </c>
      <c r="F319" s="29" t="s">
        <v>46</v>
      </c>
      <c r="G319" s="30" t="s">
        <v>46</v>
      </c>
      <c r="H319" s="31"/>
      <c r="I319" s="31" t="s">
        <v>600</v>
      </c>
      <c r="J319" s="32" t="n">
        <v>1.0</v>
      </c>
      <c r="K319" s="33" t="n">
        <f>85800</f>
        <v>85800.0</v>
      </c>
      <c r="L319" s="34" t="s">
        <v>48</v>
      </c>
      <c r="M319" s="33" t="n">
        <f>91900</f>
        <v>91900.0</v>
      </c>
      <c r="N319" s="34" t="s">
        <v>62</v>
      </c>
      <c r="O319" s="33" t="n">
        <f>83500</f>
        <v>83500.0</v>
      </c>
      <c r="P319" s="34" t="s">
        <v>427</v>
      </c>
      <c r="Q319" s="33" t="n">
        <f>90400</f>
        <v>90400.0</v>
      </c>
      <c r="R319" s="34" t="s">
        <v>51</v>
      </c>
      <c r="S319" s="35" t="n">
        <f>87815</f>
        <v>87815.0</v>
      </c>
      <c r="T319" s="32" t="n">
        <f>26062</f>
        <v>26062.0</v>
      </c>
      <c r="U319" s="32" t="n">
        <f>1854</f>
        <v>1854.0</v>
      </c>
      <c r="V319" s="32" t="n">
        <f>2289522076</f>
        <v>2.289522076E9</v>
      </c>
      <c r="W319" s="32" t="n">
        <f>163155376</f>
        <v>1.63155376E8</v>
      </c>
      <c r="X319" s="36" t="n">
        <f>20</f>
        <v>20.0</v>
      </c>
    </row>
    <row r="320">
      <c r="A320" s="27" t="s">
        <v>42</v>
      </c>
      <c r="B320" s="27" t="s">
        <v>1009</v>
      </c>
      <c r="C320" s="27" t="s">
        <v>1010</v>
      </c>
      <c r="D320" s="27" t="s">
        <v>1011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175600</f>
        <v>175600.0</v>
      </c>
      <c r="L320" s="34" t="s">
        <v>48</v>
      </c>
      <c r="M320" s="33" t="n">
        <f>181600</f>
        <v>181600.0</v>
      </c>
      <c r="N320" s="34" t="s">
        <v>72</v>
      </c>
      <c r="O320" s="33" t="n">
        <f>172500</f>
        <v>172500.0</v>
      </c>
      <c r="P320" s="34" t="s">
        <v>48</v>
      </c>
      <c r="Q320" s="33" t="n">
        <f>175800</f>
        <v>175800.0</v>
      </c>
      <c r="R320" s="34" t="s">
        <v>51</v>
      </c>
      <c r="S320" s="35" t="n">
        <f>177795</f>
        <v>177795.0</v>
      </c>
      <c r="T320" s="32" t="n">
        <f>133450</f>
        <v>133450.0</v>
      </c>
      <c r="U320" s="32" t="n">
        <f>28927</f>
        <v>28927.0</v>
      </c>
      <c r="V320" s="32" t="n">
        <f>23696670130</f>
        <v>2.369667013E10</v>
      </c>
      <c r="W320" s="32" t="n">
        <f>5139433830</f>
        <v>5.13943383E9</v>
      </c>
      <c r="X320" s="36" t="n">
        <f>20</f>
        <v>20.0</v>
      </c>
    </row>
    <row r="321">
      <c r="A321" s="27" t="s">
        <v>42</v>
      </c>
      <c r="B321" s="27" t="s">
        <v>1012</v>
      </c>
      <c r="C321" s="27" t="s">
        <v>1013</v>
      </c>
      <c r="D321" s="27" t="s">
        <v>1014</v>
      </c>
      <c r="E321" s="28" t="s">
        <v>46</v>
      </c>
      <c r="F321" s="29" t="s">
        <v>46</v>
      </c>
      <c r="G321" s="30" t="s">
        <v>46</v>
      </c>
      <c r="H321" s="31"/>
      <c r="I321" s="31" t="s">
        <v>600</v>
      </c>
      <c r="J321" s="32" t="n">
        <v>1.0</v>
      </c>
      <c r="K321" s="33" t="n">
        <f>61600</f>
        <v>61600.0</v>
      </c>
      <c r="L321" s="34" t="s">
        <v>48</v>
      </c>
      <c r="M321" s="33" t="n">
        <f>63400</f>
        <v>63400.0</v>
      </c>
      <c r="N321" s="34" t="s">
        <v>72</v>
      </c>
      <c r="O321" s="33" t="n">
        <f>58800</f>
        <v>58800.0</v>
      </c>
      <c r="P321" s="34" t="s">
        <v>62</v>
      </c>
      <c r="Q321" s="33" t="n">
        <f>59400</f>
        <v>59400.0</v>
      </c>
      <c r="R321" s="34" t="s">
        <v>51</v>
      </c>
      <c r="S321" s="35" t="n">
        <f>61055</f>
        <v>61055.0</v>
      </c>
      <c r="T321" s="32" t="n">
        <f>105041</f>
        <v>105041.0</v>
      </c>
      <c r="U321" s="32" t="n">
        <f>22548</f>
        <v>22548.0</v>
      </c>
      <c r="V321" s="32" t="n">
        <f>6397248143</f>
        <v>6.397248143E9</v>
      </c>
      <c r="W321" s="32" t="n">
        <f>1371766843</f>
        <v>1.371766843E9</v>
      </c>
      <c r="X321" s="36" t="n">
        <f>20</f>
        <v>20.0</v>
      </c>
    </row>
    <row r="322">
      <c r="A322" s="27" t="s">
        <v>42</v>
      </c>
      <c r="B322" s="27" t="s">
        <v>1015</v>
      </c>
      <c r="C322" s="27" t="s">
        <v>1016</v>
      </c>
      <c r="D322" s="27" t="s">
        <v>1017</v>
      </c>
      <c r="E322" s="28" t="s">
        <v>46</v>
      </c>
      <c r="F322" s="29" t="s">
        <v>46</v>
      </c>
      <c r="G322" s="30" t="s">
        <v>46</v>
      </c>
      <c r="H322" s="31"/>
      <c r="I322" s="31" t="s">
        <v>600</v>
      </c>
      <c r="J322" s="32" t="n">
        <v>1.0</v>
      </c>
      <c r="K322" s="33" t="n">
        <f>130300</f>
        <v>130300.0</v>
      </c>
      <c r="L322" s="34" t="s">
        <v>48</v>
      </c>
      <c r="M322" s="33" t="n">
        <f>135400</f>
        <v>135400.0</v>
      </c>
      <c r="N322" s="34" t="s">
        <v>51</v>
      </c>
      <c r="O322" s="33" t="n">
        <f>129500</f>
        <v>129500.0</v>
      </c>
      <c r="P322" s="34" t="s">
        <v>86</v>
      </c>
      <c r="Q322" s="33" t="n">
        <f>134300</f>
        <v>134300.0</v>
      </c>
      <c r="R322" s="34" t="s">
        <v>51</v>
      </c>
      <c r="S322" s="35" t="n">
        <f>132185</f>
        <v>132185.0</v>
      </c>
      <c r="T322" s="32" t="n">
        <f>17409</f>
        <v>17409.0</v>
      </c>
      <c r="U322" s="32" t="n">
        <f>1511</f>
        <v>1511.0</v>
      </c>
      <c r="V322" s="32" t="n">
        <f>2302315203</f>
        <v>2.302315203E9</v>
      </c>
      <c r="W322" s="32" t="n">
        <f>199991003</f>
        <v>1.99991003E8</v>
      </c>
      <c r="X322" s="36" t="n">
        <f>20</f>
        <v>20.0</v>
      </c>
    </row>
    <row r="323">
      <c r="A323" s="27" t="s">
        <v>42</v>
      </c>
      <c r="B323" s="27" t="s">
        <v>1018</v>
      </c>
      <c r="C323" s="27" t="s">
        <v>1019</v>
      </c>
      <c r="D323" s="27" t="s">
        <v>1020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575000</f>
        <v>575000.0</v>
      </c>
      <c r="L323" s="34" t="s">
        <v>48</v>
      </c>
      <c r="M323" s="33" t="n">
        <f>589000</f>
        <v>589000.0</v>
      </c>
      <c r="N323" s="34" t="s">
        <v>72</v>
      </c>
      <c r="O323" s="33" t="n">
        <f>549000</f>
        <v>549000.0</v>
      </c>
      <c r="P323" s="34" t="s">
        <v>168</v>
      </c>
      <c r="Q323" s="33" t="n">
        <f>558000</f>
        <v>558000.0</v>
      </c>
      <c r="R323" s="34" t="s">
        <v>51</v>
      </c>
      <c r="S323" s="35" t="n">
        <f>567950</f>
        <v>567950.0</v>
      </c>
      <c r="T323" s="32" t="n">
        <f>42782</f>
        <v>42782.0</v>
      </c>
      <c r="U323" s="32" t="n">
        <f>9270</f>
        <v>9270.0</v>
      </c>
      <c r="V323" s="32" t="n">
        <f>24254211935</f>
        <v>2.4254211935E10</v>
      </c>
      <c r="W323" s="32" t="n">
        <f>5233701935</f>
        <v>5.233701935E9</v>
      </c>
      <c r="X323" s="36" t="n">
        <f>20</f>
        <v>20.0</v>
      </c>
    </row>
    <row r="324">
      <c r="A324" s="27" t="s">
        <v>42</v>
      </c>
      <c r="B324" s="27" t="s">
        <v>1021</v>
      </c>
      <c r="C324" s="27" t="s">
        <v>1022</v>
      </c>
      <c r="D324" s="27" t="s">
        <v>1023</v>
      </c>
      <c r="E324" s="28" t="s">
        <v>46</v>
      </c>
      <c r="F324" s="29" t="s">
        <v>46</v>
      </c>
      <c r="G324" s="30" t="s">
        <v>46</v>
      </c>
      <c r="H324" s="31"/>
      <c r="I324" s="31" t="s">
        <v>600</v>
      </c>
      <c r="J324" s="32" t="n">
        <v>1.0</v>
      </c>
      <c r="K324" s="33" t="n">
        <f>69100</f>
        <v>69100.0</v>
      </c>
      <c r="L324" s="34" t="s">
        <v>48</v>
      </c>
      <c r="M324" s="33" t="n">
        <f>70800</f>
        <v>70800.0</v>
      </c>
      <c r="N324" s="34" t="s">
        <v>49</v>
      </c>
      <c r="O324" s="33" t="n">
        <f>67400</f>
        <v>67400.0</v>
      </c>
      <c r="P324" s="34" t="s">
        <v>254</v>
      </c>
      <c r="Q324" s="33" t="n">
        <f>67800</f>
        <v>67800.0</v>
      </c>
      <c r="R324" s="34" t="s">
        <v>51</v>
      </c>
      <c r="S324" s="35" t="n">
        <f>69040</f>
        <v>69040.0</v>
      </c>
      <c r="T324" s="32" t="n">
        <f>12573</f>
        <v>12573.0</v>
      </c>
      <c r="U324" s="32" t="n">
        <f>1399</f>
        <v>1399.0</v>
      </c>
      <c r="V324" s="32" t="n">
        <f>867368017</f>
        <v>8.67368017E8</v>
      </c>
      <c r="W324" s="32" t="n">
        <f>96518017</f>
        <v>9.6518017E7</v>
      </c>
      <c r="X324" s="36" t="n">
        <f>20</f>
        <v>20.0</v>
      </c>
    </row>
    <row r="325">
      <c r="A325" s="27" t="s">
        <v>42</v>
      </c>
      <c r="B325" s="27" t="s">
        <v>1024</v>
      </c>
      <c r="C325" s="27" t="s">
        <v>1025</v>
      </c>
      <c r="D325" s="27" t="s">
        <v>1026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52700</f>
        <v>52700.0</v>
      </c>
      <c r="L325" s="34" t="s">
        <v>48</v>
      </c>
      <c r="M325" s="33" t="n">
        <f>53900</f>
        <v>53900.0</v>
      </c>
      <c r="N325" s="34" t="s">
        <v>72</v>
      </c>
      <c r="O325" s="33" t="n">
        <f>49550</f>
        <v>49550.0</v>
      </c>
      <c r="P325" s="34" t="s">
        <v>50</v>
      </c>
      <c r="Q325" s="33" t="n">
        <f>50600</f>
        <v>50600.0</v>
      </c>
      <c r="R325" s="34" t="s">
        <v>51</v>
      </c>
      <c r="S325" s="35" t="n">
        <f>52127.5</f>
        <v>52127.5</v>
      </c>
      <c r="T325" s="32" t="n">
        <f>136454</f>
        <v>136454.0</v>
      </c>
      <c r="U325" s="32" t="n">
        <f>16875</f>
        <v>16875.0</v>
      </c>
      <c r="V325" s="32" t="n">
        <f>7065820573</f>
        <v>7.065820573E9</v>
      </c>
      <c r="W325" s="32" t="n">
        <f>874910323</f>
        <v>8.74910323E8</v>
      </c>
      <c r="X325" s="36" t="n">
        <f>20</f>
        <v>20.0</v>
      </c>
    </row>
    <row r="326">
      <c r="A326" s="27" t="s">
        <v>42</v>
      </c>
      <c r="B326" s="27" t="s">
        <v>1027</v>
      </c>
      <c r="C326" s="27" t="s">
        <v>1028</v>
      </c>
      <c r="D326" s="27" t="s">
        <v>1029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126300</f>
        <v>126300.0</v>
      </c>
      <c r="L326" s="34" t="s">
        <v>48</v>
      </c>
      <c r="M326" s="33" t="n">
        <f>132600</f>
        <v>132600.0</v>
      </c>
      <c r="N326" s="34" t="s">
        <v>73</v>
      </c>
      <c r="O326" s="33" t="n">
        <f>124800</f>
        <v>124800.0</v>
      </c>
      <c r="P326" s="34" t="s">
        <v>48</v>
      </c>
      <c r="Q326" s="33" t="n">
        <f>129200</f>
        <v>129200.0</v>
      </c>
      <c r="R326" s="34" t="s">
        <v>51</v>
      </c>
      <c r="S326" s="35" t="n">
        <f>130045</f>
        <v>130045.0</v>
      </c>
      <c r="T326" s="32" t="n">
        <f>19527</f>
        <v>19527.0</v>
      </c>
      <c r="U326" s="32" t="n">
        <f>2836</f>
        <v>2836.0</v>
      </c>
      <c r="V326" s="32" t="n">
        <f>2537186374</f>
        <v>2.537186374E9</v>
      </c>
      <c r="W326" s="32" t="n">
        <f>368848674</f>
        <v>3.68848674E8</v>
      </c>
      <c r="X326" s="36" t="n">
        <f>20</f>
        <v>20.0</v>
      </c>
    </row>
    <row r="327">
      <c r="A327" s="27" t="s">
        <v>42</v>
      </c>
      <c r="B327" s="27" t="s">
        <v>1030</v>
      </c>
      <c r="C327" s="27" t="s">
        <v>1031</v>
      </c>
      <c r="D327" s="27" t="s">
        <v>1032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473000</f>
        <v>473000.0</v>
      </c>
      <c r="L327" s="34" t="s">
        <v>48</v>
      </c>
      <c r="M327" s="33" t="n">
        <f>483500</f>
        <v>483500.0</v>
      </c>
      <c r="N327" s="34" t="s">
        <v>72</v>
      </c>
      <c r="O327" s="33" t="n">
        <f>453500</f>
        <v>453500.0</v>
      </c>
      <c r="P327" s="34" t="s">
        <v>73</v>
      </c>
      <c r="Q327" s="33" t="n">
        <f>465000</f>
        <v>465000.0</v>
      </c>
      <c r="R327" s="34" t="s">
        <v>51</v>
      </c>
      <c r="S327" s="35" t="n">
        <f>468025</f>
        <v>468025.0</v>
      </c>
      <c r="T327" s="32" t="n">
        <f>41364</f>
        <v>41364.0</v>
      </c>
      <c r="U327" s="32" t="n">
        <f>8219</f>
        <v>8219.0</v>
      </c>
      <c r="V327" s="32" t="n">
        <f>19310423784</f>
        <v>1.9310423784E10</v>
      </c>
      <c r="W327" s="32" t="n">
        <f>3840475284</f>
        <v>3.840475284E9</v>
      </c>
      <c r="X327" s="36" t="n">
        <f>20</f>
        <v>20.0</v>
      </c>
    </row>
    <row r="328">
      <c r="A328" s="27" t="s">
        <v>42</v>
      </c>
      <c r="B328" s="27" t="s">
        <v>1033</v>
      </c>
      <c r="C328" s="27" t="s">
        <v>1034</v>
      </c>
      <c r="D328" s="27" t="s">
        <v>1035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206200</f>
        <v>206200.0</v>
      </c>
      <c r="L328" s="34" t="s">
        <v>48</v>
      </c>
      <c r="M328" s="33" t="n">
        <f>210800</f>
        <v>210800.0</v>
      </c>
      <c r="N328" s="34" t="s">
        <v>72</v>
      </c>
      <c r="O328" s="33" t="n">
        <f>192500</f>
        <v>192500.0</v>
      </c>
      <c r="P328" s="34" t="s">
        <v>114</v>
      </c>
      <c r="Q328" s="33" t="n">
        <f>199200</f>
        <v>199200.0</v>
      </c>
      <c r="R328" s="34" t="s">
        <v>51</v>
      </c>
      <c r="S328" s="35" t="n">
        <f>200520</f>
        <v>200520.0</v>
      </c>
      <c r="T328" s="32" t="n">
        <f>45326</f>
        <v>45326.0</v>
      </c>
      <c r="U328" s="32" t="n">
        <f>7767</f>
        <v>7767.0</v>
      </c>
      <c r="V328" s="32" t="n">
        <f>9096802330</f>
        <v>9.09680233E9</v>
      </c>
      <c r="W328" s="32" t="n">
        <f>1564503130</f>
        <v>1.56450313E9</v>
      </c>
      <c r="X328" s="36" t="n">
        <f>20</f>
        <v>20.0</v>
      </c>
    </row>
    <row r="329">
      <c r="A329" s="27" t="s">
        <v>42</v>
      </c>
      <c r="B329" s="27" t="s">
        <v>1036</v>
      </c>
      <c r="C329" s="27" t="s">
        <v>1037</v>
      </c>
      <c r="D329" s="27" t="s">
        <v>1038</v>
      </c>
      <c r="E329" s="28" t="s">
        <v>46</v>
      </c>
      <c r="F329" s="29" t="s">
        <v>46</v>
      </c>
      <c r="G329" s="30" t="s">
        <v>46</v>
      </c>
      <c r="H329" s="31"/>
      <c r="I329" s="31" t="s">
        <v>600</v>
      </c>
      <c r="J329" s="32" t="n">
        <v>1.0</v>
      </c>
      <c r="K329" s="33" t="n">
        <f>124800</f>
        <v>124800.0</v>
      </c>
      <c r="L329" s="34" t="s">
        <v>48</v>
      </c>
      <c r="M329" s="33" t="n">
        <f>127700</f>
        <v>127700.0</v>
      </c>
      <c r="N329" s="34" t="s">
        <v>49</v>
      </c>
      <c r="O329" s="33" t="n">
        <f>122300</f>
        <v>122300.0</v>
      </c>
      <c r="P329" s="34" t="s">
        <v>50</v>
      </c>
      <c r="Q329" s="33" t="n">
        <f>123400</f>
        <v>123400.0</v>
      </c>
      <c r="R329" s="34" t="s">
        <v>51</v>
      </c>
      <c r="S329" s="35" t="n">
        <f>125135</f>
        <v>125135.0</v>
      </c>
      <c r="T329" s="32" t="n">
        <f>23393</f>
        <v>23393.0</v>
      </c>
      <c r="U329" s="32" t="n">
        <f>2815</f>
        <v>2815.0</v>
      </c>
      <c r="V329" s="32" t="n">
        <f>2924633619</f>
        <v>2.924633619E9</v>
      </c>
      <c r="W329" s="32" t="n">
        <f>352877219</f>
        <v>3.52877219E8</v>
      </c>
      <c r="X329" s="36" t="n">
        <f>20</f>
        <v>20.0</v>
      </c>
    </row>
    <row r="330">
      <c r="A330" s="27" t="s">
        <v>42</v>
      </c>
      <c r="B330" s="27" t="s">
        <v>1039</v>
      </c>
      <c r="C330" s="27" t="s">
        <v>1040</v>
      </c>
      <c r="D330" s="27" t="s">
        <v>1041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122900</f>
        <v>122900.0</v>
      </c>
      <c r="L330" s="34" t="s">
        <v>48</v>
      </c>
      <c r="M330" s="33" t="n">
        <f>124500</f>
        <v>124500.0</v>
      </c>
      <c r="N330" s="34" t="s">
        <v>72</v>
      </c>
      <c r="O330" s="33" t="n">
        <f>116300</f>
        <v>116300.0</v>
      </c>
      <c r="P330" s="34" t="s">
        <v>91</v>
      </c>
      <c r="Q330" s="33" t="n">
        <f>120800</f>
        <v>120800.0</v>
      </c>
      <c r="R330" s="34" t="s">
        <v>51</v>
      </c>
      <c r="S330" s="35" t="n">
        <f>120975</f>
        <v>120975.0</v>
      </c>
      <c r="T330" s="32" t="n">
        <f>55511</f>
        <v>55511.0</v>
      </c>
      <c r="U330" s="32" t="n">
        <f>6274</f>
        <v>6274.0</v>
      </c>
      <c r="V330" s="32" t="n">
        <f>6700453821</f>
        <v>6.700453821E9</v>
      </c>
      <c r="W330" s="32" t="n">
        <f>760659521</f>
        <v>7.60659521E8</v>
      </c>
      <c r="X330" s="36" t="n">
        <f>20</f>
        <v>20.0</v>
      </c>
    </row>
    <row r="331">
      <c r="A331" s="27" t="s">
        <v>42</v>
      </c>
      <c r="B331" s="27" t="s">
        <v>1042</v>
      </c>
      <c r="C331" s="27" t="s">
        <v>1043</v>
      </c>
      <c r="D331" s="27" t="s">
        <v>1044</v>
      </c>
      <c r="E331" s="28" t="s">
        <v>46</v>
      </c>
      <c r="F331" s="29" t="s">
        <v>46</v>
      </c>
      <c r="G331" s="30" t="s">
        <v>46</v>
      </c>
      <c r="H331" s="31"/>
      <c r="I331" s="31" t="s">
        <v>600</v>
      </c>
      <c r="J331" s="32" t="n">
        <v>1.0</v>
      </c>
      <c r="K331" s="33" t="n">
        <f>158000</f>
        <v>158000.0</v>
      </c>
      <c r="L331" s="34" t="s">
        <v>48</v>
      </c>
      <c r="M331" s="33" t="n">
        <f>164000</f>
        <v>164000.0</v>
      </c>
      <c r="N331" s="34" t="s">
        <v>51</v>
      </c>
      <c r="O331" s="33" t="n">
        <f>154500</f>
        <v>154500.0</v>
      </c>
      <c r="P331" s="34" t="s">
        <v>48</v>
      </c>
      <c r="Q331" s="33" t="n">
        <f>161000</f>
        <v>161000.0</v>
      </c>
      <c r="R331" s="34" t="s">
        <v>51</v>
      </c>
      <c r="S331" s="35" t="n">
        <f>158780</f>
        <v>158780.0</v>
      </c>
      <c r="T331" s="32" t="n">
        <f>30060</f>
        <v>30060.0</v>
      </c>
      <c r="U331" s="32" t="n">
        <f>4893</f>
        <v>4893.0</v>
      </c>
      <c r="V331" s="32" t="n">
        <f>4783082382</f>
        <v>4.783082382E9</v>
      </c>
      <c r="W331" s="32" t="n">
        <f>779742982</f>
        <v>7.79742982E8</v>
      </c>
      <c r="X331" s="36" t="n">
        <f>20</f>
        <v>20.0</v>
      </c>
    </row>
    <row r="332">
      <c r="A332" s="27" t="s">
        <v>42</v>
      </c>
      <c r="B332" s="27" t="s">
        <v>1045</v>
      </c>
      <c r="C332" s="27" t="s">
        <v>1046</v>
      </c>
      <c r="D332" s="27" t="s">
        <v>1047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698000</f>
        <v>698000.0</v>
      </c>
      <c r="L332" s="34" t="s">
        <v>48</v>
      </c>
      <c r="M332" s="33" t="n">
        <f>703000</f>
        <v>703000.0</v>
      </c>
      <c r="N332" s="34" t="s">
        <v>72</v>
      </c>
      <c r="O332" s="33" t="n">
        <f>663000</f>
        <v>663000.0</v>
      </c>
      <c r="P332" s="34" t="s">
        <v>86</v>
      </c>
      <c r="Q332" s="33" t="n">
        <f>674000</f>
        <v>674000.0</v>
      </c>
      <c r="R332" s="34" t="s">
        <v>51</v>
      </c>
      <c r="S332" s="35" t="n">
        <f>678000</f>
        <v>678000.0</v>
      </c>
      <c r="T332" s="32" t="n">
        <f>99036</f>
        <v>99036.0</v>
      </c>
      <c r="U332" s="32" t="n">
        <f>20469</f>
        <v>20469.0</v>
      </c>
      <c r="V332" s="32" t="n">
        <f>67200486935</f>
        <v>6.7200486935E10</v>
      </c>
      <c r="W332" s="32" t="n">
        <f>13921618935</f>
        <v>1.3921618935E10</v>
      </c>
      <c r="X332" s="36" t="n">
        <f>20</f>
        <v>20.0</v>
      </c>
    </row>
    <row r="333">
      <c r="A333" s="27" t="s">
        <v>42</v>
      </c>
      <c r="B333" s="27" t="s">
        <v>1048</v>
      </c>
      <c r="C333" s="27" t="s">
        <v>1049</v>
      </c>
      <c r="D333" s="27" t="s">
        <v>1050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637000</f>
        <v>637000.0</v>
      </c>
      <c r="L333" s="34" t="s">
        <v>48</v>
      </c>
      <c r="M333" s="33" t="n">
        <f>649000</f>
        <v>649000.0</v>
      </c>
      <c r="N333" s="34" t="s">
        <v>72</v>
      </c>
      <c r="O333" s="33" t="n">
        <f>607000</f>
        <v>607000.0</v>
      </c>
      <c r="P333" s="34" t="s">
        <v>86</v>
      </c>
      <c r="Q333" s="33" t="n">
        <f>629000</f>
        <v>629000.0</v>
      </c>
      <c r="R333" s="34" t="s">
        <v>51</v>
      </c>
      <c r="S333" s="35" t="n">
        <f>623750</f>
        <v>623750.0</v>
      </c>
      <c r="T333" s="32" t="n">
        <f>96646</f>
        <v>96646.0</v>
      </c>
      <c r="U333" s="32" t="n">
        <f>17417</f>
        <v>17417.0</v>
      </c>
      <c r="V333" s="32" t="n">
        <f>60362378875</f>
        <v>6.0362378875E10</v>
      </c>
      <c r="W333" s="32" t="n">
        <f>10901948875</f>
        <v>1.0901948875E10</v>
      </c>
      <c r="X333" s="36" t="n">
        <f>20</f>
        <v>20.0</v>
      </c>
    </row>
    <row r="334">
      <c r="A334" s="27" t="s">
        <v>42</v>
      </c>
      <c r="B334" s="27" t="s">
        <v>1051</v>
      </c>
      <c r="C334" s="27" t="s">
        <v>1052</v>
      </c>
      <c r="D334" s="27" t="s">
        <v>1053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102600</f>
        <v>102600.0</v>
      </c>
      <c r="L334" s="34" t="s">
        <v>48</v>
      </c>
      <c r="M334" s="33" t="n">
        <f>106000</f>
        <v>106000.0</v>
      </c>
      <c r="N334" s="34" t="s">
        <v>72</v>
      </c>
      <c r="O334" s="33" t="n">
        <f>101800</f>
        <v>101800.0</v>
      </c>
      <c r="P334" s="34" t="s">
        <v>48</v>
      </c>
      <c r="Q334" s="33" t="n">
        <f>103300</f>
        <v>103300.0</v>
      </c>
      <c r="R334" s="34" t="s">
        <v>51</v>
      </c>
      <c r="S334" s="35" t="n">
        <f>103910</f>
        <v>103910.0</v>
      </c>
      <c r="T334" s="32" t="n">
        <f>452398</f>
        <v>452398.0</v>
      </c>
      <c r="U334" s="32" t="n">
        <f>87142</f>
        <v>87142.0</v>
      </c>
      <c r="V334" s="32" t="n">
        <f>46979866181</f>
        <v>4.6979866181E10</v>
      </c>
      <c r="W334" s="32" t="n">
        <f>9055526781</f>
        <v>9.055526781E9</v>
      </c>
      <c r="X334" s="36" t="n">
        <f>20</f>
        <v>20.0</v>
      </c>
    </row>
    <row r="335">
      <c r="A335" s="27" t="s">
        <v>42</v>
      </c>
      <c r="B335" s="27" t="s">
        <v>1054</v>
      </c>
      <c r="C335" s="27" t="s">
        <v>1055</v>
      </c>
      <c r="D335" s="27" t="s">
        <v>1056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166200</f>
        <v>166200.0</v>
      </c>
      <c r="L335" s="34" t="s">
        <v>48</v>
      </c>
      <c r="M335" s="33" t="n">
        <f>178700</f>
        <v>178700.0</v>
      </c>
      <c r="N335" s="34" t="s">
        <v>50</v>
      </c>
      <c r="O335" s="33" t="n">
        <f>163100</f>
        <v>163100.0</v>
      </c>
      <c r="P335" s="34" t="s">
        <v>86</v>
      </c>
      <c r="Q335" s="33" t="n">
        <f>175300</f>
        <v>175300.0</v>
      </c>
      <c r="R335" s="34" t="s">
        <v>51</v>
      </c>
      <c r="S335" s="35" t="n">
        <f>170345</f>
        <v>170345.0</v>
      </c>
      <c r="T335" s="32" t="n">
        <f>426852</f>
        <v>426852.0</v>
      </c>
      <c r="U335" s="32" t="n">
        <f>81542</f>
        <v>81542.0</v>
      </c>
      <c r="V335" s="32" t="n">
        <f>72877718340</f>
        <v>7.287771834E10</v>
      </c>
      <c r="W335" s="32" t="n">
        <f>13927642740</f>
        <v>1.392764274E10</v>
      </c>
      <c r="X335" s="36" t="n">
        <f>20</f>
        <v>20.0</v>
      </c>
    </row>
    <row r="336">
      <c r="A336" s="27" t="s">
        <v>42</v>
      </c>
      <c r="B336" s="27" t="s">
        <v>1057</v>
      </c>
      <c r="C336" s="27" t="s">
        <v>1058</v>
      </c>
      <c r="D336" s="27" t="s">
        <v>1059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404000</f>
        <v>404000.0</v>
      </c>
      <c r="L336" s="34" t="s">
        <v>48</v>
      </c>
      <c r="M336" s="33" t="n">
        <f>414000</f>
        <v>414000.0</v>
      </c>
      <c r="N336" s="34" t="s">
        <v>72</v>
      </c>
      <c r="O336" s="33" t="n">
        <f>391500</f>
        <v>391500.0</v>
      </c>
      <c r="P336" s="34" t="s">
        <v>114</v>
      </c>
      <c r="Q336" s="33" t="n">
        <f>394500</f>
        <v>394500.0</v>
      </c>
      <c r="R336" s="34" t="s">
        <v>51</v>
      </c>
      <c r="S336" s="35" t="n">
        <f>399150</f>
        <v>399150.0</v>
      </c>
      <c r="T336" s="32" t="n">
        <f>49377</f>
        <v>49377.0</v>
      </c>
      <c r="U336" s="32" t="n">
        <f>9426</f>
        <v>9426.0</v>
      </c>
      <c r="V336" s="32" t="n">
        <f>19713684711</f>
        <v>1.9713684711E10</v>
      </c>
      <c r="W336" s="32" t="n">
        <f>3760691211</f>
        <v>3.760691211E9</v>
      </c>
      <c r="X336" s="36" t="n">
        <f>20</f>
        <v>20.0</v>
      </c>
    </row>
    <row r="337">
      <c r="A337" s="27" t="s">
        <v>42</v>
      </c>
      <c r="B337" s="27" t="s">
        <v>1060</v>
      </c>
      <c r="C337" s="27" t="s">
        <v>1061</v>
      </c>
      <c r="D337" s="27" t="s">
        <v>1062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160500</f>
        <v>160500.0</v>
      </c>
      <c r="L337" s="34" t="s">
        <v>48</v>
      </c>
      <c r="M337" s="33" t="n">
        <f>163700</f>
        <v>163700.0</v>
      </c>
      <c r="N337" s="34" t="s">
        <v>72</v>
      </c>
      <c r="O337" s="33" t="n">
        <f>149600</f>
        <v>149600.0</v>
      </c>
      <c r="P337" s="34" t="s">
        <v>51</v>
      </c>
      <c r="Q337" s="33" t="n">
        <f>150100</f>
        <v>150100.0</v>
      </c>
      <c r="R337" s="34" t="s">
        <v>51</v>
      </c>
      <c r="S337" s="35" t="n">
        <f>157790</f>
        <v>157790.0</v>
      </c>
      <c r="T337" s="32" t="n">
        <f>108612</f>
        <v>108612.0</v>
      </c>
      <c r="U337" s="32" t="n">
        <f>16143</f>
        <v>16143.0</v>
      </c>
      <c r="V337" s="32" t="n">
        <f>17088489397</f>
        <v>1.7088489397E10</v>
      </c>
      <c r="W337" s="32" t="n">
        <f>2534955397</f>
        <v>2.534955397E9</v>
      </c>
      <c r="X337" s="36" t="n">
        <f>20</f>
        <v>20.0</v>
      </c>
    </row>
    <row r="338">
      <c r="A338" s="27" t="s">
        <v>42</v>
      </c>
      <c r="B338" s="27" t="s">
        <v>1063</v>
      </c>
      <c r="C338" s="27" t="s">
        <v>1064</v>
      </c>
      <c r="D338" s="27" t="s">
        <v>1065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198100</f>
        <v>198100.0</v>
      </c>
      <c r="L338" s="34" t="s">
        <v>48</v>
      </c>
      <c r="M338" s="33" t="n">
        <f>200000</f>
        <v>200000.0</v>
      </c>
      <c r="N338" s="34" t="s">
        <v>72</v>
      </c>
      <c r="O338" s="33" t="n">
        <f>181700</f>
        <v>181700.0</v>
      </c>
      <c r="P338" s="34" t="s">
        <v>62</v>
      </c>
      <c r="Q338" s="33" t="n">
        <f>182800</f>
        <v>182800.0</v>
      </c>
      <c r="R338" s="34" t="s">
        <v>51</v>
      </c>
      <c r="S338" s="35" t="n">
        <f>189010</f>
        <v>189010.0</v>
      </c>
      <c r="T338" s="32" t="n">
        <f>76618</f>
        <v>76618.0</v>
      </c>
      <c r="U338" s="32" t="n">
        <f>20027</f>
        <v>20027.0</v>
      </c>
      <c r="V338" s="32" t="n">
        <f>14460533081</f>
        <v>1.4460533081E10</v>
      </c>
      <c r="W338" s="32" t="n">
        <f>3786713781</f>
        <v>3.786713781E9</v>
      </c>
      <c r="X338" s="36" t="n">
        <f>20</f>
        <v>20.0</v>
      </c>
    </row>
    <row r="339">
      <c r="A339" s="27" t="s">
        <v>42</v>
      </c>
      <c r="B339" s="27" t="s">
        <v>1066</v>
      </c>
      <c r="C339" s="27" t="s">
        <v>1067</v>
      </c>
      <c r="D339" s="27" t="s">
        <v>1068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111900</f>
        <v>111900.0</v>
      </c>
      <c r="L339" s="34" t="s">
        <v>48</v>
      </c>
      <c r="M339" s="33" t="n">
        <f>115300</f>
        <v>115300.0</v>
      </c>
      <c r="N339" s="34" t="s">
        <v>61</v>
      </c>
      <c r="O339" s="33" t="n">
        <f>110500</f>
        <v>110500.0</v>
      </c>
      <c r="P339" s="34" t="s">
        <v>48</v>
      </c>
      <c r="Q339" s="33" t="n">
        <f>111400</f>
        <v>111400.0</v>
      </c>
      <c r="R339" s="34" t="s">
        <v>51</v>
      </c>
      <c r="S339" s="35" t="n">
        <f>113325</f>
        <v>113325.0</v>
      </c>
      <c r="T339" s="32" t="n">
        <f>68957</f>
        <v>68957.0</v>
      </c>
      <c r="U339" s="32" t="n">
        <f>10647</f>
        <v>10647.0</v>
      </c>
      <c r="V339" s="32" t="n">
        <f>7807601908</f>
        <v>7.807601908E9</v>
      </c>
      <c r="W339" s="32" t="n">
        <f>1204783008</f>
        <v>1.204783008E9</v>
      </c>
      <c r="X339" s="36" t="n">
        <f>20</f>
        <v>20.0</v>
      </c>
    </row>
    <row r="340">
      <c r="A340" s="27" t="s">
        <v>42</v>
      </c>
      <c r="B340" s="27" t="s">
        <v>1069</v>
      </c>
      <c r="C340" s="27" t="s">
        <v>1070</v>
      </c>
      <c r="D340" s="27" t="s">
        <v>1071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140700</f>
        <v>140700.0</v>
      </c>
      <c r="L340" s="34" t="s">
        <v>48</v>
      </c>
      <c r="M340" s="33" t="n">
        <f>145500</f>
        <v>145500.0</v>
      </c>
      <c r="N340" s="34" t="s">
        <v>168</v>
      </c>
      <c r="O340" s="33" t="n">
        <f>137700</f>
        <v>137700.0</v>
      </c>
      <c r="P340" s="34" t="s">
        <v>86</v>
      </c>
      <c r="Q340" s="33" t="n">
        <f>142100</f>
        <v>142100.0</v>
      </c>
      <c r="R340" s="34" t="s">
        <v>51</v>
      </c>
      <c r="S340" s="35" t="n">
        <f>141620</f>
        <v>141620.0</v>
      </c>
      <c r="T340" s="32" t="n">
        <f>184087</f>
        <v>184087.0</v>
      </c>
      <c r="U340" s="32" t="n">
        <f>36032</f>
        <v>36032.0</v>
      </c>
      <c r="V340" s="32" t="n">
        <f>26131479717</f>
        <v>2.6131479717E10</v>
      </c>
      <c r="W340" s="32" t="n">
        <f>5126348117</f>
        <v>5.126348117E9</v>
      </c>
      <c r="X340" s="36" t="n">
        <f>20</f>
        <v>20.0</v>
      </c>
    </row>
    <row r="341">
      <c r="A341" s="27" t="s">
        <v>42</v>
      </c>
      <c r="B341" s="27" t="s">
        <v>1072</v>
      </c>
      <c r="C341" s="27" t="s">
        <v>1073</v>
      </c>
      <c r="D341" s="27" t="s">
        <v>1074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144000</f>
        <v>144000.0</v>
      </c>
      <c r="L341" s="34" t="s">
        <v>48</v>
      </c>
      <c r="M341" s="33" t="n">
        <f>146000</f>
        <v>146000.0</v>
      </c>
      <c r="N341" s="34" t="s">
        <v>72</v>
      </c>
      <c r="O341" s="33" t="n">
        <f>140000</f>
        <v>140000.0</v>
      </c>
      <c r="P341" s="34" t="s">
        <v>86</v>
      </c>
      <c r="Q341" s="33" t="n">
        <f>141500</f>
        <v>141500.0</v>
      </c>
      <c r="R341" s="34" t="s">
        <v>51</v>
      </c>
      <c r="S341" s="35" t="n">
        <f>141865</f>
        <v>141865.0</v>
      </c>
      <c r="T341" s="32" t="n">
        <f>56037</f>
        <v>56037.0</v>
      </c>
      <c r="U341" s="32" t="n">
        <f>8078</f>
        <v>8078.0</v>
      </c>
      <c r="V341" s="32" t="n">
        <f>7954251935</f>
        <v>7.954251935E9</v>
      </c>
      <c r="W341" s="32" t="n">
        <f>1147424435</f>
        <v>1.147424435E9</v>
      </c>
      <c r="X341" s="36" t="n">
        <f>20</f>
        <v>20.0</v>
      </c>
    </row>
    <row r="342">
      <c r="A342" s="27" t="s">
        <v>42</v>
      </c>
      <c r="B342" s="27" t="s">
        <v>1075</v>
      </c>
      <c r="C342" s="27" t="s">
        <v>1076</v>
      </c>
      <c r="D342" s="27" t="s">
        <v>1077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42700</f>
        <v>42700.0</v>
      </c>
      <c r="L342" s="34" t="s">
        <v>48</v>
      </c>
      <c r="M342" s="33" t="n">
        <f>44700</f>
        <v>44700.0</v>
      </c>
      <c r="N342" s="34" t="s">
        <v>62</v>
      </c>
      <c r="O342" s="33" t="n">
        <f>41600</f>
        <v>41600.0</v>
      </c>
      <c r="P342" s="34" t="s">
        <v>48</v>
      </c>
      <c r="Q342" s="33" t="n">
        <f>42450</f>
        <v>42450.0</v>
      </c>
      <c r="R342" s="34" t="s">
        <v>51</v>
      </c>
      <c r="S342" s="35" t="n">
        <f>43482.5</f>
        <v>43482.5</v>
      </c>
      <c r="T342" s="32" t="n">
        <f>591271</f>
        <v>591271.0</v>
      </c>
      <c r="U342" s="32" t="n">
        <f>117276</f>
        <v>117276.0</v>
      </c>
      <c r="V342" s="32" t="n">
        <f>25678077052</f>
        <v>2.5678077052E10</v>
      </c>
      <c r="W342" s="32" t="n">
        <f>5082155552</f>
        <v>5.082155552E9</v>
      </c>
      <c r="X342" s="36" t="n">
        <f>20</f>
        <v>20.0</v>
      </c>
    </row>
    <row r="343">
      <c r="A343" s="27" t="s">
        <v>42</v>
      </c>
      <c r="B343" s="27" t="s">
        <v>1078</v>
      </c>
      <c r="C343" s="27" t="s">
        <v>1079</v>
      </c>
      <c r="D343" s="27" t="s">
        <v>1080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509000</f>
        <v>509000.0</v>
      </c>
      <c r="L343" s="34" t="s">
        <v>48</v>
      </c>
      <c r="M343" s="33" t="n">
        <f>521000</f>
        <v>521000.0</v>
      </c>
      <c r="N343" s="34" t="s">
        <v>72</v>
      </c>
      <c r="O343" s="33" t="n">
        <f>500000</f>
        <v>500000.0</v>
      </c>
      <c r="P343" s="34" t="s">
        <v>86</v>
      </c>
      <c r="Q343" s="33" t="n">
        <f>503000</f>
        <v>503000.0</v>
      </c>
      <c r="R343" s="34" t="s">
        <v>51</v>
      </c>
      <c r="S343" s="35" t="n">
        <f>508250</f>
        <v>508250.0</v>
      </c>
      <c r="T343" s="32" t="n">
        <f>30141</f>
        <v>30141.0</v>
      </c>
      <c r="U343" s="32" t="n">
        <f>5564</f>
        <v>5564.0</v>
      </c>
      <c r="V343" s="32" t="n">
        <f>15326374067</f>
        <v>1.5326374067E10</v>
      </c>
      <c r="W343" s="32" t="n">
        <f>2831788067</f>
        <v>2.831788067E9</v>
      </c>
      <c r="X343" s="36" t="n">
        <f>20</f>
        <v>20.0</v>
      </c>
    </row>
    <row r="344">
      <c r="A344" s="27" t="s">
        <v>42</v>
      </c>
      <c r="B344" s="27" t="s">
        <v>1081</v>
      </c>
      <c r="C344" s="27" t="s">
        <v>1082</v>
      </c>
      <c r="D344" s="27" t="s">
        <v>1083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149300</f>
        <v>149300.0</v>
      </c>
      <c r="L344" s="34" t="s">
        <v>48</v>
      </c>
      <c r="M344" s="33" t="n">
        <f>152700</f>
        <v>152700.0</v>
      </c>
      <c r="N344" s="34" t="s">
        <v>72</v>
      </c>
      <c r="O344" s="33" t="n">
        <f>145400</f>
        <v>145400.0</v>
      </c>
      <c r="P344" s="34" t="s">
        <v>48</v>
      </c>
      <c r="Q344" s="33" t="n">
        <f>149300</f>
        <v>149300.0</v>
      </c>
      <c r="R344" s="34" t="s">
        <v>51</v>
      </c>
      <c r="S344" s="35" t="n">
        <f>149980</f>
        <v>149980.0</v>
      </c>
      <c r="T344" s="32" t="n">
        <f>46105</f>
        <v>46105.0</v>
      </c>
      <c r="U344" s="32" t="n">
        <f>8443</f>
        <v>8443.0</v>
      </c>
      <c r="V344" s="32" t="n">
        <f>6910621195</f>
        <v>6.910621195E9</v>
      </c>
      <c r="W344" s="32" t="n">
        <f>1265806495</f>
        <v>1.265806495E9</v>
      </c>
      <c r="X344" s="36" t="n">
        <f>20</f>
        <v>20.0</v>
      </c>
    </row>
    <row r="345">
      <c r="A345" s="27" t="s">
        <v>42</v>
      </c>
      <c r="B345" s="27" t="s">
        <v>1084</v>
      </c>
      <c r="C345" s="27" t="s">
        <v>1085</v>
      </c>
      <c r="D345" s="27" t="s">
        <v>1086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317500</f>
        <v>317500.0</v>
      </c>
      <c r="L345" s="34" t="s">
        <v>48</v>
      </c>
      <c r="M345" s="33" t="n">
        <f>328000</f>
        <v>328000.0</v>
      </c>
      <c r="N345" s="34" t="s">
        <v>72</v>
      </c>
      <c r="O345" s="33" t="n">
        <f>309000</f>
        <v>309000.0</v>
      </c>
      <c r="P345" s="34" t="s">
        <v>167</v>
      </c>
      <c r="Q345" s="33" t="n">
        <f>318000</f>
        <v>318000.0</v>
      </c>
      <c r="R345" s="34" t="s">
        <v>51</v>
      </c>
      <c r="S345" s="35" t="n">
        <f>319625</f>
        <v>319625.0</v>
      </c>
      <c r="T345" s="32" t="n">
        <f>56823</f>
        <v>56823.0</v>
      </c>
      <c r="U345" s="32" t="n">
        <f>12377</f>
        <v>12377.0</v>
      </c>
      <c r="V345" s="32" t="n">
        <f>18148840322</f>
        <v>1.8148840322E10</v>
      </c>
      <c r="W345" s="32" t="n">
        <f>3952063822</f>
        <v>3.952063822E9</v>
      </c>
      <c r="X345" s="36" t="n">
        <f>20</f>
        <v>20.0</v>
      </c>
    </row>
    <row r="346">
      <c r="A346" s="27" t="s">
        <v>42</v>
      </c>
      <c r="B346" s="27" t="s">
        <v>1087</v>
      </c>
      <c r="C346" s="27" t="s">
        <v>1088</v>
      </c>
      <c r="D346" s="27" t="s">
        <v>1089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168100</f>
        <v>168100.0</v>
      </c>
      <c r="L346" s="34" t="s">
        <v>48</v>
      </c>
      <c r="M346" s="33" t="n">
        <f>170800</f>
        <v>170800.0</v>
      </c>
      <c r="N346" s="34" t="s">
        <v>72</v>
      </c>
      <c r="O346" s="33" t="n">
        <f>161900</f>
        <v>161900.0</v>
      </c>
      <c r="P346" s="34" t="s">
        <v>168</v>
      </c>
      <c r="Q346" s="33" t="n">
        <f>162400</f>
        <v>162400.0</v>
      </c>
      <c r="R346" s="34" t="s">
        <v>51</v>
      </c>
      <c r="S346" s="35" t="n">
        <f>166030</f>
        <v>166030.0</v>
      </c>
      <c r="T346" s="32" t="n">
        <f>36304</f>
        <v>36304.0</v>
      </c>
      <c r="U346" s="32" t="n">
        <f>7079</f>
        <v>7079.0</v>
      </c>
      <c r="V346" s="32" t="n">
        <f>6017945025</f>
        <v>6.017945025E9</v>
      </c>
      <c r="W346" s="32" t="n">
        <f>1171673725</f>
        <v>1.171673725E9</v>
      </c>
      <c r="X346" s="36" t="n">
        <f>20</f>
        <v>20.0</v>
      </c>
    </row>
    <row r="347">
      <c r="A347" s="27" t="s">
        <v>42</v>
      </c>
      <c r="B347" s="27" t="s">
        <v>1090</v>
      </c>
      <c r="C347" s="27" t="s">
        <v>1091</v>
      </c>
      <c r="D347" s="27" t="s">
        <v>1092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726000</f>
        <v>726000.0</v>
      </c>
      <c r="L347" s="34" t="s">
        <v>48</v>
      </c>
      <c r="M347" s="33" t="n">
        <f>750000</f>
        <v>750000.0</v>
      </c>
      <c r="N347" s="34" t="s">
        <v>72</v>
      </c>
      <c r="O347" s="33" t="n">
        <f>681000</f>
        <v>681000.0</v>
      </c>
      <c r="P347" s="34" t="s">
        <v>51</v>
      </c>
      <c r="Q347" s="33" t="n">
        <f>681000</f>
        <v>681000.0</v>
      </c>
      <c r="R347" s="34" t="s">
        <v>51</v>
      </c>
      <c r="S347" s="35" t="n">
        <f>713550</f>
        <v>713550.0</v>
      </c>
      <c r="T347" s="32" t="n">
        <f>37705</f>
        <v>37705.0</v>
      </c>
      <c r="U347" s="32" t="n">
        <f>5449</f>
        <v>5449.0</v>
      </c>
      <c r="V347" s="32" t="n">
        <f>26852192807</f>
        <v>2.6852192807E10</v>
      </c>
      <c r="W347" s="32" t="n">
        <f>3882255807</f>
        <v>3.882255807E9</v>
      </c>
      <c r="X347" s="36" t="n">
        <f>20</f>
        <v>20.0</v>
      </c>
    </row>
    <row r="348">
      <c r="A348" s="27" t="s">
        <v>42</v>
      </c>
      <c r="B348" s="27" t="s">
        <v>1093</v>
      </c>
      <c r="C348" s="27" t="s">
        <v>1094</v>
      </c>
      <c r="D348" s="27" t="s">
        <v>1095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88300</f>
        <v>88300.0</v>
      </c>
      <c r="L348" s="34" t="s">
        <v>48</v>
      </c>
      <c r="M348" s="33" t="n">
        <f>89600</f>
        <v>89600.0</v>
      </c>
      <c r="N348" s="34" t="s">
        <v>72</v>
      </c>
      <c r="O348" s="33" t="n">
        <f>82100</f>
        <v>82100.0</v>
      </c>
      <c r="P348" s="34" t="s">
        <v>50</v>
      </c>
      <c r="Q348" s="33" t="n">
        <f>83300</f>
        <v>83300.0</v>
      </c>
      <c r="R348" s="34" t="s">
        <v>51</v>
      </c>
      <c r="S348" s="35" t="n">
        <f>86770</f>
        <v>86770.0</v>
      </c>
      <c r="T348" s="32" t="n">
        <f>122615</f>
        <v>122615.0</v>
      </c>
      <c r="U348" s="32" t="n">
        <f>19637</f>
        <v>19637.0</v>
      </c>
      <c r="V348" s="32" t="n">
        <f>10625914788</f>
        <v>1.0625914788E10</v>
      </c>
      <c r="W348" s="32" t="n">
        <f>1705125388</f>
        <v>1.705125388E9</v>
      </c>
      <c r="X348" s="36" t="n">
        <f>20</f>
        <v>20.0</v>
      </c>
    </row>
    <row r="349">
      <c r="A349" s="27" t="s">
        <v>42</v>
      </c>
      <c r="B349" s="27" t="s">
        <v>1096</v>
      </c>
      <c r="C349" s="27" t="s">
        <v>1097</v>
      </c>
      <c r="D349" s="27" t="s">
        <v>1098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750000</f>
        <v>750000.0</v>
      </c>
      <c r="L349" s="34" t="s">
        <v>48</v>
      </c>
      <c r="M349" s="33" t="n">
        <f>767000</f>
        <v>767000.0</v>
      </c>
      <c r="N349" s="34" t="s">
        <v>72</v>
      </c>
      <c r="O349" s="33" t="n">
        <f>714000</f>
        <v>714000.0</v>
      </c>
      <c r="P349" s="34" t="s">
        <v>168</v>
      </c>
      <c r="Q349" s="33" t="n">
        <f>736000</f>
        <v>736000.0</v>
      </c>
      <c r="R349" s="34" t="s">
        <v>51</v>
      </c>
      <c r="S349" s="35" t="n">
        <f>734250</f>
        <v>734250.0</v>
      </c>
      <c r="T349" s="32" t="n">
        <f>21436</f>
        <v>21436.0</v>
      </c>
      <c r="U349" s="32" t="n">
        <f>3067</f>
        <v>3067.0</v>
      </c>
      <c r="V349" s="32" t="n">
        <f>15754188515</f>
        <v>1.5754188515E10</v>
      </c>
      <c r="W349" s="32" t="n">
        <f>2256627515</f>
        <v>2.256627515E9</v>
      </c>
      <c r="X349" s="36" t="n">
        <f>20</f>
        <v>20.0</v>
      </c>
    </row>
    <row r="350">
      <c r="A350" s="27" t="s">
        <v>42</v>
      </c>
      <c r="B350" s="27" t="s">
        <v>1099</v>
      </c>
      <c r="C350" s="27" t="s">
        <v>1100</v>
      </c>
      <c r="D350" s="27" t="s">
        <v>1101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152600</f>
        <v>152600.0</v>
      </c>
      <c r="L350" s="34" t="s">
        <v>48</v>
      </c>
      <c r="M350" s="33" t="n">
        <f>157000</f>
        <v>157000.0</v>
      </c>
      <c r="N350" s="34" t="s">
        <v>72</v>
      </c>
      <c r="O350" s="33" t="n">
        <f>148300</f>
        <v>148300.0</v>
      </c>
      <c r="P350" s="34" t="s">
        <v>51</v>
      </c>
      <c r="Q350" s="33" t="n">
        <f>148300</f>
        <v>148300.0</v>
      </c>
      <c r="R350" s="34" t="s">
        <v>51</v>
      </c>
      <c r="S350" s="35" t="n">
        <f>151265</f>
        <v>151265.0</v>
      </c>
      <c r="T350" s="32" t="n">
        <f>33256</f>
        <v>33256.0</v>
      </c>
      <c r="U350" s="32" t="n">
        <f>6414</f>
        <v>6414.0</v>
      </c>
      <c r="V350" s="32" t="n">
        <f>5026500987</f>
        <v>5.026500987E9</v>
      </c>
      <c r="W350" s="32" t="n">
        <f>969004887</f>
        <v>9.69004887E8</v>
      </c>
      <c r="X350" s="36" t="n">
        <f>20</f>
        <v>20.0</v>
      </c>
    </row>
    <row r="351">
      <c r="A351" s="27" t="s">
        <v>42</v>
      </c>
      <c r="B351" s="27" t="s">
        <v>1102</v>
      </c>
      <c r="C351" s="27" t="s">
        <v>1103</v>
      </c>
      <c r="D351" s="27" t="s">
        <v>1104</v>
      </c>
      <c r="E351" s="28" t="s">
        <v>46</v>
      </c>
      <c r="F351" s="29" t="s">
        <v>46</v>
      </c>
      <c r="G351" s="30" t="s">
        <v>46</v>
      </c>
      <c r="H351" s="31"/>
      <c r="I351" s="31" t="s">
        <v>600</v>
      </c>
      <c r="J351" s="32" t="n">
        <v>1.0</v>
      </c>
      <c r="K351" s="33" t="n">
        <f>238200</f>
        <v>238200.0</v>
      </c>
      <c r="L351" s="34" t="s">
        <v>48</v>
      </c>
      <c r="M351" s="33" t="n">
        <f>244900</f>
        <v>244900.0</v>
      </c>
      <c r="N351" s="34" t="s">
        <v>72</v>
      </c>
      <c r="O351" s="33" t="n">
        <f>228800</f>
        <v>228800.0</v>
      </c>
      <c r="P351" s="34" t="s">
        <v>50</v>
      </c>
      <c r="Q351" s="33" t="n">
        <f>233000</f>
        <v>233000.0</v>
      </c>
      <c r="R351" s="34" t="s">
        <v>51</v>
      </c>
      <c r="S351" s="35" t="n">
        <f>234725</f>
        <v>234725.0</v>
      </c>
      <c r="T351" s="32" t="n">
        <f>11796</f>
        <v>11796.0</v>
      </c>
      <c r="U351" s="32" t="n">
        <f>1343</f>
        <v>1343.0</v>
      </c>
      <c r="V351" s="32" t="n">
        <f>2774645143</f>
        <v>2.774645143E9</v>
      </c>
      <c r="W351" s="32" t="n">
        <f>315469543</f>
        <v>3.15469543E8</v>
      </c>
      <c r="X351" s="36" t="n">
        <f>20</f>
        <v>20.0</v>
      </c>
    </row>
    <row r="352">
      <c r="A352" s="27" t="s">
        <v>42</v>
      </c>
      <c r="B352" s="27" t="s">
        <v>1105</v>
      </c>
      <c r="C352" s="27" t="s">
        <v>1106</v>
      </c>
      <c r="D352" s="27" t="s">
        <v>1107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326000</f>
        <v>326000.0</v>
      </c>
      <c r="L352" s="34" t="s">
        <v>48</v>
      </c>
      <c r="M352" s="33" t="n">
        <f>344000</f>
        <v>344000.0</v>
      </c>
      <c r="N352" s="34" t="s">
        <v>72</v>
      </c>
      <c r="O352" s="33" t="n">
        <f>311000</f>
        <v>311000.0</v>
      </c>
      <c r="P352" s="34" t="s">
        <v>264</v>
      </c>
      <c r="Q352" s="33" t="n">
        <f>315000</f>
        <v>315000.0</v>
      </c>
      <c r="R352" s="34" t="s">
        <v>51</v>
      </c>
      <c r="S352" s="35" t="n">
        <f>322425</f>
        <v>322425.0</v>
      </c>
      <c r="T352" s="32" t="n">
        <f>144398</f>
        <v>144398.0</v>
      </c>
      <c r="U352" s="32" t="n">
        <f>30568</f>
        <v>30568.0</v>
      </c>
      <c r="V352" s="32" t="n">
        <f>46569687869</f>
        <v>4.6569687869E10</v>
      </c>
      <c r="W352" s="32" t="n">
        <f>9851449369</f>
        <v>9.851449369E9</v>
      </c>
      <c r="X352" s="36" t="n">
        <f>20</f>
        <v>20.0</v>
      </c>
    </row>
    <row r="353">
      <c r="A353" s="27" t="s">
        <v>42</v>
      </c>
      <c r="B353" s="27" t="s">
        <v>1108</v>
      </c>
      <c r="C353" s="27" t="s">
        <v>1109</v>
      </c>
      <c r="D353" s="27" t="s">
        <v>1110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62100</f>
        <v>62100.0</v>
      </c>
      <c r="L353" s="34" t="s">
        <v>48</v>
      </c>
      <c r="M353" s="33" t="n">
        <f>68700</f>
        <v>68700.0</v>
      </c>
      <c r="N353" s="34" t="s">
        <v>62</v>
      </c>
      <c r="O353" s="33" t="n">
        <f>61400</f>
        <v>61400.0</v>
      </c>
      <c r="P353" s="34" t="s">
        <v>48</v>
      </c>
      <c r="Q353" s="33" t="n">
        <f>66100</f>
        <v>66100.0</v>
      </c>
      <c r="R353" s="34" t="s">
        <v>51</v>
      </c>
      <c r="S353" s="35" t="n">
        <f>65580</f>
        <v>65580.0</v>
      </c>
      <c r="T353" s="32" t="n">
        <f>441505</f>
        <v>441505.0</v>
      </c>
      <c r="U353" s="32" t="n">
        <f>93964</f>
        <v>93964.0</v>
      </c>
      <c r="V353" s="32" t="n">
        <f>28946389832</f>
        <v>2.8946389832E10</v>
      </c>
      <c r="W353" s="32" t="n">
        <f>6164638132</f>
        <v>6.164638132E9</v>
      </c>
      <c r="X353" s="36" t="n">
        <f>20</f>
        <v>20.0</v>
      </c>
    </row>
    <row r="354">
      <c r="A354" s="27" t="s">
        <v>42</v>
      </c>
      <c r="B354" s="27" t="s">
        <v>1111</v>
      </c>
      <c r="C354" s="27" t="s">
        <v>1112</v>
      </c>
      <c r="D354" s="27" t="s">
        <v>1113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111700</f>
        <v>111700.0</v>
      </c>
      <c r="L354" s="34" t="s">
        <v>48</v>
      </c>
      <c r="M354" s="33" t="n">
        <f>116600</f>
        <v>116600.0</v>
      </c>
      <c r="N354" s="34" t="s">
        <v>226</v>
      </c>
      <c r="O354" s="33" t="n">
        <f>109300</f>
        <v>109300.0</v>
      </c>
      <c r="P354" s="34" t="s">
        <v>48</v>
      </c>
      <c r="Q354" s="33" t="n">
        <f>114700</f>
        <v>114700.0</v>
      </c>
      <c r="R354" s="34" t="s">
        <v>51</v>
      </c>
      <c r="S354" s="35" t="n">
        <f>114090</f>
        <v>114090.0</v>
      </c>
      <c r="T354" s="32" t="n">
        <f>117320</f>
        <v>117320.0</v>
      </c>
      <c r="U354" s="32" t="n">
        <f>21548</f>
        <v>21548.0</v>
      </c>
      <c r="V354" s="32" t="n">
        <f>13371573092</f>
        <v>1.3371573092E10</v>
      </c>
      <c r="W354" s="32" t="n">
        <f>2456231392</f>
        <v>2.456231392E9</v>
      </c>
      <c r="X354" s="36" t="n">
        <f>20</f>
        <v>20.0</v>
      </c>
    </row>
    <row r="355">
      <c r="A355" s="27" t="s">
        <v>42</v>
      </c>
      <c r="B355" s="27" t="s">
        <v>1114</v>
      </c>
      <c r="C355" s="27" t="s">
        <v>1115</v>
      </c>
      <c r="D355" s="27" t="s">
        <v>1116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134800</f>
        <v>134800.0</v>
      </c>
      <c r="L355" s="34" t="s">
        <v>48</v>
      </c>
      <c r="M355" s="33" t="n">
        <f>138600</f>
        <v>138600.0</v>
      </c>
      <c r="N355" s="34" t="s">
        <v>72</v>
      </c>
      <c r="O355" s="33" t="n">
        <f>127600</f>
        <v>127600.0</v>
      </c>
      <c r="P355" s="34" t="s">
        <v>51</v>
      </c>
      <c r="Q355" s="33" t="n">
        <f>127600</f>
        <v>127600.0</v>
      </c>
      <c r="R355" s="34" t="s">
        <v>51</v>
      </c>
      <c r="S355" s="35" t="n">
        <f>132215</f>
        <v>132215.0</v>
      </c>
      <c r="T355" s="32" t="n">
        <f>79975</f>
        <v>79975.0</v>
      </c>
      <c r="U355" s="32" t="n">
        <f>15561</f>
        <v>15561.0</v>
      </c>
      <c r="V355" s="32" t="n">
        <f>10553451916</f>
        <v>1.0553451916E10</v>
      </c>
      <c r="W355" s="32" t="n">
        <f>2050863816</f>
        <v>2.050863816E9</v>
      </c>
      <c r="X355" s="36" t="n">
        <f>20</f>
        <v>20.0</v>
      </c>
    </row>
    <row r="356">
      <c r="A356" s="27" t="s">
        <v>42</v>
      </c>
      <c r="B356" s="27" t="s">
        <v>1117</v>
      </c>
      <c r="C356" s="27" t="s">
        <v>1118</v>
      </c>
      <c r="D356" s="27" t="s">
        <v>1119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1.0</v>
      </c>
      <c r="K356" s="33" t="n">
        <f>111000</f>
        <v>111000.0</v>
      </c>
      <c r="L356" s="34" t="s">
        <v>48</v>
      </c>
      <c r="M356" s="33" t="n">
        <f>112200</f>
        <v>112200.0</v>
      </c>
      <c r="N356" s="34" t="s">
        <v>73</v>
      </c>
      <c r="O356" s="33" t="n">
        <f>110200</f>
        <v>110200.0</v>
      </c>
      <c r="P356" s="34" t="s">
        <v>92</v>
      </c>
      <c r="Q356" s="33" t="n">
        <f>110500</f>
        <v>110500.0</v>
      </c>
      <c r="R356" s="34" t="s">
        <v>51</v>
      </c>
      <c r="S356" s="35" t="n">
        <f>110940</f>
        <v>110940.0</v>
      </c>
      <c r="T356" s="32" t="n">
        <f>12126</f>
        <v>12126.0</v>
      </c>
      <c r="U356" s="32" t="n">
        <f>834</f>
        <v>834.0</v>
      </c>
      <c r="V356" s="32" t="n">
        <f>1345586229</f>
        <v>1.345586229E9</v>
      </c>
      <c r="W356" s="32" t="n">
        <f>92592129</f>
        <v>9.2592129E7</v>
      </c>
      <c r="X356" s="36" t="n">
        <f>20</f>
        <v>20.0</v>
      </c>
    </row>
    <row r="357">
      <c r="A357" s="27" t="s">
        <v>42</v>
      </c>
      <c r="B357" s="27" t="s">
        <v>1120</v>
      </c>
      <c r="C357" s="27" t="s">
        <v>1121</v>
      </c>
      <c r="D357" s="27" t="s">
        <v>1122</v>
      </c>
      <c r="E357" s="28" t="s">
        <v>46</v>
      </c>
      <c r="F357" s="29" t="s">
        <v>46</v>
      </c>
      <c r="G357" s="30" t="s">
        <v>46</v>
      </c>
      <c r="H357" s="31"/>
      <c r="I357" s="31" t="s">
        <v>600</v>
      </c>
      <c r="J357" s="32" t="n">
        <v>1.0</v>
      </c>
      <c r="K357" s="33" t="n">
        <f>68800</f>
        <v>68800.0</v>
      </c>
      <c r="L357" s="34" t="s">
        <v>48</v>
      </c>
      <c r="M357" s="33" t="n">
        <f>71000</f>
        <v>71000.0</v>
      </c>
      <c r="N357" s="34" t="s">
        <v>51</v>
      </c>
      <c r="O357" s="33" t="n">
        <f>68400</f>
        <v>68400.0</v>
      </c>
      <c r="P357" s="34" t="s">
        <v>167</v>
      </c>
      <c r="Q357" s="33" t="n">
        <f>71000</f>
        <v>71000.0</v>
      </c>
      <c r="R357" s="34" t="s">
        <v>51</v>
      </c>
      <c r="S357" s="35" t="n">
        <f>69415</f>
        <v>69415.0</v>
      </c>
      <c r="T357" s="32" t="n">
        <f>1814</f>
        <v>1814.0</v>
      </c>
      <c r="U357" s="32" t="n">
        <f>12</f>
        <v>12.0</v>
      </c>
      <c r="V357" s="32" t="n">
        <f>125661300</f>
        <v>1.256613E8</v>
      </c>
      <c r="W357" s="32" t="n">
        <f>831500</f>
        <v>831500.0</v>
      </c>
      <c r="X357" s="36" t="n">
        <f>20</f>
        <v>20.0</v>
      </c>
    </row>
    <row r="358">
      <c r="A358" s="27" t="s">
        <v>42</v>
      </c>
      <c r="B358" s="27" t="s">
        <v>1123</v>
      </c>
      <c r="C358" s="27" t="s">
        <v>1124</v>
      </c>
      <c r="D358" s="27" t="s">
        <v>1125</v>
      </c>
      <c r="E358" s="28" t="s">
        <v>46</v>
      </c>
      <c r="F358" s="29" t="s">
        <v>46</v>
      </c>
      <c r="G358" s="30" t="s">
        <v>46</v>
      </c>
      <c r="H358" s="31"/>
      <c r="I358" s="31" t="s">
        <v>600</v>
      </c>
      <c r="J358" s="32" t="n">
        <v>1.0</v>
      </c>
      <c r="K358" s="33" t="n">
        <f>102500</f>
        <v>102500.0</v>
      </c>
      <c r="L358" s="34" t="s">
        <v>48</v>
      </c>
      <c r="M358" s="33" t="n">
        <f>104700</f>
        <v>104700.0</v>
      </c>
      <c r="N358" s="34" t="s">
        <v>167</v>
      </c>
      <c r="O358" s="33" t="n">
        <f>101900</f>
        <v>101900.0</v>
      </c>
      <c r="P358" s="34" t="s">
        <v>48</v>
      </c>
      <c r="Q358" s="33" t="n">
        <f>103800</f>
        <v>103800.0</v>
      </c>
      <c r="R358" s="34" t="s">
        <v>51</v>
      </c>
      <c r="S358" s="35" t="n">
        <f>103500</f>
        <v>103500.0</v>
      </c>
      <c r="T358" s="32" t="n">
        <f>4025</f>
        <v>4025.0</v>
      </c>
      <c r="U358" s="32" t="n">
        <f>245</f>
        <v>245.0</v>
      </c>
      <c r="V358" s="32" t="n">
        <f>415708359</f>
        <v>4.15708359E8</v>
      </c>
      <c r="W358" s="32" t="n">
        <f>25029659</f>
        <v>2.5029659E7</v>
      </c>
      <c r="X358" s="36" t="n">
        <f>20</f>
        <v>20.0</v>
      </c>
    </row>
    <row r="359">
      <c r="A359" s="27" t="s">
        <v>42</v>
      </c>
      <c r="B359" s="27" t="s">
        <v>1126</v>
      </c>
      <c r="C359" s="27" t="s">
        <v>1127</v>
      </c>
      <c r="D359" s="27" t="s">
        <v>1128</v>
      </c>
      <c r="E359" s="28" t="s">
        <v>46</v>
      </c>
      <c r="F359" s="29" t="s">
        <v>46</v>
      </c>
      <c r="G359" s="30" t="s">
        <v>46</v>
      </c>
      <c r="H359" s="31"/>
      <c r="I359" s="31" t="s">
        <v>600</v>
      </c>
      <c r="J359" s="32" t="n">
        <v>1.0</v>
      </c>
      <c r="K359" s="33" t="n">
        <f>122000</f>
        <v>122000.0</v>
      </c>
      <c r="L359" s="34" t="s">
        <v>48</v>
      </c>
      <c r="M359" s="33" t="n">
        <f>123300</f>
        <v>123300.0</v>
      </c>
      <c r="N359" s="34" t="s">
        <v>51</v>
      </c>
      <c r="O359" s="33" t="n">
        <f>120000</f>
        <v>120000.0</v>
      </c>
      <c r="P359" s="34" t="s">
        <v>91</v>
      </c>
      <c r="Q359" s="33" t="n">
        <f>123300</f>
        <v>123300.0</v>
      </c>
      <c r="R359" s="34" t="s">
        <v>51</v>
      </c>
      <c r="S359" s="35" t="n">
        <f>121415</f>
        <v>121415.0</v>
      </c>
      <c r="T359" s="32" t="n">
        <f>6784</f>
        <v>6784.0</v>
      </c>
      <c r="U359" s="32" t="n">
        <f>343</f>
        <v>343.0</v>
      </c>
      <c r="V359" s="32" t="n">
        <f>822983202</f>
        <v>8.22983202E8</v>
      </c>
      <c r="W359" s="32" t="n">
        <f>40989402</f>
        <v>4.0989402E7</v>
      </c>
      <c r="X359" s="36" t="n">
        <f>20</f>
        <v>20.0</v>
      </c>
    </row>
    <row r="360">
      <c r="A360" s="27" t="s">
        <v>42</v>
      </c>
      <c r="B360" s="27" t="s">
        <v>1129</v>
      </c>
      <c r="C360" s="27" t="s">
        <v>1130</v>
      </c>
      <c r="D360" s="27" t="s">
        <v>1131</v>
      </c>
      <c r="E360" s="28" t="s">
        <v>46</v>
      </c>
      <c r="F360" s="29" t="s">
        <v>46</v>
      </c>
      <c r="G360" s="30" t="s">
        <v>46</v>
      </c>
      <c r="H360" s="31"/>
      <c r="I360" s="31" t="s">
        <v>600</v>
      </c>
      <c r="J360" s="32" t="n">
        <v>1.0</v>
      </c>
      <c r="K360" s="33" t="n">
        <f>95000</f>
        <v>95000.0</v>
      </c>
      <c r="L360" s="34" t="s">
        <v>48</v>
      </c>
      <c r="M360" s="33" t="n">
        <f>96300</f>
        <v>96300.0</v>
      </c>
      <c r="N360" s="34" t="s">
        <v>264</v>
      </c>
      <c r="O360" s="33" t="n">
        <f>94700</f>
        <v>94700.0</v>
      </c>
      <c r="P360" s="34" t="s">
        <v>48</v>
      </c>
      <c r="Q360" s="33" t="n">
        <f>95900</f>
        <v>95900.0</v>
      </c>
      <c r="R360" s="34" t="s">
        <v>51</v>
      </c>
      <c r="S360" s="35" t="n">
        <f>95645</f>
        <v>95645.0</v>
      </c>
      <c r="T360" s="32" t="n">
        <f>1655</f>
        <v>1655.0</v>
      </c>
      <c r="U360" s="32" t="n">
        <f>7</f>
        <v>7.0</v>
      </c>
      <c r="V360" s="32" t="n">
        <f>158226800</f>
        <v>1.582268E8</v>
      </c>
      <c r="W360" s="32" t="n">
        <f>669700</f>
        <v>669700.0</v>
      </c>
      <c r="X360" s="36" t="n">
        <f>20</f>
        <v>20.0</v>
      </c>
    </row>
    <row r="361">
      <c r="A361" s="27" t="s">
        <v>42</v>
      </c>
      <c r="B361" s="27" t="s">
        <v>1132</v>
      </c>
      <c r="C361" s="27" t="s">
        <v>1133</v>
      </c>
      <c r="D361" s="27" t="s">
        <v>1134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90600</f>
        <v>90600.0</v>
      </c>
      <c r="L361" s="34" t="s">
        <v>48</v>
      </c>
      <c r="M361" s="33" t="n">
        <f>91900</f>
        <v>91900.0</v>
      </c>
      <c r="N361" s="34" t="s">
        <v>91</v>
      </c>
      <c r="O361" s="33" t="n">
        <f>90400</f>
        <v>90400.0</v>
      </c>
      <c r="P361" s="34" t="s">
        <v>48</v>
      </c>
      <c r="Q361" s="33" t="n">
        <f>91300</f>
        <v>91300.0</v>
      </c>
      <c r="R361" s="34" t="s">
        <v>51</v>
      </c>
      <c r="S361" s="35" t="n">
        <f>91350</f>
        <v>91350.0</v>
      </c>
      <c r="T361" s="32" t="n">
        <f>13515</f>
        <v>13515.0</v>
      </c>
      <c r="U361" s="32" t="n">
        <f>313</f>
        <v>313.0</v>
      </c>
      <c r="V361" s="32" t="n">
        <f>1232431350</f>
        <v>1.23243135E9</v>
      </c>
      <c r="W361" s="32" t="n">
        <f>28232750</f>
        <v>2.823275E7</v>
      </c>
      <c r="X361" s="36" t="n">
        <f>20</f>
        <v>20.0</v>
      </c>
    </row>
    <row r="362">
      <c r="A362" s="27" t="s">
        <v>42</v>
      </c>
      <c r="B362" s="27" t="s">
        <v>1135</v>
      </c>
      <c r="C362" s="27" t="s">
        <v>1136</v>
      </c>
      <c r="D362" s="27" t="s">
        <v>1137</v>
      </c>
      <c r="E362" s="28" t="s">
        <v>46</v>
      </c>
      <c r="F362" s="29" t="s">
        <v>46</v>
      </c>
      <c r="G362" s="30" t="s">
        <v>46</v>
      </c>
      <c r="H362" s="31"/>
      <c r="I362" s="31" t="s">
        <v>600</v>
      </c>
      <c r="J362" s="32" t="n">
        <v>1.0</v>
      </c>
      <c r="K362" s="33" t="n">
        <f>91800</f>
        <v>91800.0</v>
      </c>
      <c r="L362" s="34" t="s">
        <v>48</v>
      </c>
      <c r="M362" s="33" t="n">
        <f>92400</f>
        <v>92400.0</v>
      </c>
      <c r="N362" s="34" t="s">
        <v>72</v>
      </c>
      <c r="O362" s="33" t="n">
        <f>89600</f>
        <v>89600.0</v>
      </c>
      <c r="P362" s="34" t="s">
        <v>49</v>
      </c>
      <c r="Q362" s="33" t="n">
        <f>91200</f>
        <v>91200.0</v>
      </c>
      <c r="R362" s="34" t="s">
        <v>51</v>
      </c>
      <c r="S362" s="35" t="n">
        <f>91415</f>
        <v>91415.0</v>
      </c>
      <c r="T362" s="32" t="n">
        <f>9679</f>
        <v>9679.0</v>
      </c>
      <c r="U362" s="32" t="n">
        <f>636</f>
        <v>636.0</v>
      </c>
      <c r="V362" s="32" t="n">
        <f>883542240</f>
        <v>8.8354224E8</v>
      </c>
      <c r="W362" s="32" t="n">
        <f>57498440</f>
        <v>5.749844E7</v>
      </c>
      <c r="X362" s="36" t="n">
        <f>20</f>
        <v>20.0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