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<sst xmlns="http://schemas.openxmlformats.org/spreadsheetml/2006/main" count="4344" uniqueCount="1143">
  <si>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</si>
  <si>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</si>
  <si>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</si>
  <si>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</si>
  <si>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</si>
  <si>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</si>
  <si>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</si>
  <si>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</si>
  <si>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</si>
  <si>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</si>
  <si>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</si>
  <si>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</si>
  <si>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</si>
  <si>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</si>
  <si>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</si>
  <si>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</si>
  <si>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</si>
  <si>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</si>
  <si>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</si>
  <si>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</si>
  <si>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</si>
  <si>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</si>
  <si>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</si>
  <si>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</si>
  <si>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</si>
  <si>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</si>
  <si>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</si>
  <si>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</si>
  <si>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</si>
  <si>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</si>
  <si>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</si>
  <si>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</si>
  <si>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</si>
  <si>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</si>
  <si>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</si>
  <si>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</si>
  <si>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</si>
  <si>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</si>
  <si>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</si>
  <si>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</si>
  <si>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</si>
  <si>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</si>
  <si>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2022/05</t>
  </si>
  <si>
    <t>1305</t>
  </si>
  <si>
    <t>ダイワ上場投信－トピックス　受益証券</t>
  </si>
  <si>
    <t>Daiwa ETF-TOPIX</t>
  </si>
  <si>
    <t/>
  </si>
  <si>
    <t>貸借</t>
  </si>
  <si>
    <t>2</t>
  </si>
  <si>
    <t>30</t>
  </si>
  <si>
    <t>12</t>
  </si>
  <si>
    <t>31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</si>
  <si>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</si>
  <si>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</si>
  <si>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</si>
  <si>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</si>
  <si>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</si>
  <si>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</si>
  <si>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</si>
  <si>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</si>
  <si>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</si>
  <si>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18</t>
  </si>
  <si>
    <t>10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</si>
  <si>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</si>
  <si>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</si>
  <si>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</si>
  <si>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</si>
  <si>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</si>
  <si>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</si>
  <si>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19</t>
  </si>
  <si>
    <t>1313</t>
  </si>
  <si>
    <t>サムスンＫＯＤＥＸ２００証券上場指数投資信託[株式]　受益証券</t>
  </si>
  <si>
    <t>SAMSUNG KODEX200 SECURITIES EXCHANGE TRADED FUND [STOCK]</t>
  </si>
  <si>
    <t>6</t>
  </si>
  <si>
    <t>27</t>
  </si>
  <si>
    <t>1319</t>
  </si>
  <si>
    <t>ＮＥＸＴ　ＦＵＮＤＳ　日経３００株価指数連動型上場投信　受益証券</t>
  </si>
  <si>
    <t>NEXT FUNDS Nikkei 300 Index Exchange Traded Fund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</si>
  <si>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</si>
  <si>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</si>
  <si>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</si>
  <si>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</si>
  <si>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</si>
  <si>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</si>
  <si>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</si>
  <si>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</si>
  <si>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</si>
  <si>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</si>
  <si>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</si>
  <si>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</si>
  <si>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確</t>
  </si>
  <si>
    <t>11</t>
  </si>
  <si>
    <t>1324</t>
  </si>
  <si>
    <t>ＮＥＸＴ　ＦＵＮＤＳ　ロシア株式指数・ＲＴＳ連動型上場投信　受益証券</t>
  </si>
  <si>
    <t>NEXT FUNDS Russia RTS Linked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</si>
  <si>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</si>
  <si>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</si>
  <si>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</si>
  <si>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</si>
  <si>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</si>
  <si>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</si>
  <si>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</si>
  <si>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</si>
  <si>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</si>
  <si>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</si>
  <si>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</si>
  <si>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</si>
  <si>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</si>
  <si>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</si>
  <si>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</si>
  <si>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</si>
  <si>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</si>
  <si>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</si>
  <si>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</si>
  <si>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</si>
  <si>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</si>
  <si>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</si>
  <si>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</si>
  <si>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</si>
  <si>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</si>
  <si>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</si>
  <si>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</si>
  <si>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</si>
  <si>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</si>
  <si>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</si>
  <si>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23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</si>
  <si>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</si>
  <si>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</si>
  <si>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</si>
  <si>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</si>
  <si>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</si>
  <si>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</si>
  <si>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</si>
  <si>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</si>
  <si>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</si>
  <si>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</si>
  <si>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</si>
  <si>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</si>
  <si>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</si>
  <si>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</si>
  <si>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</si>
  <si>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</si>
  <si>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</si>
  <si>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</si>
  <si>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</si>
  <si>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</si>
  <si>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</si>
  <si>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</si>
  <si>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</si>
  <si>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</si>
  <si>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</si>
  <si>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</si>
  <si>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</si>
  <si>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</si>
  <si>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</si>
  <si>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</si>
  <si>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</si>
  <si>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</si>
  <si>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</si>
  <si>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</si>
  <si>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</si>
  <si>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</si>
  <si>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</si>
  <si>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</si>
  <si>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</si>
  <si>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</si>
  <si>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</si>
  <si>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</si>
  <si>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</si>
  <si>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</si>
  <si>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</si>
  <si>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</si>
  <si>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</si>
  <si>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</si>
  <si>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</si>
  <si>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16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</si>
  <si>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</si>
  <si>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</si>
  <si>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</si>
  <si>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</si>
  <si>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</si>
  <si>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</si>
  <si>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</si>
  <si>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</si>
  <si>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</si>
  <si>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</si>
  <si>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</si>
  <si>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</si>
  <si>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20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</si>
  <si>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</si>
  <si>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</si>
  <si>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</si>
  <si>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</si>
  <si>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</si>
  <si>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</si>
  <si>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</si>
  <si>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</si>
  <si>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</si>
  <si>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</si>
  <si>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</si>
  <si>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</si>
  <si>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</si>
  <si>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</si>
  <si>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</si>
  <si>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</si>
  <si>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</si>
  <si>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</si>
  <si>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</si>
  <si>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</si>
  <si>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</si>
  <si>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</si>
  <si>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</si>
  <si>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</si>
  <si>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</si>
  <si>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</si>
  <si>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</si>
  <si>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</si>
  <si>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</si>
  <si>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</si>
  <si>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</si>
  <si>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</si>
  <si>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</si>
  <si>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</si>
  <si>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</si>
  <si>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</si>
  <si>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9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</si>
  <si>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</si>
  <si>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</si>
  <si>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</si>
  <si>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</si>
  <si>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</si>
  <si>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</si>
  <si>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</si>
  <si>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</si>
  <si>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</si>
  <si>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</si>
  <si>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</si>
  <si>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</si>
  <si>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</si>
  <si>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</si>
  <si>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</si>
  <si>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</si>
  <si>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</si>
  <si>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</si>
  <si>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</si>
  <si>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</si>
  <si>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</si>
  <si>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</si>
  <si>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</si>
  <si>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</si>
  <si>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</si>
  <si>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</si>
  <si>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</si>
  <si>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</si>
  <si>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</si>
  <si>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</si>
  <si>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</si>
  <si>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</si>
  <si>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</si>
  <si>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</si>
  <si>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</si>
  <si>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</si>
  <si>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</si>
  <si>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</si>
  <si>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</si>
  <si>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</si>
  <si>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</si>
  <si>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</si>
  <si>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</si>
  <si>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</si>
  <si>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</si>
  <si>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</si>
  <si>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</si>
  <si>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</si>
  <si>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</si>
  <si>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</si>
  <si>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</si>
  <si>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25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</si>
  <si>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</si>
  <si>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</si>
  <si>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</si>
  <si>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</si>
  <si>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</si>
  <si>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</si>
  <si>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</si>
  <si>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</si>
  <si>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</si>
  <si>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</si>
  <si>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</si>
  <si>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</si>
  <si>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</si>
  <si>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</si>
  <si>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</si>
  <si>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</si>
  <si>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</si>
  <si>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</si>
  <si>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</si>
  <si>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</si>
  <si>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</si>
  <si>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</si>
  <si>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</si>
  <si>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</si>
  <si>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26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</si>
  <si>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</si>
  <si>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</si>
  <si>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</si>
  <si>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</si>
  <si>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</si>
  <si>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</si>
  <si>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</si>
  <si>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</si>
  <si>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</si>
  <si>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24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</si>
  <si>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</si>
  <si>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</si>
  <si>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</si>
  <si>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</si>
  <si>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</si>
  <si>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</si>
  <si>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</si>
  <si>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</si>
  <si>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</si>
  <si>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</si>
  <si>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</si>
  <si>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</si>
  <si>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</si>
  <si>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</si>
  <si>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</si>
  <si>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</si>
  <si>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</si>
  <si>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</si>
  <si>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</si>
  <si>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</si>
  <si>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</si>
  <si>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</si>
  <si>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</si>
  <si>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</si>
  <si>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</si>
  <si>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</si>
  <si>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</si>
  <si>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</si>
  <si>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</si>
  <si>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</si>
  <si>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</si>
  <si>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</si>
  <si>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</si>
  <si>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</si>
  <si>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</si>
  <si>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</si>
  <si>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</si>
  <si>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</si>
  <si>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</si>
  <si>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</si>
  <si>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</si>
  <si>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</si>
  <si>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</si>
  <si>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</si>
  <si>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</si>
  <si>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</si>
  <si>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</si>
  <si>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</si>
  <si>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</si>
  <si>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</si>
  <si>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</si>
  <si>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</si>
  <si>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</si>
  <si>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</si>
  <si>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</si>
  <si>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</si>
  <si>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</si>
  <si>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</si>
  <si>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</si>
  <si>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</si>
  <si>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</si>
  <si>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</si>
  <si>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</si>
  <si>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</si>
  <si>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</si>
  <si>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</si>
  <si>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</si>
  <si>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</si>
  <si>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</si>
  <si>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1575</t>
  </si>
  <si>
    <t>ＣｈｉｎａＡＭＣ　ＣＳＩ　３００　Ｉｎｄｅｘ　ＥＴＦ－ＪＤＲ　受益証券</t>
  </si>
  <si>
    <t>ChinaAMC CSI 300 Index ETF-JDR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</si>
  <si>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</si>
  <si>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</si>
  <si>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</si>
  <si>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</si>
  <si>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</si>
  <si>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</si>
  <si>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</si>
  <si>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</si>
  <si>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</si>
  <si>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</si>
  <si>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</si>
  <si>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</si>
  <si>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</si>
  <si>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</si>
  <si>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</si>
  <si>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</si>
  <si>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</si>
  <si>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</si>
  <si>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</si>
  <si>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</si>
  <si>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</si>
  <si>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</si>
  <si>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</si>
  <si>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</si>
  <si>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</si>
  <si>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</si>
  <si>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</si>
  <si>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</si>
  <si>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</si>
  <si>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</si>
  <si>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</si>
  <si>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</si>
  <si>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</si>
  <si>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</si>
  <si>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</si>
  <si>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</si>
  <si>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</si>
  <si>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</si>
  <si>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</si>
  <si>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</si>
  <si>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</si>
  <si>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</si>
  <si>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</si>
  <si>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</si>
  <si>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</si>
  <si>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</si>
  <si>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</si>
  <si>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</si>
  <si>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</si>
  <si>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</si>
  <si>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</si>
  <si>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</si>
  <si>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</si>
  <si>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</si>
  <si>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</si>
  <si>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</si>
  <si>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</si>
  <si>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</si>
  <si>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</si>
  <si>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</si>
  <si>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</si>
  <si>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</si>
  <si>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</si>
  <si>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</si>
  <si>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</si>
  <si>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</si>
  <si>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</si>
  <si>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</si>
  <si>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</si>
  <si>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</si>
  <si>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</si>
  <si>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</si>
  <si>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</si>
  <si>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</si>
  <si>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</si>
  <si>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</si>
  <si>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</si>
  <si>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</si>
  <si>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</si>
  <si>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</si>
  <si>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</si>
  <si>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</si>
  <si>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</si>
  <si>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</si>
  <si>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</si>
  <si>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</si>
  <si>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</si>
  <si>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</si>
  <si>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</si>
  <si>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</si>
  <si>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</si>
  <si>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</si>
  <si>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</si>
  <si>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</si>
  <si>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</si>
  <si>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</si>
  <si>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</si>
  <si>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</si>
  <si>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</si>
  <si>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</si>
  <si>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</si>
  <si>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</si>
  <si>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</si>
  <si>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</si>
  <si>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</si>
  <si>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</si>
  <si>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</si>
  <si>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</si>
  <si>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</si>
  <si>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</si>
  <si>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</si>
  <si>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</si>
  <si>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</si>
  <si>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</si>
  <si>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</si>
  <si>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</si>
  <si>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</si>
  <si>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</si>
  <si>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</si>
  <si>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</si>
  <si>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</si>
  <si>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</si>
  <si>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</si>
  <si>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</si>
  <si>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</si>
  <si>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</si>
  <si>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</si>
  <si>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</si>
  <si>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</si>
  <si>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</si>
  <si>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</si>
  <si>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</si>
  <si>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</si>
  <si>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</si>
  <si>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</si>
  <si>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</si>
  <si>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</si>
  <si>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</si>
  <si>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</si>
  <si>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</si>
  <si>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</si>
  <si>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</si>
  <si>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</si>
  <si>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</si>
  <si>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</si>
  <si>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</si>
  <si>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</si>
  <si>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</si>
  <si>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</si>
  <si>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</si>
  <si>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</si>
  <si>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</si>
  <si>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</si>
  <si>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</si>
  <si>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</si>
  <si>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</si>
  <si>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</si>
  <si>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</si>
  <si>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</si>
  <si>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</si>
  <si>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</si>
  <si>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</si>
  <si>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</si>
  <si>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</si>
  <si>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</si>
  <si>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</si>
  <si>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</si>
  <si>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</si>
  <si>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</si>
  <si>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</si>
  <si>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</si>
  <si>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</si>
  <si>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</si>
  <si>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</si>
  <si>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</si>
  <si>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</si>
  <si>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</si>
  <si>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</si>
  <si>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</si>
  <si>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</si>
  <si>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</si>
  <si>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</si>
  <si>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</si>
  <si>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</si>
  <si>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</si>
  <si>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</si>
  <si>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</si>
  <si>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</si>
  <si>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</si>
  <si>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</si>
  <si>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</si>
  <si>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</si>
  <si>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</si>
  <si>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</si>
  <si>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</si>
  <si>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</si>
  <si>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</si>
  <si>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</si>
  <si>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</si>
  <si>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</si>
  <si>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</si>
  <si>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</si>
  <si>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</si>
  <si>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</si>
  <si>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</si>
  <si>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</si>
  <si>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</si>
  <si>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</si>
  <si>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</si>
  <si>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</si>
  <si>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</si>
  <si>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</si>
  <si>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</si>
  <si>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</si>
  <si>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</si>
  <si>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</si>
  <si>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</si>
  <si>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</si>
  <si>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</si>
  <si>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</si>
  <si>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</si>
  <si>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</si>
  <si>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</si>
  <si>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</si>
  <si>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</si>
  <si>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</si>
  <si>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</si>
  <si>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</si>
  <si>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</si>
  <si>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</si>
  <si>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</si>
  <si>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</si>
  <si>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</si>
  <si>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</si>
  <si>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</si>
  <si>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</si>
  <si>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</si>
  <si>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</si>
  <si>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</si>
  <si>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</si>
  <si>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</si>
  <si>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</si>
  <si>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</si>
  <si>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</si>
  <si>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</si>
  <si>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</si>
  <si>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</si>
  <si>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</si>
  <si>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</si>
  <si>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</si>
  <si>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</si>
  <si>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</si>
  <si>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</si>
  <si>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</si>
  <si>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</si>
  <si>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</si>
  <si>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17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</si>
  <si>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</si>
  <si>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</si>
  <si>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</si>
  <si>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</si>
  <si>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</si>
  <si>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</si>
  <si>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</si>
  <si>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</si>
  <si>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</si>
  <si>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</si>
  <si>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</si>
  <si>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</si>
  <si>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</si>
  <si>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</si>
  <si>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</si>
  <si>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</si>
  <si>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</si>
  <si>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</si>
  <si>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</si>
  <si>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</si>
  <si>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</si>
  <si>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</si>
  <si>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</si>
  <si>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</si>
  <si>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</si>
  <si>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</si>
  <si>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</si>
  <si>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</si>
  <si>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</si>
  <si>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</si>
  <si>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</si>
  <si>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</si>
  <si>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</si>
  <si>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</si>
  <si>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</si>
  <si>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</si>
  <si>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</si>
  <si>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</si>
  <si>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</si>
  <si>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</si>
  <si>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</si>
  <si>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</si>
  <si>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</si>
  <si>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</si>
  <si>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</si>
  <si>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</si>
  <si>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</si>
  <si>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</si>
  <si>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</si>
  <si>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</si>
  <si>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</si>
  <si>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</si>
  <si>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</si>
  <si>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</si>
  <si>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</si>
  <si>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</si>
  <si>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</si>
  <si>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</si>
  <si>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</si>
  <si>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</si>
  <si>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</si>
  <si>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</si>
  <si>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</si>
  <si>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</si>
  <si>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</si>
  <si>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</si>
  <si>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</si>
  <si>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</si>
  <si>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</si>
  <si>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</si>
  <si>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</si>
  <si>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</si>
  <si>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</si>
  <si>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</si>
  <si>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</si>
  <si>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</si>
  <si>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</si>
  <si>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</si>
  <si>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</si>
  <si>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</si>
  <si>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</si>
  <si>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</si>
  <si>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</si>
  <si>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</si>
  <si>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</si>
  <si>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</si>
  <si>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</si>
  <si>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</si>
  <si>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</si>
  <si>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</si>
  <si>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</si>
  <si>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</si>
  <si>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</si>
  <si>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</si>
  <si>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</si>
  <si>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</si>
  <si>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</si>
  <si>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</si>
  <si>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</si>
  <si>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</si>
  <si>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</si>
  <si>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</si>
  <si>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</si>
  <si>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</si>
  <si>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</si>
  <si>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</si>
  <si>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</si>
  <si>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</si>
  <si>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</si>
  <si>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</si>
  <si>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</si>
  <si>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</si>
  <si>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</si>
  <si>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</si>
  <si>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</si>
  <si>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</si>
  <si>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</si>
  <si>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</si>
  <si>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</si>
  <si>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</si>
  <si>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</si>
  <si>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</si>
  <si>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</si>
  <si>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</si>
  <si>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</si>
  <si>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</si>
  <si>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</si>
  <si>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</si>
  <si>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</si>
  <si>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</si>
  <si>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</si>
  <si>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</si>
  <si>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</si>
  <si>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</si>
  <si>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</si>
  <si>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</si>
  <si>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</si>
  <si>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</si>
  <si>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</si>
  <si>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</si>
  <si>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</si>
  <si>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</si>
  <si>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</si>
  <si>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</si>
  <si>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</si>
  <si>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</si>
  <si>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</si>
  <si>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</si>
  <si>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</si>
  <si>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</si>
  <si>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</si>
  <si>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</si>
  <si>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</si>
  <si>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</si>
  <si>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</si>
  <si>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</si>
  <si>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</si>
  <si>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</si>
  <si>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</si>
  <si>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</si>
  <si>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</si>
  <si>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</si>
  <si>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</si>
  <si>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</si>
  <si>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</si>
  <si>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</si>
  <si>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</si>
  <si>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</si>
  <si>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</si>
  <si>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</si>
  <si>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</si>
  <si>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</si>
  <si>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</si>
  <si>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</si>
  <si>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</si>
  <si>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</si>
  <si>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</si>
  <si>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</si>
  <si>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</si>
  <si>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</si>
  <si>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</si>
  <si>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</si>
  <si>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</si>
  <si>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</si>
  <si>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</si>
  <si>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</si>
  <si>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</si>
  <si>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</si>
  <si>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</si>
  <si>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</si>
  <si>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</si>
  <si>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</si>
  <si>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</si>
  <si>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</si>
  <si>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</si>
  <si>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</si>
  <si>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</si>
  <si>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</si>
  <si>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</si>
  <si>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</si>
  <si>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</si>
  <si>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</si>
  <si>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</si>
  <si>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</si>
  <si>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</si>
  <si>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</si>
  <si>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</si>
  <si>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</si>
  <si>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</si>
  <si>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</si>
  <si>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</si>
  <si>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</si>
  <si>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</si>
  <si>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</si>
  <si>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</si>
  <si>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</si>
  <si>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</si>
  <si>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</si>
  <si>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</si>
  <si>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</si>
  <si>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</si>
  <si>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</si>
  <si>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</si>
  <si>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</si>
  <si>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</si>
  <si>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</si>
  <si>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</si>
  <si>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</si>
  <si>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</si>
  <si>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</si>
  <si>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</si>
  <si>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</si>
  <si>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</si>
  <si>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</si>
  <si>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</si>
  <si>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</si>
  <si>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</si>
  <si>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</si>
  <si>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</si>
  <si>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</si>
  <si>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</si>
  <si>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</si>
  <si>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</si>
  <si>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</si>
  <si>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</si>
  <si>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</si>
  <si>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</si>
  <si>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</si>
  <si>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</si>
  <si>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</si>
  <si>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</si>
  <si>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</si>
  <si>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</si>
  <si>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</si>
  <si>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</si>
  <si>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</si>
  <si>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</si>
  <si>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</si>
  <si>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</si>
  <si>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</si>
  <si>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</si>
  <si>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</si>
  <si>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</si>
  <si>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</si>
  <si>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</si>
  <si>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</si>
  <si>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</si>
  <si>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</si>
  <si>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</si>
  <si>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</si>
  <si>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</si>
  <si>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</si>
  <si>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</si>
  <si>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</si>
  <si>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</si>
  <si>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</si>
  <si>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</si>
  <si>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</si>
  <si>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</si>
  <si>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</si>
  <si>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</si>
  <si>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</si>
  <si>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</si>
  <si>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</si>
  <si>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</si>
  <si>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</si>
  <si>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</si>
  <si>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</si>
  <si>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2852</t>
  </si>
  <si>
    <t>ｉシェアーズ　グリーンＪリート　ＥＴＦ　受益証券</t>
  </si>
  <si>
    <t>iShares Japan Green REIT ETF</t>
  </si>
  <si>
    <t xml:space="preserve">新規上場  </t>
  </si>
  <si>
    <t xml:space="preserve">New Listing  </t>
  </si>
  <si>
    <t xml:space="preserve">2022/05/25  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</si>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</sst>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64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2021.5</f>
        <v>2021.5</v>
      </c>
      <c r="L7" s="34" t="s">
        <v>48</v>
      </c>
      <c r="M7" s="33" t="n">
        <f>2054.5</f>
        <v>2054.5</v>
      </c>
      <c r="N7" s="34" t="s">
        <v>49</v>
      </c>
      <c r="O7" s="33" t="n">
        <f>1945.5</f>
        <v>1945.5</v>
      </c>
      <c r="P7" s="34" t="s">
        <v>50</v>
      </c>
      <c r="Q7" s="33" t="n">
        <f>2039</f>
        <v>2039.0</v>
      </c>
      <c r="R7" s="34" t="s">
        <v>51</v>
      </c>
      <c r="S7" s="35" t="n">
        <f>2007.58</f>
        <v>2007.58</v>
      </c>
      <c r="T7" s="32" t="n">
        <f>7508800</f>
        <v>7508800.0</v>
      </c>
      <c r="U7" s="32" t="n">
        <f>2787490</f>
        <v>2787490.0</v>
      </c>
      <c r="V7" s="32" t="n">
        <f>14974180081</f>
        <v>1.4974180081E10</v>
      </c>
      <c r="W7" s="32" t="n">
        <f>5559228296</f>
        <v>5.559228296E9</v>
      </c>
      <c r="X7" s="36" t="n">
        <f>19</f>
        <v>19.0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2000.5</f>
        <v>2000.5</v>
      </c>
      <c r="L8" s="34" t="s">
        <v>48</v>
      </c>
      <c r="M8" s="33" t="n">
        <f>2031.5</f>
        <v>2031.5</v>
      </c>
      <c r="N8" s="34" t="s">
        <v>49</v>
      </c>
      <c r="O8" s="33" t="n">
        <f>1925.5</f>
        <v>1925.5</v>
      </c>
      <c r="P8" s="34" t="s">
        <v>50</v>
      </c>
      <c r="Q8" s="33" t="n">
        <f>2015</f>
        <v>2015.0</v>
      </c>
      <c r="R8" s="34" t="s">
        <v>51</v>
      </c>
      <c r="S8" s="35" t="n">
        <f>1981.26</f>
        <v>1981.26</v>
      </c>
      <c r="T8" s="32" t="n">
        <f>44694120</f>
        <v>4.469412E7</v>
      </c>
      <c r="U8" s="32" t="n">
        <f>3193660</f>
        <v>3193660.0</v>
      </c>
      <c r="V8" s="32" t="n">
        <f>88304317831</f>
        <v>8.8304317831E10</v>
      </c>
      <c r="W8" s="32" t="n">
        <f>6316127276</f>
        <v>6.316127276E9</v>
      </c>
      <c r="X8" s="36" t="n">
        <f>19</f>
        <v>19.0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1977.5</f>
        <v>1977.5</v>
      </c>
      <c r="L9" s="34" t="s">
        <v>48</v>
      </c>
      <c r="M9" s="33" t="n">
        <f>2008.5</f>
        <v>2008.5</v>
      </c>
      <c r="N9" s="34" t="s">
        <v>49</v>
      </c>
      <c r="O9" s="33" t="n">
        <f>1903</f>
        <v>1903.0</v>
      </c>
      <c r="P9" s="34" t="s">
        <v>50</v>
      </c>
      <c r="Q9" s="33" t="n">
        <f>1992.5</f>
        <v>1992.5</v>
      </c>
      <c r="R9" s="34" t="s">
        <v>51</v>
      </c>
      <c r="S9" s="35" t="n">
        <f>1958.29</f>
        <v>1958.29</v>
      </c>
      <c r="T9" s="32" t="n">
        <f>17486800</f>
        <v>1.74868E7</v>
      </c>
      <c r="U9" s="32" t="n">
        <f>1120600</f>
        <v>1120600.0</v>
      </c>
      <c r="V9" s="32" t="n">
        <f>34346766430</f>
        <v>3.434676643E10</v>
      </c>
      <c r="W9" s="32" t="n">
        <f>2233813580</f>
        <v>2.23381358E9</v>
      </c>
      <c r="X9" s="36" t="n">
        <f>19</f>
        <v>19.0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40490</f>
        <v>40490.0</v>
      </c>
      <c r="L10" s="34" t="s">
        <v>48</v>
      </c>
      <c r="M10" s="33" t="n">
        <f>40810</f>
        <v>40810.0</v>
      </c>
      <c r="N10" s="34" t="s">
        <v>61</v>
      </c>
      <c r="O10" s="33" t="n">
        <f>38410</f>
        <v>38410.0</v>
      </c>
      <c r="P10" s="34" t="s">
        <v>62</v>
      </c>
      <c r="Q10" s="33" t="n">
        <f>40780</f>
        <v>40780.0</v>
      </c>
      <c r="R10" s="34" t="s">
        <v>51</v>
      </c>
      <c r="S10" s="35" t="n">
        <f>39801.58</f>
        <v>39801.58</v>
      </c>
      <c r="T10" s="32" t="n">
        <f>3340</f>
        <v>3340.0</v>
      </c>
      <c r="U10" s="32" t="n">
        <f>4</f>
        <v>4.0</v>
      </c>
      <c r="V10" s="32" t="n">
        <f>132623940</f>
        <v>1.3262394E8</v>
      </c>
      <c r="W10" s="32" t="n">
        <f>160160</f>
        <v>160160.0</v>
      </c>
      <c r="X10" s="36" t="n">
        <f>19</f>
        <v>19.0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935</f>
        <v>935.0</v>
      </c>
      <c r="L11" s="34" t="s">
        <v>48</v>
      </c>
      <c r="M11" s="33" t="n">
        <f>953.7</f>
        <v>953.7</v>
      </c>
      <c r="N11" s="34" t="s">
        <v>51</v>
      </c>
      <c r="O11" s="33" t="n">
        <f>890.7</f>
        <v>890.7</v>
      </c>
      <c r="P11" s="34" t="s">
        <v>50</v>
      </c>
      <c r="Q11" s="33" t="n">
        <f>949.4</f>
        <v>949.4</v>
      </c>
      <c r="R11" s="34" t="s">
        <v>51</v>
      </c>
      <c r="S11" s="35" t="n">
        <f>924.29</f>
        <v>924.29</v>
      </c>
      <c r="T11" s="32" t="n">
        <f>92630</f>
        <v>92630.0</v>
      </c>
      <c r="U11" s="32" t="n">
        <f>10</f>
        <v>10.0</v>
      </c>
      <c r="V11" s="32" t="n">
        <f>85636661</f>
        <v>8.5636661E7</v>
      </c>
      <c r="W11" s="32" t="n">
        <f>8511</f>
        <v>8511.0</v>
      </c>
      <c r="X11" s="36" t="n">
        <f>19</f>
        <v>19.0</v>
      </c>
    </row>
    <row r="12">
      <c r="A12" s="27" t="s">
        <v>42</v>
      </c>
      <c r="B12" s="27" t="s">
        <v>66</v>
      </c>
      <c r="C12" s="27" t="s">
        <v>67</v>
      </c>
      <c r="D12" s="27" t="s">
        <v>68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18885</f>
        <v>18885.0</v>
      </c>
      <c r="L12" s="34" t="s">
        <v>48</v>
      </c>
      <c r="M12" s="33" t="n">
        <f>19530</f>
        <v>19530.0</v>
      </c>
      <c r="N12" s="34" t="s">
        <v>49</v>
      </c>
      <c r="O12" s="33" t="n">
        <f>18305</f>
        <v>18305.0</v>
      </c>
      <c r="P12" s="34" t="s">
        <v>69</v>
      </c>
      <c r="Q12" s="33" t="n">
        <f>18920</f>
        <v>18920.0</v>
      </c>
      <c r="R12" s="34" t="s">
        <v>51</v>
      </c>
      <c r="S12" s="35" t="n">
        <f>18830.88</f>
        <v>18830.88</v>
      </c>
      <c r="T12" s="32" t="n">
        <f>602</f>
        <v>602.0</v>
      </c>
      <c r="U12" s="32" t="str">
        <f>"－"</f>
        <v>－</v>
      </c>
      <c r="V12" s="32" t="n">
        <f>11359220</f>
        <v>1.135922E7</v>
      </c>
      <c r="W12" s="32" t="str">
        <f>"－"</f>
        <v>－</v>
      </c>
      <c r="X12" s="36" t="n">
        <f>17</f>
        <v>17.0</v>
      </c>
    </row>
    <row r="13">
      <c r="A13" s="27" t="s">
        <v>42</v>
      </c>
      <c r="B13" s="27" t="s">
        <v>70</v>
      </c>
      <c r="C13" s="27" t="s">
        <v>71</v>
      </c>
      <c r="D13" s="27" t="s">
        <v>72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3570</f>
        <v>3570.0</v>
      </c>
      <c r="L13" s="34" t="s">
        <v>48</v>
      </c>
      <c r="M13" s="33" t="n">
        <f>3949</f>
        <v>3949.0</v>
      </c>
      <c r="N13" s="34" t="s">
        <v>73</v>
      </c>
      <c r="O13" s="33" t="n">
        <f>3512</f>
        <v>3512.0</v>
      </c>
      <c r="P13" s="34" t="s">
        <v>48</v>
      </c>
      <c r="Q13" s="33" t="n">
        <f>3601</f>
        <v>3601.0</v>
      </c>
      <c r="R13" s="34" t="s">
        <v>74</v>
      </c>
      <c r="S13" s="35" t="n">
        <f>3689.2</f>
        <v>3689.2</v>
      </c>
      <c r="T13" s="32" t="n">
        <f>1010</f>
        <v>1010.0</v>
      </c>
      <c r="U13" s="32" t="str">
        <f>"－"</f>
        <v>－</v>
      </c>
      <c r="V13" s="32" t="n">
        <f>3693340</f>
        <v>3693340.0</v>
      </c>
      <c r="W13" s="32" t="str">
        <f>"－"</f>
        <v>－</v>
      </c>
      <c r="X13" s="36" t="n">
        <f>10</f>
        <v>10.0</v>
      </c>
    </row>
    <row r="14">
      <c r="A14" s="27" t="s">
        <v>42</v>
      </c>
      <c r="B14" s="27" t="s">
        <v>75</v>
      </c>
      <c r="C14" s="27" t="s">
        <v>76</v>
      </c>
      <c r="D14" s="27" t="s">
        <v>77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344.1</f>
        <v>344.1</v>
      </c>
      <c r="L14" s="34" t="s">
        <v>73</v>
      </c>
      <c r="M14" s="33" t="n">
        <f>355.7</f>
        <v>355.7</v>
      </c>
      <c r="N14" s="34" t="s">
        <v>49</v>
      </c>
      <c r="O14" s="33" t="n">
        <f>332</f>
        <v>332.0</v>
      </c>
      <c r="P14" s="34" t="s">
        <v>50</v>
      </c>
      <c r="Q14" s="33" t="n">
        <f>355.7</f>
        <v>355.7</v>
      </c>
      <c r="R14" s="34" t="s">
        <v>51</v>
      </c>
      <c r="S14" s="35" t="n">
        <f>343.46</f>
        <v>343.46</v>
      </c>
      <c r="T14" s="32" t="n">
        <f>63000</f>
        <v>63000.0</v>
      </c>
      <c r="U14" s="32" t="str">
        <f>"－"</f>
        <v>－</v>
      </c>
      <c r="V14" s="32" t="n">
        <f>21542800</f>
        <v>2.15428E7</v>
      </c>
      <c r="W14" s="32" t="str">
        <f>"－"</f>
        <v>－</v>
      </c>
      <c r="X14" s="36" t="n">
        <f>12</f>
        <v>12.0</v>
      </c>
    </row>
    <row r="15">
      <c r="A15" s="27" t="s">
        <v>42</v>
      </c>
      <c r="B15" s="27" t="s">
        <v>78</v>
      </c>
      <c r="C15" s="27" t="s">
        <v>79</v>
      </c>
      <c r="D15" s="27" t="s">
        <v>80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27790</f>
        <v>27790.0</v>
      </c>
      <c r="L15" s="34" t="s">
        <v>48</v>
      </c>
      <c r="M15" s="33" t="n">
        <f>28565</f>
        <v>28565.0</v>
      </c>
      <c r="N15" s="34" t="s">
        <v>51</v>
      </c>
      <c r="O15" s="33" t="n">
        <f>26710</f>
        <v>26710.0</v>
      </c>
      <c r="P15" s="34" t="s">
        <v>50</v>
      </c>
      <c r="Q15" s="33" t="n">
        <f>28380</f>
        <v>28380.0</v>
      </c>
      <c r="R15" s="34" t="s">
        <v>51</v>
      </c>
      <c r="S15" s="35" t="n">
        <f>27717.89</f>
        <v>27717.89</v>
      </c>
      <c r="T15" s="32" t="n">
        <f>2239200</f>
        <v>2239200.0</v>
      </c>
      <c r="U15" s="32" t="n">
        <f>1180664</f>
        <v>1180664.0</v>
      </c>
      <c r="V15" s="32" t="n">
        <f>61978381191</f>
        <v>6.1978381191E10</v>
      </c>
      <c r="W15" s="32" t="n">
        <f>32734709321</f>
        <v>3.2734709321E10</v>
      </c>
      <c r="X15" s="36" t="n">
        <f>19</f>
        <v>19.0</v>
      </c>
    </row>
    <row r="16">
      <c r="A16" s="27" t="s">
        <v>42</v>
      </c>
      <c r="B16" s="27" t="s">
        <v>81</v>
      </c>
      <c r="C16" s="27" t="s">
        <v>82</v>
      </c>
      <c r="D16" s="27" t="s">
        <v>83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27835</f>
        <v>27835.0</v>
      </c>
      <c r="L16" s="34" t="s">
        <v>48</v>
      </c>
      <c r="M16" s="33" t="n">
        <f>28630</f>
        <v>28630.0</v>
      </c>
      <c r="N16" s="34" t="s">
        <v>51</v>
      </c>
      <c r="O16" s="33" t="n">
        <f>26775</f>
        <v>26775.0</v>
      </c>
      <c r="P16" s="34" t="s">
        <v>50</v>
      </c>
      <c r="Q16" s="33" t="n">
        <f>28420</f>
        <v>28420.0</v>
      </c>
      <c r="R16" s="34" t="s">
        <v>51</v>
      </c>
      <c r="S16" s="35" t="n">
        <f>27775.53</f>
        <v>27775.53</v>
      </c>
      <c r="T16" s="32" t="n">
        <f>4801585</f>
        <v>4801585.0</v>
      </c>
      <c r="U16" s="32" t="n">
        <f>270435</f>
        <v>270435.0</v>
      </c>
      <c r="V16" s="32" t="n">
        <f>133191205850</f>
        <v>1.3319120585E11</v>
      </c>
      <c r="W16" s="32" t="n">
        <f>7464698345</f>
        <v>7.464698345E9</v>
      </c>
      <c r="X16" s="36" t="n">
        <f>19</f>
        <v>19.0</v>
      </c>
    </row>
    <row r="17">
      <c r="A17" s="27" t="s">
        <v>42</v>
      </c>
      <c r="B17" s="27" t="s">
        <v>84</v>
      </c>
      <c r="C17" s="27" t="s">
        <v>85</v>
      </c>
      <c r="D17" s="27" t="s">
        <v>86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7451</f>
        <v>7451.0</v>
      </c>
      <c r="L17" s="34" t="s">
        <v>48</v>
      </c>
      <c r="M17" s="33" t="n">
        <f>7830</f>
        <v>7830.0</v>
      </c>
      <c r="N17" s="34" t="s">
        <v>49</v>
      </c>
      <c r="O17" s="33" t="n">
        <f>7351</f>
        <v>7351.0</v>
      </c>
      <c r="P17" s="34" t="s">
        <v>48</v>
      </c>
      <c r="Q17" s="33" t="n">
        <f>7720</f>
        <v>7720.0</v>
      </c>
      <c r="R17" s="34" t="s">
        <v>51</v>
      </c>
      <c r="S17" s="35" t="n">
        <f>7573</f>
        <v>7573.0</v>
      </c>
      <c r="T17" s="32" t="n">
        <f>5260</f>
        <v>5260.0</v>
      </c>
      <c r="U17" s="32" t="n">
        <f>80</f>
        <v>80.0</v>
      </c>
      <c r="V17" s="32" t="n">
        <f>39871250</f>
        <v>3.987125E7</v>
      </c>
      <c r="W17" s="32" t="n">
        <f>606260</f>
        <v>606260.0</v>
      </c>
      <c r="X17" s="36" t="n">
        <f>19</f>
        <v>19.0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 t="s">
        <v>90</v>
      </c>
      <c r="I18" s="31" t="s">
        <v>47</v>
      </c>
      <c r="J18" s="32" t="n">
        <v>100.0</v>
      </c>
      <c r="K18" s="33" t="n">
        <f>563.5</f>
        <v>563.5</v>
      </c>
      <c r="L18" s="34" t="s">
        <v>48</v>
      </c>
      <c r="M18" s="33" t="n">
        <f>575</f>
        <v>575.0</v>
      </c>
      <c r="N18" s="34" t="s">
        <v>73</v>
      </c>
      <c r="O18" s="33" t="n">
        <f>495.1</f>
        <v>495.1</v>
      </c>
      <c r="P18" s="34" t="s">
        <v>91</v>
      </c>
      <c r="Q18" s="33" t="n">
        <f>555.1</f>
        <v>555.1</v>
      </c>
      <c r="R18" s="34" t="s">
        <v>51</v>
      </c>
      <c r="S18" s="35" t="n">
        <f>538.3</f>
        <v>538.3</v>
      </c>
      <c r="T18" s="32" t="n">
        <f>148500</f>
        <v>148500.0</v>
      </c>
      <c r="U18" s="32" t="str">
        <f>"－"</f>
        <v>－</v>
      </c>
      <c r="V18" s="32" t="n">
        <f>79061800</f>
        <v>7.90618E7</v>
      </c>
      <c r="W18" s="32" t="str">
        <f>"－"</f>
        <v>－</v>
      </c>
      <c r="X18" s="36" t="n">
        <f>19</f>
        <v>19.0</v>
      </c>
    </row>
    <row r="19">
      <c r="A19" s="27" t="s">
        <v>42</v>
      </c>
      <c r="B19" s="27" t="s">
        <v>92</v>
      </c>
      <c r="C19" s="27" t="s">
        <v>93</v>
      </c>
      <c r="D19" s="27" t="s">
        <v>94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str">
        <f>"－"</f>
        <v>－</v>
      </c>
      <c r="L19" s="34"/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5" t="str">
        <f>"－"</f>
        <v>－</v>
      </c>
      <c r="T19" s="32" t="str">
        <f>"－"</f>
        <v>－</v>
      </c>
      <c r="U19" s="32" t="str">
        <f>"－"</f>
        <v>－</v>
      </c>
      <c r="V19" s="32" t="str">
        <f>"－"</f>
        <v>－</v>
      </c>
      <c r="W19" s="32" t="str">
        <f>"－"</f>
        <v>－</v>
      </c>
      <c r="X19" s="36" t="str">
        <f>"－"</f>
        <v>－</v>
      </c>
    </row>
    <row r="20">
      <c r="A20" s="27" t="s">
        <v>42</v>
      </c>
      <c r="B20" s="27" t="s">
        <v>95</v>
      </c>
      <c r="C20" s="27" t="s">
        <v>96</v>
      </c>
      <c r="D20" s="27" t="s">
        <v>97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201.4</f>
        <v>201.4</v>
      </c>
      <c r="L20" s="34" t="s">
        <v>48</v>
      </c>
      <c r="M20" s="33" t="n">
        <f>230.7</f>
        <v>230.7</v>
      </c>
      <c r="N20" s="34" t="s">
        <v>48</v>
      </c>
      <c r="O20" s="33" t="n">
        <f>195.3</f>
        <v>195.3</v>
      </c>
      <c r="P20" s="34" t="s">
        <v>91</v>
      </c>
      <c r="Q20" s="33" t="n">
        <f>221</f>
        <v>221.0</v>
      </c>
      <c r="R20" s="34" t="s">
        <v>51</v>
      </c>
      <c r="S20" s="35" t="n">
        <f>209.87</f>
        <v>209.87</v>
      </c>
      <c r="T20" s="32" t="n">
        <f>776600</f>
        <v>776600.0</v>
      </c>
      <c r="U20" s="32" t="n">
        <f>100</f>
        <v>100.0</v>
      </c>
      <c r="V20" s="32" t="n">
        <f>165177630</f>
        <v>1.6517763E8</v>
      </c>
      <c r="W20" s="32" t="n">
        <f>21430</f>
        <v>21430.0</v>
      </c>
      <c r="X20" s="36" t="n">
        <f>19</f>
        <v>19.0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23020</f>
        <v>23020.0</v>
      </c>
      <c r="L21" s="34" t="s">
        <v>48</v>
      </c>
      <c r="M21" s="33" t="n">
        <f>23020</f>
        <v>23020.0</v>
      </c>
      <c r="N21" s="34" t="s">
        <v>48</v>
      </c>
      <c r="O21" s="33" t="n">
        <f>21665</f>
        <v>21665.0</v>
      </c>
      <c r="P21" s="34" t="s">
        <v>69</v>
      </c>
      <c r="Q21" s="33" t="n">
        <f>22095</f>
        <v>22095.0</v>
      </c>
      <c r="R21" s="34" t="s">
        <v>51</v>
      </c>
      <c r="S21" s="35" t="n">
        <f>22187.89</f>
        <v>22187.89</v>
      </c>
      <c r="T21" s="32" t="n">
        <f>185738</f>
        <v>185738.0</v>
      </c>
      <c r="U21" s="32" t="n">
        <f>8890</f>
        <v>8890.0</v>
      </c>
      <c r="V21" s="32" t="n">
        <f>4150231584</f>
        <v>4.150231584E9</v>
      </c>
      <c r="W21" s="32" t="n">
        <f>201003789</f>
        <v>2.01003789E8</v>
      </c>
      <c r="X21" s="36" t="n">
        <f>19</f>
        <v>19.0</v>
      </c>
    </row>
    <row r="22">
      <c r="A22" s="27" t="s">
        <v>42</v>
      </c>
      <c r="B22" s="27" t="s">
        <v>101</v>
      </c>
      <c r="C22" s="27" t="s">
        <v>102</v>
      </c>
      <c r="D22" s="27" t="s">
        <v>103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6209</f>
        <v>6209.0</v>
      </c>
      <c r="L22" s="34" t="s">
        <v>48</v>
      </c>
      <c r="M22" s="33" t="n">
        <f>6209</f>
        <v>6209.0</v>
      </c>
      <c r="N22" s="34" t="s">
        <v>48</v>
      </c>
      <c r="O22" s="33" t="n">
        <f>5829</f>
        <v>5829.0</v>
      </c>
      <c r="P22" s="34" t="s">
        <v>69</v>
      </c>
      <c r="Q22" s="33" t="n">
        <f>5940</f>
        <v>5940.0</v>
      </c>
      <c r="R22" s="34" t="s">
        <v>51</v>
      </c>
      <c r="S22" s="35" t="n">
        <f>5975.21</f>
        <v>5975.21</v>
      </c>
      <c r="T22" s="32" t="n">
        <f>281690</f>
        <v>281690.0</v>
      </c>
      <c r="U22" s="32" t="n">
        <f>4610</f>
        <v>4610.0</v>
      </c>
      <c r="V22" s="32" t="n">
        <f>1695031820</f>
        <v>1.69503182E9</v>
      </c>
      <c r="W22" s="32" t="n">
        <f>28333490</f>
        <v>2.833349E7</v>
      </c>
      <c r="X22" s="36" t="n">
        <f>19</f>
        <v>19.0</v>
      </c>
    </row>
    <row r="23">
      <c r="A23" s="27" t="s">
        <v>42</v>
      </c>
      <c r="B23" s="27" t="s">
        <v>104</v>
      </c>
      <c r="C23" s="27" t="s">
        <v>105</v>
      </c>
      <c r="D23" s="27" t="s">
        <v>106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1.0</v>
      </c>
      <c r="K23" s="33" t="n">
        <f>27760</f>
        <v>27760.0</v>
      </c>
      <c r="L23" s="34" t="s">
        <v>48</v>
      </c>
      <c r="M23" s="33" t="n">
        <f>28550</f>
        <v>28550.0</v>
      </c>
      <c r="N23" s="34" t="s">
        <v>51</v>
      </c>
      <c r="O23" s="33" t="n">
        <f>26690</f>
        <v>26690.0</v>
      </c>
      <c r="P23" s="34" t="s">
        <v>50</v>
      </c>
      <c r="Q23" s="33" t="n">
        <f>28335</f>
        <v>28335.0</v>
      </c>
      <c r="R23" s="34" t="s">
        <v>51</v>
      </c>
      <c r="S23" s="35" t="n">
        <f>27694.74</f>
        <v>27694.74</v>
      </c>
      <c r="T23" s="32" t="n">
        <f>979137</f>
        <v>979137.0</v>
      </c>
      <c r="U23" s="32" t="n">
        <f>617453</f>
        <v>617453.0</v>
      </c>
      <c r="V23" s="32" t="n">
        <f>27162723868</f>
        <v>2.7162723868E10</v>
      </c>
      <c r="W23" s="32" t="n">
        <f>17180137858</f>
        <v>1.7180137858E10</v>
      </c>
      <c r="X23" s="36" t="n">
        <f>19</f>
        <v>19.0</v>
      </c>
    </row>
    <row r="24">
      <c r="A24" s="27" t="s">
        <v>42</v>
      </c>
      <c r="B24" s="27" t="s">
        <v>107</v>
      </c>
      <c r="C24" s="27" t="s">
        <v>108</v>
      </c>
      <c r="D24" s="27" t="s">
        <v>109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10.0</v>
      </c>
      <c r="K24" s="33" t="n">
        <f>27875</f>
        <v>27875.0</v>
      </c>
      <c r="L24" s="34" t="s">
        <v>48</v>
      </c>
      <c r="M24" s="33" t="n">
        <f>28660</f>
        <v>28660.0</v>
      </c>
      <c r="N24" s="34" t="s">
        <v>51</v>
      </c>
      <c r="O24" s="33" t="n">
        <f>26800</f>
        <v>26800.0</v>
      </c>
      <c r="P24" s="34" t="s">
        <v>50</v>
      </c>
      <c r="Q24" s="33" t="n">
        <f>28450</f>
        <v>28450.0</v>
      </c>
      <c r="R24" s="34" t="s">
        <v>51</v>
      </c>
      <c r="S24" s="35" t="n">
        <f>27812.11</f>
        <v>27812.11</v>
      </c>
      <c r="T24" s="32" t="n">
        <f>703910</f>
        <v>703910.0</v>
      </c>
      <c r="U24" s="32" t="n">
        <f>93340</f>
        <v>93340.0</v>
      </c>
      <c r="V24" s="32" t="n">
        <f>19542793614</f>
        <v>1.9542793614E10</v>
      </c>
      <c r="W24" s="32" t="n">
        <f>2606869364</f>
        <v>2.606869364E9</v>
      </c>
      <c r="X24" s="36" t="n">
        <f>19</f>
        <v>19.0</v>
      </c>
    </row>
    <row r="25">
      <c r="A25" s="27" t="s">
        <v>42</v>
      </c>
      <c r="B25" s="27" t="s">
        <v>110</v>
      </c>
      <c r="C25" s="27" t="s">
        <v>111</v>
      </c>
      <c r="D25" s="27" t="s">
        <v>112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2139.5</f>
        <v>2139.5</v>
      </c>
      <c r="L25" s="34" t="s">
        <v>48</v>
      </c>
      <c r="M25" s="33" t="n">
        <f>2160</f>
        <v>2160.0</v>
      </c>
      <c r="N25" s="34" t="s">
        <v>48</v>
      </c>
      <c r="O25" s="33" t="n">
        <f>2062</f>
        <v>2062.0</v>
      </c>
      <c r="P25" s="34" t="s">
        <v>91</v>
      </c>
      <c r="Q25" s="33" t="n">
        <f>2146</f>
        <v>2146.0</v>
      </c>
      <c r="R25" s="34" t="s">
        <v>51</v>
      </c>
      <c r="S25" s="35" t="n">
        <f>2120.76</f>
        <v>2120.76</v>
      </c>
      <c r="T25" s="32" t="n">
        <f>6381940</f>
        <v>6381940.0</v>
      </c>
      <c r="U25" s="32" t="n">
        <f>1654350</f>
        <v>1654350.0</v>
      </c>
      <c r="V25" s="32" t="n">
        <f>13538873705</f>
        <v>1.3538873705E10</v>
      </c>
      <c r="W25" s="32" t="n">
        <f>3502419510</f>
        <v>3.50241951E9</v>
      </c>
      <c r="X25" s="36" t="n">
        <f>19</f>
        <v>19.0</v>
      </c>
    </row>
    <row r="26">
      <c r="A26" s="27" t="s">
        <v>42</v>
      </c>
      <c r="B26" s="27" t="s">
        <v>113</v>
      </c>
      <c r="C26" s="27" t="s">
        <v>114</v>
      </c>
      <c r="D26" s="27" t="s">
        <v>115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100.0</v>
      </c>
      <c r="K26" s="33" t="n">
        <f>2002.5</f>
        <v>2002.5</v>
      </c>
      <c r="L26" s="34" t="s">
        <v>48</v>
      </c>
      <c r="M26" s="33" t="n">
        <f>2028</f>
        <v>2028.0</v>
      </c>
      <c r="N26" s="34" t="s">
        <v>51</v>
      </c>
      <c r="O26" s="33" t="n">
        <f>1900</f>
        <v>1900.0</v>
      </c>
      <c r="P26" s="34" t="s">
        <v>48</v>
      </c>
      <c r="Q26" s="33" t="n">
        <f>2027</f>
        <v>2027.0</v>
      </c>
      <c r="R26" s="34" t="s">
        <v>51</v>
      </c>
      <c r="S26" s="35" t="n">
        <f>1999.16</f>
        <v>1999.16</v>
      </c>
      <c r="T26" s="32" t="n">
        <f>853500</f>
        <v>853500.0</v>
      </c>
      <c r="U26" s="32" t="n">
        <f>74900</f>
        <v>74900.0</v>
      </c>
      <c r="V26" s="32" t="n">
        <f>1696204169</f>
        <v>1.696204169E9</v>
      </c>
      <c r="W26" s="32" t="n">
        <f>150012269</f>
        <v>1.50012269E8</v>
      </c>
      <c r="X26" s="36" t="n">
        <f>19</f>
        <v>19.0</v>
      </c>
    </row>
    <row r="27">
      <c r="A27" s="27" t="s">
        <v>42</v>
      </c>
      <c r="B27" s="27" t="s">
        <v>116</v>
      </c>
      <c r="C27" s="27" t="s">
        <v>117</v>
      </c>
      <c r="D27" s="27" t="s">
        <v>118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1.0</v>
      </c>
      <c r="K27" s="33" t="n">
        <f>27775</f>
        <v>27775.0</v>
      </c>
      <c r="L27" s="34" t="s">
        <v>48</v>
      </c>
      <c r="M27" s="33" t="n">
        <f>28540</f>
        <v>28540.0</v>
      </c>
      <c r="N27" s="34" t="s">
        <v>51</v>
      </c>
      <c r="O27" s="33" t="n">
        <f>26695</f>
        <v>26695.0</v>
      </c>
      <c r="P27" s="34" t="s">
        <v>50</v>
      </c>
      <c r="Q27" s="33" t="n">
        <f>28335</f>
        <v>28335.0</v>
      </c>
      <c r="R27" s="34" t="s">
        <v>51</v>
      </c>
      <c r="S27" s="35" t="n">
        <f>27705.79</f>
        <v>27705.79</v>
      </c>
      <c r="T27" s="32" t="n">
        <f>311144</f>
        <v>311144.0</v>
      </c>
      <c r="U27" s="32" t="n">
        <f>73108</f>
        <v>73108.0</v>
      </c>
      <c r="V27" s="32" t="n">
        <f>8612399815</f>
        <v>8.612399815E9</v>
      </c>
      <c r="W27" s="32" t="n">
        <f>2046492105</f>
        <v>2.046492105E9</v>
      </c>
      <c r="X27" s="36" t="n">
        <f>19</f>
        <v>19.0</v>
      </c>
    </row>
    <row r="28">
      <c r="A28" s="27" t="s">
        <v>42</v>
      </c>
      <c r="B28" s="27" t="s">
        <v>119</v>
      </c>
      <c r="C28" s="27" t="s">
        <v>120</v>
      </c>
      <c r="D28" s="27" t="s">
        <v>121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10.0</v>
      </c>
      <c r="K28" s="33" t="n">
        <f>1981</f>
        <v>1981.0</v>
      </c>
      <c r="L28" s="34" t="s">
        <v>48</v>
      </c>
      <c r="M28" s="33" t="n">
        <f>2012.5</f>
        <v>2012.5</v>
      </c>
      <c r="N28" s="34" t="s">
        <v>49</v>
      </c>
      <c r="O28" s="33" t="n">
        <f>1907</f>
        <v>1907.0</v>
      </c>
      <c r="P28" s="34" t="s">
        <v>50</v>
      </c>
      <c r="Q28" s="33" t="n">
        <f>1996</f>
        <v>1996.0</v>
      </c>
      <c r="R28" s="34" t="s">
        <v>51</v>
      </c>
      <c r="S28" s="35" t="n">
        <f>1962.68</f>
        <v>1962.68</v>
      </c>
      <c r="T28" s="32" t="n">
        <f>2425880</f>
        <v>2425880.0</v>
      </c>
      <c r="U28" s="32" t="n">
        <f>480370</f>
        <v>480370.0</v>
      </c>
      <c r="V28" s="32" t="n">
        <f>4741974856</f>
        <v>4.741974856E9</v>
      </c>
      <c r="W28" s="32" t="n">
        <f>945922916</f>
        <v>9.45922916E8</v>
      </c>
      <c r="X28" s="36" t="n">
        <f>19</f>
        <v>19.0</v>
      </c>
    </row>
    <row r="29">
      <c r="A29" s="27" t="s">
        <v>42</v>
      </c>
      <c r="B29" s="27" t="s">
        <v>122</v>
      </c>
      <c r="C29" s="27" t="s">
        <v>123</v>
      </c>
      <c r="D29" s="27" t="s">
        <v>124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14485</f>
        <v>14485.0</v>
      </c>
      <c r="L29" s="34" t="s">
        <v>48</v>
      </c>
      <c r="M29" s="33" t="n">
        <f>14510</f>
        <v>14510.0</v>
      </c>
      <c r="N29" s="34" t="s">
        <v>48</v>
      </c>
      <c r="O29" s="33" t="n">
        <f>13795</f>
        <v>13795.0</v>
      </c>
      <c r="P29" s="34" t="s">
        <v>125</v>
      </c>
      <c r="Q29" s="33" t="n">
        <f>14170</f>
        <v>14170.0</v>
      </c>
      <c r="R29" s="34" t="s">
        <v>51</v>
      </c>
      <c r="S29" s="35" t="n">
        <f>14123.42</f>
        <v>14123.42</v>
      </c>
      <c r="T29" s="32" t="n">
        <f>730</f>
        <v>730.0</v>
      </c>
      <c r="U29" s="32" t="str">
        <f>"－"</f>
        <v>－</v>
      </c>
      <c r="V29" s="32" t="n">
        <f>10328025</f>
        <v>1.0328025E7</v>
      </c>
      <c r="W29" s="32" t="str">
        <f>"－"</f>
        <v>－</v>
      </c>
      <c r="X29" s="36" t="n">
        <f>19</f>
        <v>19.0</v>
      </c>
    </row>
    <row r="30">
      <c r="A30" s="27" t="s">
        <v>42</v>
      </c>
      <c r="B30" s="27" t="s">
        <v>126</v>
      </c>
      <c r="C30" s="27" t="s">
        <v>127</v>
      </c>
      <c r="D30" s="27" t="s">
        <v>128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1041.5</f>
        <v>1041.5</v>
      </c>
      <c r="L30" s="34" t="s">
        <v>48</v>
      </c>
      <c r="M30" s="33" t="n">
        <f>1123</f>
        <v>1123.0</v>
      </c>
      <c r="N30" s="34" t="s">
        <v>50</v>
      </c>
      <c r="O30" s="33" t="n">
        <f>1004</f>
        <v>1004.0</v>
      </c>
      <c r="P30" s="34" t="s">
        <v>49</v>
      </c>
      <c r="Q30" s="33" t="n">
        <f>1020.5</f>
        <v>1020.5</v>
      </c>
      <c r="R30" s="34" t="s">
        <v>51</v>
      </c>
      <c r="S30" s="35" t="n">
        <f>1059.82</f>
        <v>1059.82</v>
      </c>
      <c r="T30" s="32" t="n">
        <f>6485040</f>
        <v>6485040.0</v>
      </c>
      <c r="U30" s="32" t="str">
        <f>"－"</f>
        <v>－</v>
      </c>
      <c r="V30" s="32" t="n">
        <f>6896518115</f>
        <v>6.896518115E9</v>
      </c>
      <c r="W30" s="32" t="str">
        <f>"－"</f>
        <v>－</v>
      </c>
      <c r="X30" s="36" t="n">
        <f>19</f>
        <v>19.0</v>
      </c>
    </row>
    <row r="31">
      <c r="A31" s="27" t="s">
        <v>42</v>
      </c>
      <c r="B31" s="27" t="s">
        <v>129</v>
      </c>
      <c r="C31" s="27" t="s">
        <v>130</v>
      </c>
      <c r="D31" s="27" t="s">
        <v>131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413</f>
        <v>413.0</v>
      </c>
      <c r="L31" s="34" t="s">
        <v>48</v>
      </c>
      <c r="M31" s="33" t="n">
        <f>446</f>
        <v>446.0</v>
      </c>
      <c r="N31" s="34" t="s">
        <v>50</v>
      </c>
      <c r="O31" s="33" t="n">
        <f>386</f>
        <v>386.0</v>
      </c>
      <c r="P31" s="34" t="s">
        <v>51</v>
      </c>
      <c r="Q31" s="33" t="n">
        <f>393</f>
        <v>393.0</v>
      </c>
      <c r="R31" s="34" t="s">
        <v>51</v>
      </c>
      <c r="S31" s="35" t="n">
        <f>412.84</f>
        <v>412.84</v>
      </c>
      <c r="T31" s="32" t="n">
        <f>954085111</f>
        <v>9.54085111E8</v>
      </c>
      <c r="U31" s="32" t="n">
        <f>5702575</f>
        <v>5702575.0</v>
      </c>
      <c r="V31" s="32" t="n">
        <f>395664392248</f>
        <v>3.95664392248E11</v>
      </c>
      <c r="W31" s="32" t="n">
        <f>2245128919</f>
        <v>2.245128919E9</v>
      </c>
      <c r="X31" s="36" t="n">
        <f>19</f>
        <v>19.0</v>
      </c>
    </row>
    <row r="32">
      <c r="A32" s="27" t="s">
        <v>42</v>
      </c>
      <c r="B32" s="27" t="s">
        <v>132</v>
      </c>
      <c r="C32" s="27" t="s">
        <v>133</v>
      </c>
      <c r="D32" s="27" t="s">
        <v>134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25030</f>
        <v>25030.0</v>
      </c>
      <c r="L32" s="34" t="s">
        <v>48</v>
      </c>
      <c r="M32" s="33" t="n">
        <f>26395</f>
        <v>26395.0</v>
      </c>
      <c r="N32" s="34" t="s">
        <v>51</v>
      </c>
      <c r="O32" s="33" t="n">
        <f>23130</f>
        <v>23130.0</v>
      </c>
      <c r="P32" s="34" t="s">
        <v>50</v>
      </c>
      <c r="Q32" s="33" t="n">
        <f>26000</f>
        <v>26000.0</v>
      </c>
      <c r="R32" s="34" t="s">
        <v>51</v>
      </c>
      <c r="S32" s="35" t="n">
        <f>24889.21</f>
        <v>24889.21</v>
      </c>
      <c r="T32" s="32" t="n">
        <f>387115</f>
        <v>387115.0</v>
      </c>
      <c r="U32" s="32" t="str">
        <f>"－"</f>
        <v>－</v>
      </c>
      <c r="V32" s="32" t="n">
        <f>9584370850</f>
        <v>9.58437085E9</v>
      </c>
      <c r="W32" s="32" t="str">
        <f>"－"</f>
        <v>－</v>
      </c>
      <c r="X32" s="36" t="n">
        <f>19</f>
        <v>19.0</v>
      </c>
    </row>
    <row r="33">
      <c r="A33" s="27" t="s">
        <v>42</v>
      </c>
      <c r="B33" s="27" t="s">
        <v>135</v>
      </c>
      <c r="C33" s="27" t="s">
        <v>136</v>
      </c>
      <c r="D33" s="27" t="s">
        <v>137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10.0</v>
      </c>
      <c r="K33" s="33" t="n">
        <f>1008.5</f>
        <v>1008.5</v>
      </c>
      <c r="L33" s="34" t="s">
        <v>48</v>
      </c>
      <c r="M33" s="33" t="n">
        <f>1087.5</f>
        <v>1087.5</v>
      </c>
      <c r="N33" s="34" t="s">
        <v>50</v>
      </c>
      <c r="O33" s="33" t="n">
        <f>944</f>
        <v>944.0</v>
      </c>
      <c r="P33" s="34" t="s">
        <v>51</v>
      </c>
      <c r="Q33" s="33" t="n">
        <f>957.3</f>
        <v>957.3</v>
      </c>
      <c r="R33" s="34" t="s">
        <v>51</v>
      </c>
      <c r="S33" s="35" t="n">
        <f>1008.37</f>
        <v>1008.37</v>
      </c>
      <c r="T33" s="32" t="n">
        <f>198259510</f>
        <v>1.9825951E8</v>
      </c>
      <c r="U33" s="32" t="n">
        <f>550710</f>
        <v>550710.0</v>
      </c>
      <c r="V33" s="32" t="n">
        <f>200610910564</f>
        <v>2.00610910564E11</v>
      </c>
      <c r="W33" s="32" t="n">
        <f>537746972</f>
        <v>5.37746972E8</v>
      </c>
      <c r="X33" s="36" t="n">
        <f>19</f>
        <v>19.0</v>
      </c>
    </row>
    <row r="34">
      <c r="A34" s="27" t="s">
        <v>42</v>
      </c>
      <c r="B34" s="27" t="s">
        <v>138</v>
      </c>
      <c r="C34" s="27" t="s">
        <v>139</v>
      </c>
      <c r="D34" s="27" t="s">
        <v>140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17425</f>
        <v>17425.0</v>
      </c>
      <c r="L34" s="34" t="s">
        <v>48</v>
      </c>
      <c r="M34" s="33" t="n">
        <f>17850</f>
        <v>17850.0</v>
      </c>
      <c r="N34" s="34" t="s">
        <v>51</v>
      </c>
      <c r="O34" s="33" t="n">
        <f>16950</f>
        <v>16950.0</v>
      </c>
      <c r="P34" s="34" t="s">
        <v>50</v>
      </c>
      <c r="Q34" s="33" t="n">
        <f>17695</f>
        <v>17695.0</v>
      </c>
      <c r="R34" s="34" t="s">
        <v>51</v>
      </c>
      <c r="S34" s="35" t="n">
        <f>17414.21</f>
        <v>17414.21</v>
      </c>
      <c r="T34" s="32" t="n">
        <f>1439</f>
        <v>1439.0</v>
      </c>
      <c r="U34" s="32" t="str">
        <f>"－"</f>
        <v>－</v>
      </c>
      <c r="V34" s="32" t="n">
        <f>25136215</f>
        <v>2.5136215E7</v>
      </c>
      <c r="W34" s="32" t="str">
        <f>"－"</f>
        <v>－</v>
      </c>
      <c r="X34" s="36" t="n">
        <f>19</f>
        <v>19.0</v>
      </c>
    </row>
    <row r="35">
      <c r="A35" s="27" t="s">
        <v>42</v>
      </c>
      <c r="B35" s="27" t="s">
        <v>141</v>
      </c>
      <c r="C35" s="27" t="s">
        <v>142</v>
      </c>
      <c r="D35" s="27" t="s">
        <v>143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20805</f>
        <v>20805.0</v>
      </c>
      <c r="L35" s="34" t="s">
        <v>48</v>
      </c>
      <c r="M35" s="33" t="n">
        <f>21900</f>
        <v>21900.0</v>
      </c>
      <c r="N35" s="34" t="s">
        <v>51</v>
      </c>
      <c r="O35" s="33" t="n">
        <f>19185</f>
        <v>19185.0</v>
      </c>
      <c r="P35" s="34" t="s">
        <v>50</v>
      </c>
      <c r="Q35" s="33" t="n">
        <f>21585</f>
        <v>21585.0</v>
      </c>
      <c r="R35" s="34" t="s">
        <v>51</v>
      </c>
      <c r="S35" s="35" t="n">
        <f>20654.21</f>
        <v>20654.21</v>
      </c>
      <c r="T35" s="32" t="n">
        <f>1066086</f>
        <v>1066086.0</v>
      </c>
      <c r="U35" s="32" t="str">
        <f>"－"</f>
        <v>－</v>
      </c>
      <c r="V35" s="32" t="n">
        <f>21840461775</f>
        <v>2.1840461775E10</v>
      </c>
      <c r="W35" s="32" t="str">
        <f>"－"</f>
        <v>－</v>
      </c>
      <c r="X35" s="36" t="n">
        <f>19</f>
        <v>19.0</v>
      </c>
    </row>
    <row r="36">
      <c r="A36" s="27" t="s">
        <v>42</v>
      </c>
      <c r="B36" s="27" t="s">
        <v>144</v>
      </c>
      <c r="C36" s="27" t="s">
        <v>145</v>
      </c>
      <c r="D36" s="27" t="s">
        <v>146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1077</f>
        <v>1077.0</v>
      </c>
      <c r="L36" s="34" t="s">
        <v>48</v>
      </c>
      <c r="M36" s="33" t="n">
        <f>1162</f>
        <v>1162.0</v>
      </c>
      <c r="N36" s="34" t="s">
        <v>50</v>
      </c>
      <c r="O36" s="33" t="n">
        <f>1009</f>
        <v>1009.0</v>
      </c>
      <c r="P36" s="34" t="s">
        <v>51</v>
      </c>
      <c r="Q36" s="33" t="n">
        <f>1024</f>
        <v>1024.0</v>
      </c>
      <c r="R36" s="34" t="s">
        <v>51</v>
      </c>
      <c r="S36" s="35" t="n">
        <f>1077.05</f>
        <v>1077.05</v>
      </c>
      <c r="T36" s="32" t="n">
        <f>19453145</f>
        <v>1.9453145E7</v>
      </c>
      <c r="U36" s="32" t="n">
        <f>3</f>
        <v>3.0</v>
      </c>
      <c r="V36" s="32" t="n">
        <f>21043650359</f>
        <v>2.1043650359E10</v>
      </c>
      <c r="W36" s="32" t="n">
        <f>3459</f>
        <v>3459.0</v>
      </c>
      <c r="X36" s="36" t="n">
        <f>19</f>
        <v>19.0</v>
      </c>
    </row>
    <row r="37">
      <c r="A37" s="27" t="s">
        <v>42</v>
      </c>
      <c r="B37" s="27" t="s">
        <v>147</v>
      </c>
      <c r="C37" s="27" t="s">
        <v>148</v>
      </c>
      <c r="D37" s="27" t="s">
        <v>149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17880</f>
        <v>17880.0</v>
      </c>
      <c r="L37" s="34" t="s">
        <v>48</v>
      </c>
      <c r="M37" s="33" t="n">
        <f>18360</f>
        <v>18360.0</v>
      </c>
      <c r="N37" s="34" t="s">
        <v>49</v>
      </c>
      <c r="O37" s="33" t="n">
        <f>16515</f>
        <v>16515.0</v>
      </c>
      <c r="P37" s="34" t="s">
        <v>50</v>
      </c>
      <c r="Q37" s="33" t="n">
        <f>18065</f>
        <v>18065.0</v>
      </c>
      <c r="R37" s="34" t="s">
        <v>51</v>
      </c>
      <c r="S37" s="35" t="n">
        <f>17487.63</f>
        <v>17487.63</v>
      </c>
      <c r="T37" s="32" t="n">
        <f>144803</f>
        <v>144803.0</v>
      </c>
      <c r="U37" s="32" t="str">
        <f>"－"</f>
        <v>－</v>
      </c>
      <c r="V37" s="32" t="n">
        <f>2532134140</f>
        <v>2.53213414E9</v>
      </c>
      <c r="W37" s="32" t="str">
        <f>"－"</f>
        <v>－</v>
      </c>
      <c r="X37" s="36" t="n">
        <f>19</f>
        <v>19.0</v>
      </c>
    </row>
    <row r="38">
      <c r="A38" s="27" t="s">
        <v>42</v>
      </c>
      <c r="B38" s="27" t="s">
        <v>150</v>
      </c>
      <c r="C38" s="27" t="s">
        <v>151</v>
      </c>
      <c r="D38" s="27" t="s">
        <v>152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1509</f>
        <v>1509.0</v>
      </c>
      <c r="L38" s="34" t="s">
        <v>48</v>
      </c>
      <c r="M38" s="33" t="n">
        <f>1628</f>
        <v>1628.0</v>
      </c>
      <c r="N38" s="34" t="s">
        <v>50</v>
      </c>
      <c r="O38" s="33" t="n">
        <f>1453</f>
        <v>1453.0</v>
      </c>
      <c r="P38" s="34" t="s">
        <v>49</v>
      </c>
      <c r="Q38" s="33" t="n">
        <f>1478</f>
        <v>1478.0</v>
      </c>
      <c r="R38" s="34" t="s">
        <v>51</v>
      </c>
      <c r="S38" s="35" t="n">
        <f>1534.37</f>
        <v>1534.37</v>
      </c>
      <c r="T38" s="32" t="n">
        <f>1083193</f>
        <v>1083193.0</v>
      </c>
      <c r="U38" s="32" t="str">
        <f>"－"</f>
        <v>－</v>
      </c>
      <c r="V38" s="32" t="n">
        <f>1668494028</f>
        <v>1.668494028E9</v>
      </c>
      <c r="W38" s="32" t="str">
        <f>"－"</f>
        <v>－</v>
      </c>
      <c r="X38" s="36" t="n">
        <f>19</f>
        <v>19.0</v>
      </c>
    </row>
    <row r="39">
      <c r="A39" s="27" t="s">
        <v>42</v>
      </c>
      <c r="B39" s="27" t="s">
        <v>153</v>
      </c>
      <c r="C39" s="27" t="s">
        <v>154</v>
      </c>
      <c r="D39" s="27" t="s">
        <v>155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26950</f>
        <v>26950.0</v>
      </c>
      <c r="L39" s="34" t="s">
        <v>48</v>
      </c>
      <c r="M39" s="33" t="n">
        <f>27700</f>
        <v>27700.0</v>
      </c>
      <c r="N39" s="34" t="s">
        <v>51</v>
      </c>
      <c r="O39" s="33" t="n">
        <f>25910</f>
        <v>25910.0</v>
      </c>
      <c r="P39" s="34" t="s">
        <v>50</v>
      </c>
      <c r="Q39" s="33" t="n">
        <f>27525</f>
        <v>27525.0</v>
      </c>
      <c r="R39" s="34" t="s">
        <v>51</v>
      </c>
      <c r="S39" s="35" t="n">
        <f>26881.32</f>
        <v>26881.32</v>
      </c>
      <c r="T39" s="32" t="n">
        <f>235640</f>
        <v>235640.0</v>
      </c>
      <c r="U39" s="32" t="n">
        <f>51154</f>
        <v>51154.0</v>
      </c>
      <c r="V39" s="32" t="n">
        <f>6355998530</f>
        <v>6.35599853E9</v>
      </c>
      <c r="W39" s="32" t="n">
        <f>1378170350</f>
        <v>1.37817035E9</v>
      </c>
      <c r="X39" s="36" t="n">
        <f>19</f>
        <v>19.0</v>
      </c>
    </row>
    <row r="40">
      <c r="A40" s="27" t="s">
        <v>42</v>
      </c>
      <c r="B40" s="27" t="s">
        <v>156</v>
      </c>
      <c r="C40" s="27" t="s">
        <v>157</v>
      </c>
      <c r="D40" s="27" t="s">
        <v>158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5260</f>
        <v>5260.0</v>
      </c>
      <c r="L40" s="34" t="s">
        <v>48</v>
      </c>
      <c r="M40" s="33" t="n">
        <f>5480</f>
        <v>5480.0</v>
      </c>
      <c r="N40" s="34" t="s">
        <v>51</v>
      </c>
      <c r="O40" s="33" t="n">
        <f>4900</f>
        <v>4900.0</v>
      </c>
      <c r="P40" s="34" t="s">
        <v>62</v>
      </c>
      <c r="Q40" s="33" t="n">
        <f>5410</f>
        <v>5410.0</v>
      </c>
      <c r="R40" s="34" t="s">
        <v>51</v>
      </c>
      <c r="S40" s="35" t="n">
        <f>5198.95</f>
        <v>5198.95</v>
      </c>
      <c r="T40" s="32" t="n">
        <f>4202</f>
        <v>4202.0</v>
      </c>
      <c r="U40" s="32" t="str">
        <f>"－"</f>
        <v>－</v>
      </c>
      <c r="V40" s="32" t="n">
        <f>21958785</f>
        <v>2.1958785E7</v>
      </c>
      <c r="W40" s="32" t="str">
        <f>"－"</f>
        <v>－</v>
      </c>
      <c r="X40" s="36" t="n">
        <f>19</f>
        <v>19.0</v>
      </c>
    </row>
    <row r="41">
      <c r="A41" s="27" t="s">
        <v>42</v>
      </c>
      <c r="B41" s="27" t="s">
        <v>159</v>
      </c>
      <c r="C41" s="27" t="s">
        <v>160</v>
      </c>
      <c r="D41" s="27" t="s">
        <v>161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10145</f>
        <v>10145.0</v>
      </c>
      <c r="L41" s="34" t="s">
        <v>48</v>
      </c>
      <c r="M41" s="33" t="n">
        <f>10200</f>
        <v>10200.0</v>
      </c>
      <c r="N41" s="34" t="s">
        <v>51</v>
      </c>
      <c r="O41" s="33" t="n">
        <f>9401</f>
        <v>9401.0</v>
      </c>
      <c r="P41" s="34" t="s">
        <v>162</v>
      </c>
      <c r="Q41" s="33" t="n">
        <f>10145</f>
        <v>10145.0</v>
      </c>
      <c r="R41" s="34" t="s">
        <v>51</v>
      </c>
      <c r="S41" s="35" t="n">
        <f>9818.42</f>
        <v>9818.42</v>
      </c>
      <c r="T41" s="32" t="n">
        <f>2273</f>
        <v>2273.0</v>
      </c>
      <c r="U41" s="32" t="str">
        <f>"－"</f>
        <v>－</v>
      </c>
      <c r="V41" s="32" t="n">
        <f>22421985</f>
        <v>2.2421985E7</v>
      </c>
      <c r="W41" s="32" t="str">
        <f>"－"</f>
        <v>－</v>
      </c>
      <c r="X41" s="36" t="n">
        <f>19</f>
        <v>19.0</v>
      </c>
    </row>
    <row r="42">
      <c r="A42" s="27" t="s">
        <v>42</v>
      </c>
      <c r="B42" s="27" t="s">
        <v>163</v>
      </c>
      <c r="C42" s="27" t="s">
        <v>164</v>
      </c>
      <c r="D42" s="27" t="s">
        <v>165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18555</f>
        <v>18555.0</v>
      </c>
      <c r="L42" s="34" t="s">
        <v>48</v>
      </c>
      <c r="M42" s="33" t="n">
        <f>18630</f>
        <v>18630.0</v>
      </c>
      <c r="N42" s="34" t="s">
        <v>49</v>
      </c>
      <c r="O42" s="33" t="n">
        <f>17380</f>
        <v>17380.0</v>
      </c>
      <c r="P42" s="34" t="s">
        <v>50</v>
      </c>
      <c r="Q42" s="33" t="n">
        <f>18630</f>
        <v>18630.0</v>
      </c>
      <c r="R42" s="34" t="s">
        <v>49</v>
      </c>
      <c r="S42" s="35" t="n">
        <f>18175.71</f>
        <v>18175.71</v>
      </c>
      <c r="T42" s="32" t="n">
        <f>36</f>
        <v>36.0</v>
      </c>
      <c r="U42" s="32" t="str">
        <f>"－"</f>
        <v>－</v>
      </c>
      <c r="V42" s="32" t="n">
        <f>655400</f>
        <v>655400.0</v>
      </c>
      <c r="W42" s="32" t="str">
        <f>"－"</f>
        <v>－</v>
      </c>
      <c r="X42" s="36" t="n">
        <f>7</f>
        <v>7.0</v>
      </c>
    </row>
    <row r="43">
      <c r="A43" s="27" t="s">
        <v>42</v>
      </c>
      <c r="B43" s="27" t="s">
        <v>166</v>
      </c>
      <c r="C43" s="27" t="s">
        <v>167</v>
      </c>
      <c r="D43" s="27" t="s">
        <v>168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15640</f>
        <v>15640.0</v>
      </c>
      <c r="L43" s="34" t="s">
        <v>162</v>
      </c>
      <c r="M43" s="33" t="n">
        <f>16760</f>
        <v>16760.0</v>
      </c>
      <c r="N43" s="34" t="s">
        <v>51</v>
      </c>
      <c r="O43" s="33" t="n">
        <f>15640</f>
        <v>15640.0</v>
      </c>
      <c r="P43" s="34" t="s">
        <v>162</v>
      </c>
      <c r="Q43" s="33" t="n">
        <f>16760</f>
        <v>16760.0</v>
      </c>
      <c r="R43" s="34" t="s">
        <v>51</v>
      </c>
      <c r="S43" s="35" t="n">
        <f>16200</f>
        <v>16200.0</v>
      </c>
      <c r="T43" s="32" t="n">
        <f>3</f>
        <v>3.0</v>
      </c>
      <c r="U43" s="32" t="str">
        <f>"－"</f>
        <v>－</v>
      </c>
      <c r="V43" s="32" t="n">
        <f>49160</f>
        <v>49160.0</v>
      </c>
      <c r="W43" s="32" t="str">
        <f>"－"</f>
        <v>－</v>
      </c>
      <c r="X43" s="36" t="n">
        <f>2</f>
        <v>2.0</v>
      </c>
    </row>
    <row r="44">
      <c r="A44" s="27" t="s">
        <v>42</v>
      </c>
      <c r="B44" s="27" t="s">
        <v>169</v>
      </c>
      <c r="C44" s="27" t="s">
        <v>170</v>
      </c>
      <c r="D44" s="27" t="s">
        <v>171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11435</f>
        <v>11435.0</v>
      </c>
      <c r="L44" s="34" t="s">
        <v>48</v>
      </c>
      <c r="M44" s="33" t="n">
        <f>11690</f>
        <v>11690.0</v>
      </c>
      <c r="N44" s="34" t="s">
        <v>51</v>
      </c>
      <c r="O44" s="33" t="n">
        <f>10505</f>
        <v>10505.0</v>
      </c>
      <c r="P44" s="34" t="s">
        <v>62</v>
      </c>
      <c r="Q44" s="33" t="n">
        <f>11435</f>
        <v>11435.0</v>
      </c>
      <c r="R44" s="34" t="s">
        <v>51</v>
      </c>
      <c r="S44" s="35" t="n">
        <f>11099.47</f>
        <v>11099.47</v>
      </c>
      <c r="T44" s="32" t="n">
        <f>1673</f>
        <v>1673.0</v>
      </c>
      <c r="U44" s="32" t="str">
        <f>"－"</f>
        <v>－</v>
      </c>
      <c r="V44" s="32" t="n">
        <f>18437045</f>
        <v>1.8437045E7</v>
      </c>
      <c r="W44" s="32" t="str">
        <f>"－"</f>
        <v>－</v>
      </c>
      <c r="X44" s="36" t="n">
        <f>19</f>
        <v>19.0</v>
      </c>
    </row>
    <row r="45">
      <c r="A45" s="27" t="s">
        <v>42</v>
      </c>
      <c r="B45" s="27" t="s">
        <v>172</v>
      </c>
      <c r="C45" s="27" t="s">
        <v>173</v>
      </c>
      <c r="D45" s="27" t="s">
        <v>174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5710</f>
        <v>5710.0</v>
      </c>
      <c r="L45" s="34" t="s">
        <v>48</v>
      </c>
      <c r="M45" s="33" t="n">
        <f>5870</f>
        <v>5870.0</v>
      </c>
      <c r="N45" s="34" t="s">
        <v>175</v>
      </c>
      <c r="O45" s="33" t="n">
        <f>5370</f>
        <v>5370.0</v>
      </c>
      <c r="P45" s="34" t="s">
        <v>162</v>
      </c>
      <c r="Q45" s="33" t="n">
        <f>5760</f>
        <v>5760.0</v>
      </c>
      <c r="R45" s="34" t="s">
        <v>51</v>
      </c>
      <c r="S45" s="35" t="n">
        <f>5606.32</f>
        <v>5606.32</v>
      </c>
      <c r="T45" s="32" t="n">
        <f>2400</f>
        <v>2400.0</v>
      </c>
      <c r="U45" s="32" t="str">
        <f>"－"</f>
        <v>－</v>
      </c>
      <c r="V45" s="32" t="n">
        <f>13463190</f>
        <v>1.346319E7</v>
      </c>
      <c r="W45" s="32" t="str">
        <f>"－"</f>
        <v>－</v>
      </c>
      <c r="X45" s="36" t="n">
        <f>19</f>
        <v>19.0</v>
      </c>
    </row>
    <row r="46">
      <c r="A46" s="27" t="s">
        <v>42</v>
      </c>
      <c r="B46" s="27" t="s">
        <v>176</v>
      </c>
      <c r="C46" s="27" t="s">
        <v>177</v>
      </c>
      <c r="D46" s="27" t="s">
        <v>178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3175</f>
        <v>3175.0</v>
      </c>
      <c r="L46" s="34" t="s">
        <v>48</v>
      </c>
      <c r="M46" s="33" t="n">
        <f>3200</f>
        <v>3200.0</v>
      </c>
      <c r="N46" s="34" t="s">
        <v>48</v>
      </c>
      <c r="O46" s="33" t="n">
        <f>2862</f>
        <v>2862.0</v>
      </c>
      <c r="P46" s="34" t="s">
        <v>125</v>
      </c>
      <c r="Q46" s="33" t="n">
        <f>3055</f>
        <v>3055.0</v>
      </c>
      <c r="R46" s="34" t="s">
        <v>51</v>
      </c>
      <c r="S46" s="35" t="n">
        <f>3016.63</f>
        <v>3016.63</v>
      </c>
      <c r="T46" s="32" t="n">
        <f>19556</f>
        <v>19556.0</v>
      </c>
      <c r="U46" s="32" t="str">
        <f>"－"</f>
        <v>－</v>
      </c>
      <c r="V46" s="32" t="n">
        <f>58708585</f>
        <v>5.8708585E7</v>
      </c>
      <c r="W46" s="32" t="str">
        <f>"－"</f>
        <v>－</v>
      </c>
      <c r="X46" s="36" t="n">
        <f>19</f>
        <v>19.0</v>
      </c>
    </row>
    <row r="47">
      <c r="A47" s="27" t="s">
        <v>42</v>
      </c>
      <c r="B47" s="27" t="s">
        <v>179</v>
      </c>
      <c r="C47" s="27" t="s">
        <v>180</v>
      </c>
      <c r="D47" s="27" t="s">
        <v>181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3105</f>
        <v>3105.0</v>
      </c>
      <c r="L47" s="34" t="s">
        <v>48</v>
      </c>
      <c r="M47" s="33" t="n">
        <f>3140</f>
        <v>3140.0</v>
      </c>
      <c r="N47" s="34" t="s">
        <v>51</v>
      </c>
      <c r="O47" s="33" t="n">
        <f>2940</f>
        <v>2940.0</v>
      </c>
      <c r="P47" s="34" t="s">
        <v>162</v>
      </c>
      <c r="Q47" s="33" t="n">
        <f>3140</f>
        <v>3140.0</v>
      </c>
      <c r="R47" s="34" t="s">
        <v>51</v>
      </c>
      <c r="S47" s="35" t="n">
        <f>3046.95</f>
        <v>3046.95</v>
      </c>
      <c r="T47" s="32" t="n">
        <f>1256</f>
        <v>1256.0</v>
      </c>
      <c r="U47" s="32" t="str">
        <f>"－"</f>
        <v>－</v>
      </c>
      <c r="V47" s="32" t="n">
        <f>3817186</f>
        <v>3817186.0</v>
      </c>
      <c r="W47" s="32" t="str">
        <f>"－"</f>
        <v>－</v>
      </c>
      <c r="X47" s="36" t="n">
        <f>19</f>
        <v>19.0</v>
      </c>
    </row>
    <row r="48">
      <c r="A48" s="27" t="s">
        <v>42</v>
      </c>
      <c r="B48" s="27" t="s">
        <v>182</v>
      </c>
      <c r="C48" s="27" t="s">
        <v>183</v>
      </c>
      <c r="D48" s="27" t="s">
        <v>184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53310</f>
        <v>53310.0</v>
      </c>
      <c r="L48" s="34" t="s">
        <v>48</v>
      </c>
      <c r="M48" s="33" t="n">
        <f>53410</f>
        <v>53410.0</v>
      </c>
      <c r="N48" s="34" t="s">
        <v>73</v>
      </c>
      <c r="O48" s="33" t="n">
        <f>48370</f>
        <v>48370.0</v>
      </c>
      <c r="P48" s="34" t="s">
        <v>69</v>
      </c>
      <c r="Q48" s="33" t="n">
        <f>51990</f>
        <v>51990.0</v>
      </c>
      <c r="R48" s="34" t="s">
        <v>51</v>
      </c>
      <c r="S48" s="35" t="n">
        <f>50738.95</f>
        <v>50738.95</v>
      </c>
      <c r="T48" s="32" t="n">
        <f>1319</f>
        <v>1319.0</v>
      </c>
      <c r="U48" s="32" t="str">
        <f>"－"</f>
        <v>－</v>
      </c>
      <c r="V48" s="32" t="n">
        <f>66801580</f>
        <v>6.680158E7</v>
      </c>
      <c r="W48" s="32" t="str">
        <f>"－"</f>
        <v>－</v>
      </c>
      <c r="X48" s="36" t="n">
        <f>19</f>
        <v>19.0</v>
      </c>
    </row>
    <row r="49">
      <c r="A49" s="27" t="s">
        <v>42</v>
      </c>
      <c r="B49" s="27" t="s">
        <v>185</v>
      </c>
      <c r="C49" s="27" t="s">
        <v>186</v>
      </c>
      <c r="D49" s="27" t="s">
        <v>187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37200</f>
        <v>37200.0</v>
      </c>
      <c r="L49" s="34" t="s">
        <v>73</v>
      </c>
      <c r="M49" s="33" t="n">
        <f>37200</f>
        <v>37200.0</v>
      </c>
      <c r="N49" s="34" t="s">
        <v>73</v>
      </c>
      <c r="O49" s="33" t="n">
        <f>34520</f>
        <v>34520.0</v>
      </c>
      <c r="P49" s="34" t="s">
        <v>188</v>
      </c>
      <c r="Q49" s="33" t="n">
        <f>36500</f>
        <v>36500.0</v>
      </c>
      <c r="R49" s="34" t="s">
        <v>49</v>
      </c>
      <c r="S49" s="35" t="n">
        <f>35774</f>
        <v>35774.0</v>
      </c>
      <c r="T49" s="32" t="n">
        <f>44</f>
        <v>44.0</v>
      </c>
      <c r="U49" s="32" t="n">
        <f>3</f>
        <v>3.0</v>
      </c>
      <c r="V49" s="32" t="n">
        <f>1565580</f>
        <v>1565580.0</v>
      </c>
      <c r="W49" s="32" t="n">
        <f>107690</f>
        <v>107690.0</v>
      </c>
      <c r="X49" s="36" t="n">
        <f>10</f>
        <v>10.0</v>
      </c>
    </row>
    <row r="50">
      <c r="A50" s="27" t="s">
        <v>42</v>
      </c>
      <c r="B50" s="27" t="s">
        <v>189</v>
      </c>
      <c r="C50" s="27" t="s">
        <v>190</v>
      </c>
      <c r="D50" s="27" t="s">
        <v>191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26935</f>
        <v>26935.0</v>
      </c>
      <c r="L50" s="34" t="s">
        <v>48</v>
      </c>
      <c r="M50" s="33" t="n">
        <f>27575</f>
        <v>27575.0</v>
      </c>
      <c r="N50" s="34" t="s">
        <v>51</v>
      </c>
      <c r="O50" s="33" t="n">
        <f>25990</f>
        <v>25990.0</v>
      </c>
      <c r="P50" s="34" t="s">
        <v>50</v>
      </c>
      <c r="Q50" s="33" t="n">
        <f>27550</f>
        <v>27550.0</v>
      </c>
      <c r="R50" s="34" t="s">
        <v>51</v>
      </c>
      <c r="S50" s="35" t="n">
        <f>26885.94</f>
        <v>26885.94</v>
      </c>
      <c r="T50" s="32" t="n">
        <f>104618</f>
        <v>104618.0</v>
      </c>
      <c r="U50" s="32" t="n">
        <f>94399</f>
        <v>94399.0</v>
      </c>
      <c r="V50" s="32" t="n">
        <f>2814771333</f>
        <v>2.814771333E9</v>
      </c>
      <c r="W50" s="32" t="n">
        <f>2540356213</f>
        <v>2.540356213E9</v>
      </c>
      <c r="X50" s="36" t="n">
        <f>16</f>
        <v>16.0</v>
      </c>
    </row>
    <row r="51">
      <c r="A51" s="27" t="s">
        <v>42</v>
      </c>
      <c r="B51" s="27" t="s">
        <v>192</v>
      </c>
      <c r="C51" s="27" t="s">
        <v>193</v>
      </c>
      <c r="D51" s="27" t="s">
        <v>194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10.0</v>
      </c>
      <c r="K51" s="33" t="n">
        <f>2000</f>
        <v>2000.0</v>
      </c>
      <c r="L51" s="34" t="s">
        <v>48</v>
      </c>
      <c r="M51" s="33" t="n">
        <f>2060</f>
        <v>2060.0</v>
      </c>
      <c r="N51" s="34" t="s">
        <v>49</v>
      </c>
      <c r="O51" s="33" t="n">
        <f>1975.5</f>
        <v>1975.5</v>
      </c>
      <c r="P51" s="34" t="s">
        <v>50</v>
      </c>
      <c r="Q51" s="33" t="n">
        <f>2051.5</f>
        <v>2051.5</v>
      </c>
      <c r="R51" s="34" t="s">
        <v>51</v>
      </c>
      <c r="S51" s="35" t="n">
        <f>2026.39</f>
        <v>2026.39</v>
      </c>
      <c r="T51" s="32" t="n">
        <f>502530</f>
        <v>502530.0</v>
      </c>
      <c r="U51" s="32" t="n">
        <f>194500</f>
        <v>194500.0</v>
      </c>
      <c r="V51" s="32" t="n">
        <f>1024665270</f>
        <v>1.02466527E9</v>
      </c>
      <c r="W51" s="32" t="n">
        <f>396889265</f>
        <v>3.96889265E8</v>
      </c>
      <c r="X51" s="36" t="n">
        <f>19</f>
        <v>19.0</v>
      </c>
    </row>
    <row r="52">
      <c r="A52" s="27" t="s">
        <v>42</v>
      </c>
      <c r="B52" s="27" t="s">
        <v>195</v>
      </c>
      <c r="C52" s="27" t="s">
        <v>196</v>
      </c>
      <c r="D52" s="27" t="s">
        <v>197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10.0</v>
      </c>
      <c r="K52" s="33" t="n">
        <f>1576</f>
        <v>1576.0</v>
      </c>
      <c r="L52" s="34" t="s">
        <v>48</v>
      </c>
      <c r="M52" s="33" t="n">
        <f>1601</f>
        <v>1601.0</v>
      </c>
      <c r="N52" s="34" t="s">
        <v>49</v>
      </c>
      <c r="O52" s="33" t="n">
        <f>1556.5</f>
        <v>1556.5</v>
      </c>
      <c r="P52" s="34" t="s">
        <v>69</v>
      </c>
      <c r="Q52" s="33" t="n">
        <f>1592</f>
        <v>1592.0</v>
      </c>
      <c r="R52" s="34" t="s">
        <v>51</v>
      </c>
      <c r="S52" s="35" t="n">
        <f>1582.25</f>
        <v>1582.25</v>
      </c>
      <c r="T52" s="32" t="n">
        <f>1880</f>
        <v>1880.0</v>
      </c>
      <c r="U52" s="32" t="str">
        <f>"－"</f>
        <v>－</v>
      </c>
      <c r="V52" s="32" t="n">
        <f>2976295</f>
        <v>2976295.0</v>
      </c>
      <c r="W52" s="32" t="str">
        <f>"－"</f>
        <v>－</v>
      </c>
      <c r="X52" s="36" t="n">
        <f>16</f>
        <v>16.0</v>
      </c>
    </row>
    <row r="53">
      <c r="A53" s="27" t="s">
        <v>42</v>
      </c>
      <c r="B53" s="27" t="s">
        <v>198</v>
      </c>
      <c r="C53" s="27" t="s">
        <v>199</v>
      </c>
      <c r="D53" s="27" t="s">
        <v>200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4405</f>
        <v>4405.0</v>
      </c>
      <c r="L53" s="34" t="s">
        <v>48</v>
      </c>
      <c r="M53" s="33" t="n">
        <f>4575</f>
        <v>4575.0</v>
      </c>
      <c r="N53" s="34" t="s">
        <v>50</v>
      </c>
      <c r="O53" s="33" t="n">
        <f>4265</f>
        <v>4265.0</v>
      </c>
      <c r="P53" s="34" t="s">
        <v>51</v>
      </c>
      <c r="Q53" s="33" t="n">
        <f>4295</f>
        <v>4295.0</v>
      </c>
      <c r="R53" s="34" t="s">
        <v>51</v>
      </c>
      <c r="S53" s="35" t="n">
        <f>4406.05</f>
        <v>4406.05</v>
      </c>
      <c r="T53" s="32" t="n">
        <f>599398</f>
        <v>599398.0</v>
      </c>
      <c r="U53" s="32" t="n">
        <f>115000</f>
        <v>115000.0</v>
      </c>
      <c r="V53" s="32" t="n">
        <f>2653170190</f>
        <v>2.65317019E9</v>
      </c>
      <c r="W53" s="32" t="n">
        <f>499226500</f>
        <v>4.992265E8</v>
      </c>
      <c r="X53" s="36" t="n">
        <f>19</f>
        <v>19.0</v>
      </c>
    </row>
    <row r="54">
      <c r="A54" s="27" t="s">
        <v>42</v>
      </c>
      <c r="B54" s="27" t="s">
        <v>201</v>
      </c>
      <c r="C54" s="27" t="s">
        <v>202</v>
      </c>
      <c r="D54" s="27" t="s">
        <v>203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5130</f>
        <v>5130.0</v>
      </c>
      <c r="L54" s="34" t="s">
        <v>48</v>
      </c>
      <c r="M54" s="33" t="n">
        <f>5330</f>
        <v>5330.0</v>
      </c>
      <c r="N54" s="34" t="s">
        <v>50</v>
      </c>
      <c r="O54" s="33" t="n">
        <f>5040</f>
        <v>5040.0</v>
      </c>
      <c r="P54" s="34" t="s">
        <v>49</v>
      </c>
      <c r="Q54" s="33" t="n">
        <f>5060</f>
        <v>5060.0</v>
      </c>
      <c r="R54" s="34" t="s">
        <v>51</v>
      </c>
      <c r="S54" s="35" t="n">
        <f>5175.26</f>
        <v>5175.26</v>
      </c>
      <c r="T54" s="32" t="n">
        <f>1033107</f>
        <v>1033107.0</v>
      </c>
      <c r="U54" s="32" t="n">
        <f>570000</f>
        <v>570000.0</v>
      </c>
      <c r="V54" s="32" t="n">
        <f>5381599660</f>
        <v>5.38159966E9</v>
      </c>
      <c r="W54" s="32" t="n">
        <f>2941732000</f>
        <v>2.941732E9</v>
      </c>
      <c r="X54" s="36" t="n">
        <f>19</f>
        <v>19.0</v>
      </c>
    </row>
    <row r="55">
      <c r="A55" s="27" t="s">
        <v>42</v>
      </c>
      <c r="B55" s="27" t="s">
        <v>204</v>
      </c>
      <c r="C55" s="27" t="s">
        <v>205</v>
      </c>
      <c r="D55" s="27" t="s">
        <v>206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15815</f>
        <v>15815.0</v>
      </c>
      <c r="L55" s="34" t="s">
        <v>48</v>
      </c>
      <c r="M55" s="33" t="n">
        <f>16650</f>
        <v>16650.0</v>
      </c>
      <c r="N55" s="34" t="s">
        <v>51</v>
      </c>
      <c r="O55" s="33" t="n">
        <f>14585</f>
        <v>14585.0</v>
      </c>
      <c r="P55" s="34" t="s">
        <v>50</v>
      </c>
      <c r="Q55" s="33" t="n">
        <f>16425</f>
        <v>16425.0</v>
      </c>
      <c r="R55" s="34" t="s">
        <v>51</v>
      </c>
      <c r="S55" s="35" t="n">
        <f>15702.63</f>
        <v>15702.63</v>
      </c>
      <c r="T55" s="32" t="n">
        <f>17941033</f>
        <v>1.7941033E7</v>
      </c>
      <c r="U55" s="32" t="n">
        <f>30006</f>
        <v>30006.0</v>
      </c>
      <c r="V55" s="32" t="n">
        <f>280875281930</f>
        <v>2.8087528193E11</v>
      </c>
      <c r="W55" s="32" t="n">
        <f>453952940</f>
        <v>4.5395294E8</v>
      </c>
      <c r="X55" s="36" t="n">
        <f>19</f>
        <v>19.0</v>
      </c>
    </row>
    <row r="56">
      <c r="A56" s="27" t="s">
        <v>42</v>
      </c>
      <c r="B56" s="27" t="s">
        <v>207</v>
      </c>
      <c r="C56" s="27" t="s">
        <v>208</v>
      </c>
      <c r="D56" s="27" t="s">
        <v>209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1655</f>
        <v>1655.0</v>
      </c>
      <c r="L56" s="34" t="s">
        <v>48</v>
      </c>
      <c r="M56" s="33" t="n">
        <f>1784</f>
        <v>1784.0</v>
      </c>
      <c r="N56" s="34" t="s">
        <v>50</v>
      </c>
      <c r="O56" s="33" t="n">
        <f>1549</f>
        <v>1549.0</v>
      </c>
      <c r="P56" s="34" t="s">
        <v>51</v>
      </c>
      <c r="Q56" s="33" t="n">
        <f>1570</f>
        <v>1570.0</v>
      </c>
      <c r="R56" s="34" t="s">
        <v>51</v>
      </c>
      <c r="S56" s="35" t="n">
        <f>1654.42</f>
        <v>1654.42</v>
      </c>
      <c r="T56" s="32" t="n">
        <f>162885831</f>
        <v>1.62885831E8</v>
      </c>
      <c r="U56" s="32" t="n">
        <f>227833</f>
        <v>227833.0</v>
      </c>
      <c r="V56" s="32" t="n">
        <f>270502298031</f>
        <v>2.70502298031E11</v>
      </c>
      <c r="W56" s="32" t="n">
        <f>390548802</f>
        <v>3.90548802E8</v>
      </c>
      <c r="X56" s="36" t="n">
        <f>19</f>
        <v>19.0</v>
      </c>
    </row>
    <row r="57">
      <c r="A57" s="27" t="s">
        <v>42</v>
      </c>
      <c r="B57" s="27" t="s">
        <v>210</v>
      </c>
      <c r="C57" s="27" t="s">
        <v>211</v>
      </c>
      <c r="D57" s="27" t="s">
        <v>212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14320</f>
        <v>14320.0</v>
      </c>
      <c r="L57" s="34" t="s">
        <v>48</v>
      </c>
      <c r="M57" s="33" t="n">
        <f>14630</f>
        <v>14630.0</v>
      </c>
      <c r="N57" s="34" t="s">
        <v>49</v>
      </c>
      <c r="O57" s="33" t="n">
        <f>13175</f>
        <v>13175.0</v>
      </c>
      <c r="P57" s="34" t="s">
        <v>50</v>
      </c>
      <c r="Q57" s="33" t="n">
        <f>14375</f>
        <v>14375.0</v>
      </c>
      <c r="R57" s="34" t="s">
        <v>51</v>
      </c>
      <c r="S57" s="35" t="n">
        <f>13939.72</f>
        <v>13939.72</v>
      </c>
      <c r="T57" s="32" t="n">
        <f>4301</f>
        <v>4301.0</v>
      </c>
      <c r="U57" s="32" t="str">
        <f>"－"</f>
        <v>－</v>
      </c>
      <c r="V57" s="32" t="n">
        <f>58932540</f>
        <v>5.893254E7</v>
      </c>
      <c r="W57" s="32" t="str">
        <f>"－"</f>
        <v>－</v>
      </c>
      <c r="X57" s="36" t="n">
        <f>18</f>
        <v>18.0</v>
      </c>
    </row>
    <row r="58">
      <c r="A58" s="27" t="s">
        <v>42</v>
      </c>
      <c r="B58" s="27" t="s">
        <v>213</v>
      </c>
      <c r="C58" s="27" t="s">
        <v>214</v>
      </c>
      <c r="D58" s="27" t="s">
        <v>215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4960</f>
        <v>4960.0</v>
      </c>
      <c r="L58" s="34" t="s">
        <v>48</v>
      </c>
      <c r="M58" s="33" t="n">
        <f>5120</f>
        <v>5120.0</v>
      </c>
      <c r="N58" s="34" t="s">
        <v>50</v>
      </c>
      <c r="O58" s="33" t="n">
        <f>4910</f>
        <v>4910.0</v>
      </c>
      <c r="P58" s="34" t="s">
        <v>49</v>
      </c>
      <c r="Q58" s="33" t="n">
        <f>4910</f>
        <v>4910.0</v>
      </c>
      <c r="R58" s="34" t="s">
        <v>49</v>
      </c>
      <c r="S58" s="35" t="n">
        <f>5024.44</f>
        <v>5024.44</v>
      </c>
      <c r="T58" s="32" t="n">
        <f>120</f>
        <v>120.0</v>
      </c>
      <c r="U58" s="32" t="str">
        <f>"－"</f>
        <v>－</v>
      </c>
      <c r="V58" s="32" t="n">
        <f>607140</f>
        <v>607140.0</v>
      </c>
      <c r="W58" s="32" t="str">
        <f>"－"</f>
        <v>－</v>
      </c>
      <c r="X58" s="36" t="n">
        <f>9</f>
        <v>9.0</v>
      </c>
    </row>
    <row r="59">
      <c r="A59" s="27" t="s">
        <v>42</v>
      </c>
      <c r="B59" s="27" t="s">
        <v>216</v>
      </c>
      <c r="C59" s="27" t="s">
        <v>217</v>
      </c>
      <c r="D59" s="27" t="s">
        <v>218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1995</f>
        <v>1995.0</v>
      </c>
      <c r="L59" s="34" t="s">
        <v>48</v>
      </c>
      <c r="M59" s="33" t="n">
        <f>2103</f>
        <v>2103.0</v>
      </c>
      <c r="N59" s="34" t="s">
        <v>50</v>
      </c>
      <c r="O59" s="33" t="n">
        <f>1888</f>
        <v>1888.0</v>
      </c>
      <c r="P59" s="34" t="s">
        <v>51</v>
      </c>
      <c r="Q59" s="33" t="n">
        <f>1900</f>
        <v>1900.0</v>
      </c>
      <c r="R59" s="34" t="s">
        <v>51</v>
      </c>
      <c r="S59" s="35" t="n">
        <f>1987.32</f>
        <v>1987.32</v>
      </c>
      <c r="T59" s="32" t="n">
        <f>23016</f>
        <v>23016.0</v>
      </c>
      <c r="U59" s="32" t="str">
        <f>"－"</f>
        <v>－</v>
      </c>
      <c r="V59" s="32" t="n">
        <f>45993450</f>
        <v>4.599345E7</v>
      </c>
      <c r="W59" s="32" t="str">
        <f>"－"</f>
        <v>－</v>
      </c>
      <c r="X59" s="36" t="n">
        <f>19</f>
        <v>19.0</v>
      </c>
    </row>
    <row r="60">
      <c r="A60" s="27" t="s">
        <v>42</v>
      </c>
      <c r="B60" s="27" t="s">
        <v>219</v>
      </c>
      <c r="C60" s="27" t="s">
        <v>220</v>
      </c>
      <c r="D60" s="27" t="s">
        <v>221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10.0</v>
      </c>
      <c r="K60" s="33" t="n">
        <f>13685</f>
        <v>13685.0</v>
      </c>
      <c r="L60" s="34" t="s">
        <v>48</v>
      </c>
      <c r="M60" s="33" t="n">
        <f>13855</f>
        <v>13855.0</v>
      </c>
      <c r="N60" s="34" t="s">
        <v>51</v>
      </c>
      <c r="O60" s="33" t="n">
        <f>12575</f>
        <v>12575.0</v>
      </c>
      <c r="P60" s="34" t="s">
        <v>69</v>
      </c>
      <c r="Q60" s="33" t="n">
        <f>13820</f>
        <v>13820.0</v>
      </c>
      <c r="R60" s="34" t="s">
        <v>51</v>
      </c>
      <c r="S60" s="35" t="n">
        <f>13199.71</f>
        <v>13199.71</v>
      </c>
      <c r="T60" s="32" t="n">
        <f>2760</f>
        <v>2760.0</v>
      </c>
      <c r="U60" s="32" t="str">
        <f>"－"</f>
        <v>－</v>
      </c>
      <c r="V60" s="32" t="n">
        <f>36432650</f>
        <v>3.643265E7</v>
      </c>
      <c r="W60" s="32" t="str">
        <f>"－"</f>
        <v>－</v>
      </c>
      <c r="X60" s="36" t="n">
        <f>17</f>
        <v>17.0</v>
      </c>
    </row>
    <row r="61">
      <c r="A61" s="27" t="s">
        <v>42</v>
      </c>
      <c r="B61" s="27" t="s">
        <v>222</v>
      </c>
      <c r="C61" s="27" t="s">
        <v>223</v>
      </c>
      <c r="D61" s="27" t="s">
        <v>224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10.0</v>
      </c>
      <c r="K61" s="33" t="n">
        <f>4615</f>
        <v>4615.0</v>
      </c>
      <c r="L61" s="34" t="s">
        <v>225</v>
      </c>
      <c r="M61" s="33" t="n">
        <f>4720</f>
        <v>4720.0</v>
      </c>
      <c r="N61" s="34" t="s">
        <v>50</v>
      </c>
      <c r="O61" s="33" t="n">
        <f>4615</f>
        <v>4615.0</v>
      </c>
      <c r="P61" s="34" t="s">
        <v>225</v>
      </c>
      <c r="Q61" s="33" t="n">
        <f>4677</f>
        <v>4677.0</v>
      </c>
      <c r="R61" s="34" t="s">
        <v>175</v>
      </c>
      <c r="S61" s="35" t="n">
        <f>4673.25</f>
        <v>4673.25</v>
      </c>
      <c r="T61" s="32" t="n">
        <f>40</f>
        <v>40.0</v>
      </c>
      <c r="U61" s="32" t="str">
        <f>"－"</f>
        <v>－</v>
      </c>
      <c r="V61" s="32" t="n">
        <f>186930</f>
        <v>186930.0</v>
      </c>
      <c r="W61" s="32" t="str">
        <f>"－"</f>
        <v>－</v>
      </c>
      <c r="X61" s="36" t="n">
        <f>4</f>
        <v>4.0</v>
      </c>
    </row>
    <row r="62">
      <c r="A62" s="27" t="s">
        <v>42</v>
      </c>
      <c r="B62" s="27" t="s">
        <v>226</v>
      </c>
      <c r="C62" s="27" t="s">
        <v>227</v>
      </c>
      <c r="D62" s="27" t="s">
        <v>228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10.0</v>
      </c>
      <c r="K62" s="33" t="n">
        <f>1959.5</f>
        <v>1959.5</v>
      </c>
      <c r="L62" s="34" t="s">
        <v>48</v>
      </c>
      <c r="M62" s="33" t="n">
        <f>2065</f>
        <v>2065.0</v>
      </c>
      <c r="N62" s="34" t="s">
        <v>50</v>
      </c>
      <c r="O62" s="33" t="n">
        <f>1873</f>
        <v>1873.0</v>
      </c>
      <c r="P62" s="34" t="s">
        <v>49</v>
      </c>
      <c r="Q62" s="33" t="n">
        <f>1880.5</f>
        <v>1880.5</v>
      </c>
      <c r="R62" s="34" t="s">
        <v>51</v>
      </c>
      <c r="S62" s="35" t="n">
        <f>1959.66</f>
        <v>1959.66</v>
      </c>
      <c r="T62" s="32" t="n">
        <f>51330</f>
        <v>51330.0</v>
      </c>
      <c r="U62" s="32" t="str">
        <f>"－"</f>
        <v>－</v>
      </c>
      <c r="V62" s="32" t="n">
        <f>100723115</f>
        <v>1.00723115E8</v>
      </c>
      <c r="W62" s="32" t="str">
        <f>"－"</f>
        <v>－</v>
      </c>
      <c r="X62" s="36" t="n">
        <f>19</f>
        <v>19.0</v>
      </c>
    </row>
    <row r="63">
      <c r="A63" s="27" t="s">
        <v>42</v>
      </c>
      <c r="B63" s="27" t="s">
        <v>229</v>
      </c>
      <c r="C63" s="27" t="s">
        <v>230</v>
      </c>
      <c r="D63" s="27" t="s">
        <v>231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780</f>
        <v>780.0</v>
      </c>
      <c r="L63" s="34" t="s">
        <v>48</v>
      </c>
      <c r="M63" s="33" t="n">
        <f>849</f>
        <v>849.0</v>
      </c>
      <c r="N63" s="34" t="s">
        <v>162</v>
      </c>
      <c r="O63" s="33" t="n">
        <f>753</f>
        <v>753.0</v>
      </c>
      <c r="P63" s="34" t="s">
        <v>49</v>
      </c>
      <c r="Q63" s="33" t="n">
        <f>765</f>
        <v>765.0</v>
      </c>
      <c r="R63" s="34" t="s">
        <v>51</v>
      </c>
      <c r="S63" s="35" t="n">
        <f>790.84</f>
        <v>790.84</v>
      </c>
      <c r="T63" s="32" t="n">
        <f>62908</f>
        <v>62908.0</v>
      </c>
      <c r="U63" s="32" t="str">
        <f>"－"</f>
        <v>－</v>
      </c>
      <c r="V63" s="32" t="n">
        <f>51723282</f>
        <v>5.1723282E7</v>
      </c>
      <c r="W63" s="32" t="str">
        <f>"－"</f>
        <v>－</v>
      </c>
      <c r="X63" s="36" t="n">
        <f>19</f>
        <v>19.0</v>
      </c>
    </row>
    <row r="64">
      <c r="A64" s="27" t="s">
        <v>42</v>
      </c>
      <c r="B64" s="27" t="s">
        <v>232</v>
      </c>
      <c r="C64" s="27" t="s">
        <v>233</v>
      </c>
      <c r="D64" s="27" t="s">
        <v>234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1943.5</f>
        <v>1943.5</v>
      </c>
      <c r="L64" s="34" t="s">
        <v>48</v>
      </c>
      <c r="M64" s="33" t="n">
        <f>1972.5</f>
        <v>1972.5</v>
      </c>
      <c r="N64" s="34" t="s">
        <v>49</v>
      </c>
      <c r="O64" s="33" t="n">
        <f>1870</f>
        <v>1870.0</v>
      </c>
      <c r="P64" s="34" t="s">
        <v>50</v>
      </c>
      <c r="Q64" s="33" t="n">
        <f>1956.5</f>
        <v>1956.5</v>
      </c>
      <c r="R64" s="34" t="s">
        <v>51</v>
      </c>
      <c r="S64" s="35" t="n">
        <f>1925.24</f>
        <v>1925.24</v>
      </c>
      <c r="T64" s="32" t="n">
        <f>875930</f>
        <v>875930.0</v>
      </c>
      <c r="U64" s="32" t="str">
        <f>"－"</f>
        <v>－</v>
      </c>
      <c r="V64" s="32" t="n">
        <f>1670963855</f>
        <v>1.670963855E9</v>
      </c>
      <c r="W64" s="32" t="str">
        <f>"－"</f>
        <v>－</v>
      </c>
      <c r="X64" s="36" t="n">
        <f>19</f>
        <v>19.0</v>
      </c>
    </row>
    <row r="65">
      <c r="A65" s="27" t="s">
        <v>42</v>
      </c>
      <c r="B65" s="27" t="s">
        <v>235</v>
      </c>
      <c r="C65" s="27" t="s">
        <v>236</v>
      </c>
      <c r="D65" s="27" t="s">
        <v>237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17460</f>
        <v>17460.0</v>
      </c>
      <c r="L65" s="34" t="s">
        <v>48</v>
      </c>
      <c r="M65" s="33" t="n">
        <f>17820</f>
        <v>17820.0</v>
      </c>
      <c r="N65" s="34" t="s">
        <v>73</v>
      </c>
      <c r="O65" s="33" t="n">
        <f>16795</f>
        <v>16795.0</v>
      </c>
      <c r="P65" s="34" t="s">
        <v>50</v>
      </c>
      <c r="Q65" s="33" t="n">
        <f>17580</f>
        <v>17580.0</v>
      </c>
      <c r="R65" s="34" t="s">
        <v>51</v>
      </c>
      <c r="S65" s="35" t="n">
        <f>17262.89</f>
        <v>17262.89</v>
      </c>
      <c r="T65" s="32" t="n">
        <f>3635</f>
        <v>3635.0</v>
      </c>
      <c r="U65" s="32" t="str">
        <f>"－"</f>
        <v>－</v>
      </c>
      <c r="V65" s="32" t="n">
        <f>63255720</f>
        <v>6.325572E7</v>
      </c>
      <c r="W65" s="32" t="str">
        <f>"－"</f>
        <v>－</v>
      </c>
      <c r="X65" s="36" t="n">
        <f>19</f>
        <v>19.0</v>
      </c>
    </row>
    <row r="66">
      <c r="A66" s="27" t="s">
        <v>42</v>
      </c>
      <c r="B66" s="27" t="s">
        <v>238</v>
      </c>
      <c r="C66" s="27" t="s">
        <v>239</v>
      </c>
      <c r="D66" s="27" t="s">
        <v>240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1955</f>
        <v>1955.0</v>
      </c>
      <c r="L66" s="34" t="s">
        <v>48</v>
      </c>
      <c r="M66" s="33" t="n">
        <f>1986</f>
        <v>1986.0</v>
      </c>
      <c r="N66" s="34" t="s">
        <v>51</v>
      </c>
      <c r="O66" s="33" t="n">
        <f>1881</f>
        <v>1881.0</v>
      </c>
      <c r="P66" s="34" t="s">
        <v>50</v>
      </c>
      <c r="Q66" s="33" t="n">
        <f>1970</f>
        <v>1970.0</v>
      </c>
      <c r="R66" s="34" t="s">
        <v>51</v>
      </c>
      <c r="S66" s="35" t="n">
        <f>1938.68</f>
        <v>1938.68</v>
      </c>
      <c r="T66" s="32" t="n">
        <f>13624204</f>
        <v>1.3624204E7</v>
      </c>
      <c r="U66" s="32" t="n">
        <f>4620728</f>
        <v>4620728.0</v>
      </c>
      <c r="V66" s="32" t="n">
        <f>26352960938</f>
        <v>2.6352960938E10</v>
      </c>
      <c r="W66" s="32" t="n">
        <f>8933349260</f>
        <v>8.93334926E9</v>
      </c>
      <c r="X66" s="36" t="n">
        <f>19</f>
        <v>19.0</v>
      </c>
    </row>
    <row r="67">
      <c r="A67" s="27" t="s">
        <v>42</v>
      </c>
      <c r="B67" s="27" t="s">
        <v>241</v>
      </c>
      <c r="C67" s="27" t="s">
        <v>242</v>
      </c>
      <c r="D67" s="27" t="s">
        <v>243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2060</f>
        <v>2060.0</v>
      </c>
      <c r="L67" s="34" t="s">
        <v>48</v>
      </c>
      <c r="M67" s="33" t="n">
        <f>2072</f>
        <v>2072.0</v>
      </c>
      <c r="N67" s="34" t="s">
        <v>48</v>
      </c>
      <c r="O67" s="33" t="n">
        <f>1976</f>
        <v>1976.0</v>
      </c>
      <c r="P67" s="34" t="s">
        <v>91</v>
      </c>
      <c r="Q67" s="33" t="n">
        <f>2062</f>
        <v>2062.0</v>
      </c>
      <c r="R67" s="34" t="s">
        <v>51</v>
      </c>
      <c r="S67" s="35" t="n">
        <f>2032.53</f>
        <v>2032.53</v>
      </c>
      <c r="T67" s="32" t="n">
        <f>5283219</f>
        <v>5283219.0</v>
      </c>
      <c r="U67" s="32" t="n">
        <f>3779834</f>
        <v>3779834.0</v>
      </c>
      <c r="V67" s="32" t="n">
        <f>10761986069</f>
        <v>1.0761986069E10</v>
      </c>
      <c r="W67" s="32" t="n">
        <f>7721422801</f>
        <v>7.721422801E9</v>
      </c>
      <c r="X67" s="36" t="n">
        <f>19</f>
        <v>19.0</v>
      </c>
    </row>
    <row r="68">
      <c r="A68" s="27" t="s">
        <v>42</v>
      </c>
      <c r="B68" s="27" t="s">
        <v>244</v>
      </c>
      <c r="C68" s="27" t="s">
        <v>245</v>
      </c>
      <c r="D68" s="27" t="s">
        <v>246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1860</f>
        <v>1860.0</v>
      </c>
      <c r="L68" s="34" t="s">
        <v>48</v>
      </c>
      <c r="M68" s="33" t="n">
        <f>1861</f>
        <v>1861.0</v>
      </c>
      <c r="N68" s="34" t="s">
        <v>73</v>
      </c>
      <c r="O68" s="33" t="n">
        <f>1789</f>
        <v>1789.0</v>
      </c>
      <c r="P68" s="34" t="s">
        <v>162</v>
      </c>
      <c r="Q68" s="33" t="n">
        <f>1843</f>
        <v>1843.0</v>
      </c>
      <c r="R68" s="34" t="s">
        <v>51</v>
      </c>
      <c r="S68" s="35" t="n">
        <f>1824.53</f>
        <v>1824.53</v>
      </c>
      <c r="T68" s="32" t="n">
        <f>3973</f>
        <v>3973.0</v>
      </c>
      <c r="U68" s="32" t="str">
        <f>"－"</f>
        <v>－</v>
      </c>
      <c r="V68" s="32" t="n">
        <f>7196144</f>
        <v>7196144.0</v>
      </c>
      <c r="W68" s="32" t="str">
        <f>"－"</f>
        <v>－</v>
      </c>
      <c r="X68" s="36" t="n">
        <f>19</f>
        <v>19.0</v>
      </c>
    </row>
    <row r="69">
      <c r="A69" s="27" t="s">
        <v>42</v>
      </c>
      <c r="B69" s="27" t="s">
        <v>247</v>
      </c>
      <c r="C69" s="27" t="s">
        <v>248</v>
      </c>
      <c r="D69" s="27" t="s">
        <v>249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2360</f>
        <v>2360.0</v>
      </c>
      <c r="L69" s="34" t="s">
        <v>48</v>
      </c>
      <c r="M69" s="33" t="n">
        <f>2393</f>
        <v>2393.0</v>
      </c>
      <c r="N69" s="34" t="s">
        <v>73</v>
      </c>
      <c r="O69" s="33" t="n">
        <f>2284</f>
        <v>2284.0</v>
      </c>
      <c r="P69" s="34" t="s">
        <v>50</v>
      </c>
      <c r="Q69" s="33" t="n">
        <f>2365</f>
        <v>2365.0</v>
      </c>
      <c r="R69" s="34" t="s">
        <v>51</v>
      </c>
      <c r="S69" s="35" t="n">
        <f>2339.32</f>
        <v>2339.32</v>
      </c>
      <c r="T69" s="32" t="n">
        <f>471520</f>
        <v>471520.0</v>
      </c>
      <c r="U69" s="32" t="n">
        <f>22002</f>
        <v>22002.0</v>
      </c>
      <c r="V69" s="32" t="n">
        <f>1094949225</f>
        <v>1.094949225E9</v>
      </c>
      <c r="W69" s="32" t="n">
        <f>51746462</f>
        <v>5.1746462E7</v>
      </c>
      <c r="X69" s="36" t="n">
        <f>19</f>
        <v>19.0</v>
      </c>
    </row>
    <row r="70">
      <c r="A70" s="27" t="s">
        <v>42</v>
      </c>
      <c r="B70" s="27" t="s">
        <v>250</v>
      </c>
      <c r="C70" s="27" t="s">
        <v>251</v>
      </c>
      <c r="D70" s="27" t="s">
        <v>252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23320</f>
        <v>23320.0</v>
      </c>
      <c r="L70" s="34" t="s">
        <v>91</v>
      </c>
      <c r="M70" s="33" t="n">
        <f>24100</f>
        <v>24100.0</v>
      </c>
      <c r="N70" s="34" t="s">
        <v>49</v>
      </c>
      <c r="O70" s="33" t="n">
        <f>23320</f>
        <v>23320.0</v>
      </c>
      <c r="P70" s="34" t="s">
        <v>91</v>
      </c>
      <c r="Q70" s="33" t="n">
        <f>24100</f>
        <v>24100.0</v>
      </c>
      <c r="R70" s="34" t="s">
        <v>49</v>
      </c>
      <c r="S70" s="35" t="n">
        <f>23808.33</f>
        <v>23808.33</v>
      </c>
      <c r="T70" s="32" t="n">
        <f>4</f>
        <v>4.0</v>
      </c>
      <c r="U70" s="32" t="str">
        <f>"－"</f>
        <v>－</v>
      </c>
      <c r="V70" s="32" t="n">
        <f>94745</f>
        <v>94745.0</v>
      </c>
      <c r="W70" s="32" t="str">
        <f>"－"</f>
        <v>－</v>
      </c>
      <c r="X70" s="36" t="n">
        <f>3</f>
        <v>3.0</v>
      </c>
    </row>
    <row r="71">
      <c r="A71" s="27" t="s">
        <v>42</v>
      </c>
      <c r="B71" s="27" t="s">
        <v>253</v>
      </c>
      <c r="C71" s="27" t="s">
        <v>254</v>
      </c>
      <c r="D71" s="27" t="s">
        <v>255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19080</f>
        <v>19080.0</v>
      </c>
      <c r="L71" s="34" t="s">
        <v>48</v>
      </c>
      <c r="M71" s="33" t="n">
        <f>19255</f>
        <v>19255.0</v>
      </c>
      <c r="N71" s="34" t="s">
        <v>73</v>
      </c>
      <c r="O71" s="33" t="n">
        <f>18585</f>
        <v>18585.0</v>
      </c>
      <c r="P71" s="34" t="s">
        <v>50</v>
      </c>
      <c r="Q71" s="33" t="n">
        <f>18800</f>
        <v>18800.0</v>
      </c>
      <c r="R71" s="34" t="s">
        <v>162</v>
      </c>
      <c r="S71" s="35" t="n">
        <f>18976</f>
        <v>18976.0</v>
      </c>
      <c r="T71" s="32" t="n">
        <f>65</f>
        <v>65.0</v>
      </c>
      <c r="U71" s="32" t="str">
        <f>"－"</f>
        <v>－</v>
      </c>
      <c r="V71" s="32" t="n">
        <f>1237510</f>
        <v>1237510.0</v>
      </c>
      <c r="W71" s="32" t="str">
        <f>"－"</f>
        <v>－</v>
      </c>
      <c r="X71" s="36" t="n">
        <f>5</f>
        <v>5.0</v>
      </c>
    </row>
    <row r="72">
      <c r="A72" s="27" t="s">
        <v>42</v>
      </c>
      <c r="B72" s="27" t="s">
        <v>256</v>
      </c>
      <c r="C72" s="27" t="s">
        <v>257</v>
      </c>
      <c r="D72" s="27" t="s">
        <v>258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2000</f>
        <v>2000.0</v>
      </c>
      <c r="L72" s="34" t="s">
        <v>48</v>
      </c>
      <c r="M72" s="33" t="n">
        <f>2012</f>
        <v>2012.0</v>
      </c>
      <c r="N72" s="34" t="s">
        <v>51</v>
      </c>
      <c r="O72" s="33" t="n">
        <f>1908</f>
        <v>1908.0</v>
      </c>
      <c r="P72" s="34" t="s">
        <v>50</v>
      </c>
      <c r="Q72" s="33" t="n">
        <f>2003</f>
        <v>2003.0</v>
      </c>
      <c r="R72" s="34" t="s">
        <v>51</v>
      </c>
      <c r="S72" s="35" t="n">
        <f>1957.84</f>
        <v>1957.84</v>
      </c>
      <c r="T72" s="32" t="n">
        <f>480</f>
        <v>480.0</v>
      </c>
      <c r="U72" s="32" t="str">
        <f>"－"</f>
        <v>－</v>
      </c>
      <c r="V72" s="32" t="n">
        <f>939595</f>
        <v>939595.0</v>
      </c>
      <c r="W72" s="32" t="str">
        <f>"－"</f>
        <v>－</v>
      </c>
      <c r="X72" s="36" t="n">
        <f>19</f>
        <v>19.0</v>
      </c>
    </row>
    <row r="73">
      <c r="A73" s="27" t="s">
        <v>42</v>
      </c>
      <c r="B73" s="27" t="s">
        <v>259</v>
      </c>
      <c r="C73" s="27" t="s">
        <v>260</v>
      </c>
      <c r="D73" s="27" t="s">
        <v>261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2066</f>
        <v>2066.0</v>
      </c>
      <c r="L73" s="34" t="s">
        <v>48</v>
      </c>
      <c r="M73" s="33" t="n">
        <f>2101</f>
        <v>2101.0</v>
      </c>
      <c r="N73" s="34" t="s">
        <v>49</v>
      </c>
      <c r="O73" s="33" t="n">
        <f>2028</f>
        <v>2028.0</v>
      </c>
      <c r="P73" s="34" t="s">
        <v>225</v>
      </c>
      <c r="Q73" s="33" t="n">
        <f>2080</f>
        <v>2080.0</v>
      </c>
      <c r="R73" s="34" t="s">
        <v>51</v>
      </c>
      <c r="S73" s="35" t="n">
        <f>2072.11</f>
        <v>2072.11</v>
      </c>
      <c r="T73" s="32" t="n">
        <f>3568695</f>
        <v>3568695.0</v>
      </c>
      <c r="U73" s="32" t="n">
        <f>1758136</f>
        <v>1758136.0</v>
      </c>
      <c r="V73" s="32" t="n">
        <f>7392412655</f>
        <v>7.392412655E9</v>
      </c>
      <c r="W73" s="32" t="n">
        <f>3642335319</f>
        <v>3.642335319E9</v>
      </c>
      <c r="X73" s="36" t="n">
        <f>19</f>
        <v>19.0</v>
      </c>
    </row>
    <row r="74">
      <c r="A74" s="27" t="s">
        <v>42</v>
      </c>
      <c r="B74" s="27" t="s">
        <v>262</v>
      </c>
      <c r="C74" s="27" t="s">
        <v>263</v>
      </c>
      <c r="D74" s="27" t="s">
        <v>264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2007</f>
        <v>2007.0</v>
      </c>
      <c r="L74" s="34" t="s">
        <v>48</v>
      </c>
      <c r="M74" s="33" t="n">
        <f>2055</f>
        <v>2055.0</v>
      </c>
      <c r="N74" s="34" t="s">
        <v>48</v>
      </c>
      <c r="O74" s="33" t="n">
        <f>1950</f>
        <v>1950.0</v>
      </c>
      <c r="P74" s="34" t="s">
        <v>51</v>
      </c>
      <c r="Q74" s="33" t="n">
        <f>1950</f>
        <v>1950.0</v>
      </c>
      <c r="R74" s="34" t="s">
        <v>51</v>
      </c>
      <c r="S74" s="35" t="n">
        <f>2011.89</f>
        <v>2011.89</v>
      </c>
      <c r="T74" s="32" t="n">
        <f>395</f>
        <v>395.0</v>
      </c>
      <c r="U74" s="32" t="str">
        <f>"－"</f>
        <v>－</v>
      </c>
      <c r="V74" s="32" t="n">
        <f>795017</f>
        <v>795017.0</v>
      </c>
      <c r="W74" s="32" t="str">
        <f>"－"</f>
        <v>－</v>
      </c>
      <c r="X74" s="36" t="n">
        <f>19</f>
        <v>19.0</v>
      </c>
    </row>
    <row r="75">
      <c r="A75" s="27" t="s">
        <v>42</v>
      </c>
      <c r="B75" s="27" t="s">
        <v>265</v>
      </c>
      <c r="C75" s="27" t="s">
        <v>266</v>
      </c>
      <c r="D75" s="27" t="s">
        <v>267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10.0</v>
      </c>
      <c r="K75" s="33" t="n">
        <f>1956</f>
        <v>1956.0</v>
      </c>
      <c r="L75" s="34" t="s">
        <v>48</v>
      </c>
      <c r="M75" s="33" t="n">
        <f>1980</f>
        <v>1980.0</v>
      </c>
      <c r="N75" s="34" t="s">
        <v>49</v>
      </c>
      <c r="O75" s="33" t="n">
        <f>1881</f>
        <v>1881.0</v>
      </c>
      <c r="P75" s="34" t="s">
        <v>50</v>
      </c>
      <c r="Q75" s="33" t="n">
        <f>1965.5</f>
        <v>1965.5</v>
      </c>
      <c r="R75" s="34" t="s">
        <v>51</v>
      </c>
      <c r="S75" s="35" t="n">
        <f>1933.18</f>
        <v>1933.18</v>
      </c>
      <c r="T75" s="32" t="n">
        <f>52570</f>
        <v>52570.0</v>
      </c>
      <c r="U75" s="32" t="str">
        <f>"－"</f>
        <v>－</v>
      </c>
      <c r="V75" s="32" t="n">
        <f>101408155</f>
        <v>1.01408155E8</v>
      </c>
      <c r="W75" s="32" t="str">
        <f>"－"</f>
        <v>－</v>
      </c>
      <c r="X75" s="36" t="n">
        <f>19</f>
        <v>19.0</v>
      </c>
    </row>
    <row r="76">
      <c r="A76" s="27" t="s">
        <v>42</v>
      </c>
      <c r="B76" s="27" t="s">
        <v>268</v>
      </c>
      <c r="C76" s="27" t="s">
        <v>269</v>
      </c>
      <c r="D76" s="27" t="s">
        <v>270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str">
        <f>"－"</f>
        <v>－</v>
      </c>
      <c r="L76" s="34"/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5" t="str">
        <f>"－"</f>
        <v>－</v>
      </c>
      <c r="T76" s="32" t="str">
        <f>"－"</f>
        <v>－</v>
      </c>
      <c r="U76" s="32" t="str">
        <f>"－"</f>
        <v>－</v>
      </c>
      <c r="V76" s="32" t="str">
        <f>"－"</f>
        <v>－</v>
      </c>
      <c r="W76" s="32" t="str">
        <f>"－"</f>
        <v>－</v>
      </c>
      <c r="X76" s="36" t="str">
        <f>"－"</f>
        <v>－</v>
      </c>
    </row>
    <row r="77">
      <c r="A77" s="27" t="s">
        <v>42</v>
      </c>
      <c r="B77" s="27" t="s">
        <v>271</v>
      </c>
      <c r="C77" s="27" t="s">
        <v>272</v>
      </c>
      <c r="D77" s="27" t="s">
        <v>273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22360</f>
        <v>22360.0</v>
      </c>
      <c r="L77" s="34" t="s">
        <v>48</v>
      </c>
      <c r="M77" s="33" t="n">
        <f>22360</f>
        <v>22360.0</v>
      </c>
      <c r="N77" s="34" t="s">
        <v>48</v>
      </c>
      <c r="O77" s="33" t="n">
        <f>22005</f>
        <v>22005.0</v>
      </c>
      <c r="P77" s="34" t="s">
        <v>125</v>
      </c>
      <c r="Q77" s="33" t="n">
        <f>22080</f>
        <v>22080.0</v>
      </c>
      <c r="R77" s="34" t="s">
        <v>51</v>
      </c>
      <c r="S77" s="35" t="n">
        <f>22126.05</f>
        <v>22126.05</v>
      </c>
      <c r="T77" s="32" t="n">
        <f>43109</f>
        <v>43109.0</v>
      </c>
      <c r="U77" s="32" t="n">
        <f>22140</f>
        <v>22140.0</v>
      </c>
      <c r="V77" s="32" t="n">
        <f>953133862</f>
        <v>9.53133862E8</v>
      </c>
      <c r="W77" s="32" t="n">
        <f>490243277</f>
        <v>4.90243277E8</v>
      </c>
      <c r="X77" s="36" t="n">
        <f>19</f>
        <v>19.0</v>
      </c>
    </row>
    <row r="78">
      <c r="A78" s="27" t="s">
        <v>42</v>
      </c>
      <c r="B78" s="27" t="s">
        <v>274</v>
      </c>
      <c r="C78" s="27" t="s">
        <v>275</v>
      </c>
      <c r="D78" s="27" t="s">
        <v>276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16155</f>
        <v>16155.0</v>
      </c>
      <c r="L78" s="34" t="s">
        <v>48</v>
      </c>
      <c r="M78" s="33" t="n">
        <f>16395</f>
        <v>16395.0</v>
      </c>
      <c r="N78" s="34" t="s">
        <v>277</v>
      </c>
      <c r="O78" s="33" t="n">
        <f>15775</f>
        <v>15775.0</v>
      </c>
      <c r="P78" s="34" t="s">
        <v>225</v>
      </c>
      <c r="Q78" s="33" t="n">
        <f>16190</f>
        <v>16190.0</v>
      </c>
      <c r="R78" s="34" t="s">
        <v>51</v>
      </c>
      <c r="S78" s="35" t="n">
        <f>16113.95</f>
        <v>16113.95</v>
      </c>
      <c r="T78" s="32" t="n">
        <f>770654</f>
        <v>770654.0</v>
      </c>
      <c r="U78" s="32" t="n">
        <f>545973</f>
        <v>545973.0</v>
      </c>
      <c r="V78" s="32" t="n">
        <f>12357608399</f>
        <v>1.2357608399E10</v>
      </c>
      <c r="W78" s="32" t="n">
        <f>8763961414</f>
        <v>8.763961414E9</v>
      </c>
      <c r="X78" s="36" t="n">
        <f>19</f>
        <v>19.0</v>
      </c>
    </row>
    <row r="79">
      <c r="A79" s="27" t="s">
        <v>42</v>
      </c>
      <c r="B79" s="27" t="s">
        <v>278</v>
      </c>
      <c r="C79" s="27" t="s">
        <v>279</v>
      </c>
      <c r="D79" s="27" t="s">
        <v>280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10.0</v>
      </c>
      <c r="K79" s="33" t="n">
        <f>2049</f>
        <v>2049.0</v>
      </c>
      <c r="L79" s="34" t="s">
        <v>48</v>
      </c>
      <c r="M79" s="33" t="n">
        <f>2071.5</f>
        <v>2071.5</v>
      </c>
      <c r="N79" s="34" t="s">
        <v>51</v>
      </c>
      <c r="O79" s="33" t="n">
        <f>1989</f>
        <v>1989.0</v>
      </c>
      <c r="P79" s="34" t="s">
        <v>50</v>
      </c>
      <c r="Q79" s="33" t="n">
        <f>2071.5</f>
        <v>2071.5</v>
      </c>
      <c r="R79" s="34" t="s">
        <v>51</v>
      </c>
      <c r="S79" s="35" t="n">
        <f>2039.47</f>
        <v>2039.47</v>
      </c>
      <c r="T79" s="32" t="n">
        <f>3839250</f>
        <v>3839250.0</v>
      </c>
      <c r="U79" s="32" t="n">
        <f>1297620</f>
        <v>1297620.0</v>
      </c>
      <c r="V79" s="32" t="n">
        <f>7818860242</f>
        <v>7.818860242E9</v>
      </c>
      <c r="W79" s="32" t="n">
        <f>2646466607</f>
        <v>2.646466607E9</v>
      </c>
      <c r="X79" s="36" t="n">
        <f>19</f>
        <v>19.0</v>
      </c>
    </row>
    <row r="80">
      <c r="A80" s="27" t="s">
        <v>42</v>
      </c>
      <c r="B80" s="27" t="s">
        <v>281</v>
      </c>
      <c r="C80" s="27" t="s">
        <v>282</v>
      </c>
      <c r="D80" s="27" t="s">
        <v>283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40150</f>
        <v>40150.0</v>
      </c>
      <c r="L80" s="34" t="s">
        <v>48</v>
      </c>
      <c r="M80" s="33" t="n">
        <f>41050</f>
        <v>41050.0</v>
      </c>
      <c r="N80" s="34" t="s">
        <v>51</v>
      </c>
      <c r="O80" s="33" t="n">
        <f>38930</f>
        <v>38930.0</v>
      </c>
      <c r="P80" s="34" t="s">
        <v>69</v>
      </c>
      <c r="Q80" s="33" t="n">
        <f>40700</f>
        <v>40700.0</v>
      </c>
      <c r="R80" s="34" t="s">
        <v>51</v>
      </c>
      <c r="S80" s="35" t="n">
        <f>40055.79</f>
        <v>40055.79</v>
      </c>
      <c r="T80" s="32" t="n">
        <f>82973</f>
        <v>82973.0</v>
      </c>
      <c r="U80" s="32" t="n">
        <f>25534</f>
        <v>25534.0</v>
      </c>
      <c r="V80" s="32" t="n">
        <f>3313950608</f>
        <v>3.313950608E9</v>
      </c>
      <c r="W80" s="32" t="n">
        <f>1016898688</f>
        <v>1.016898688E9</v>
      </c>
      <c r="X80" s="36" t="n">
        <f>19</f>
        <v>19.0</v>
      </c>
    </row>
    <row r="81">
      <c r="A81" s="27" t="s">
        <v>42</v>
      </c>
      <c r="B81" s="27" t="s">
        <v>284</v>
      </c>
      <c r="C81" s="27" t="s">
        <v>285</v>
      </c>
      <c r="D81" s="27" t="s">
        <v>286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7655</f>
        <v>7655.0</v>
      </c>
      <c r="L81" s="34" t="s">
        <v>48</v>
      </c>
      <c r="M81" s="33" t="n">
        <f>7776</f>
        <v>7776.0</v>
      </c>
      <c r="N81" s="34" t="s">
        <v>62</v>
      </c>
      <c r="O81" s="33" t="n">
        <f>7655</f>
        <v>7655.0</v>
      </c>
      <c r="P81" s="34" t="s">
        <v>48</v>
      </c>
      <c r="Q81" s="33" t="n">
        <f>7776</f>
        <v>7776.0</v>
      </c>
      <c r="R81" s="34" t="s">
        <v>62</v>
      </c>
      <c r="S81" s="35" t="n">
        <f>7715.5</f>
        <v>7715.5</v>
      </c>
      <c r="T81" s="32" t="n">
        <f>110</f>
        <v>110.0</v>
      </c>
      <c r="U81" s="32" t="str">
        <f>"－"</f>
        <v>－</v>
      </c>
      <c r="V81" s="32" t="n">
        <f>851730</f>
        <v>851730.0</v>
      </c>
      <c r="W81" s="32" t="str">
        <f>"－"</f>
        <v>－</v>
      </c>
      <c r="X81" s="36" t="n">
        <f>2</f>
        <v>2.0</v>
      </c>
    </row>
    <row r="82">
      <c r="A82" s="27" t="s">
        <v>42</v>
      </c>
      <c r="B82" s="27" t="s">
        <v>287</v>
      </c>
      <c r="C82" s="27" t="s">
        <v>288</v>
      </c>
      <c r="D82" s="27" t="s">
        <v>289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15150</f>
        <v>15150.0</v>
      </c>
      <c r="L82" s="34" t="s">
        <v>48</v>
      </c>
      <c r="M82" s="33" t="n">
        <f>15240</f>
        <v>15240.0</v>
      </c>
      <c r="N82" s="34" t="s">
        <v>73</v>
      </c>
      <c r="O82" s="33" t="n">
        <f>14680</f>
        <v>14680.0</v>
      </c>
      <c r="P82" s="34" t="s">
        <v>50</v>
      </c>
      <c r="Q82" s="33" t="n">
        <f>15155</f>
        <v>15155.0</v>
      </c>
      <c r="R82" s="34" t="s">
        <v>51</v>
      </c>
      <c r="S82" s="35" t="n">
        <f>14957.11</f>
        <v>14957.11</v>
      </c>
      <c r="T82" s="32" t="n">
        <f>144</f>
        <v>144.0</v>
      </c>
      <c r="U82" s="32" t="str">
        <f>"－"</f>
        <v>－</v>
      </c>
      <c r="V82" s="32" t="n">
        <f>2151980</f>
        <v>2151980.0</v>
      </c>
      <c r="W82" s="32" t="str">
        <f>"－"</f>
        <v>－</v>
      </c>
      <c r="X82" s="36" t="n">
        <f>19</f>
        <v>19.0</v>
      </c>
    </row>
    <row r="83">
      <c r="A83" s="27" t="s">
        <v>42</v>
      </c>
      <c r="B83" s="27" t="s">
        <v>290</v>
      </c>
      <c r="C83" s="27" t="s">
        <v>291</v>
      </c>
      <c r="D83" s="27" t="s">
        <v>292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15160</f>
        <v>15160.0</v>
      </c>
      <c r="L83" s="34" t="s">
        <v>48</v>
      </c>
      <c r="M83" s="33" t="n">
        <f>15230</f>
        <v>15230.0</v>
      </c>
      <c r="N83" s="34" t="s">
        <v>49</v>
      </c>
      <c r="O83" s="33" t="n">
        <f>14425</f>
        <v>14425.0</v>
      </c>
      <c r="P83" s="34" t="s">
        <v>50</v>
      </c>
      <c r="Q83" s="33" t="n">
        <f>15110</f>
        <v>15110.0</v>
      </c>
      <c r="R83" s="34" t="s">
        <v>51</v>
      </c>
      <c r="S83" s="35" t="n">
        <f>14885.79</f>
        <v>14885.79</v>
      </c>
      <c r="T83" s="32" t="n">
        <f>5968</f>
        <v>5968.0</v>
      </c>
      <c r="U83" s="32" t="str">
        <f>"－"</f>
        <v>－</v>
      </c>
      <c r="V83" s="32" t="n">
        <f>88102690</f>
        <v>8.810269E7</v>
      </c>
      <c r="W83" s="32" t="str">
        <f>"－"</f>
        <v>－</v>
      </c>
      <c r="X83" s="36" t="n">
        <f>19</f>
        <v>19.0</v>
      </c>
    </row>
    <row r="84">
      <c r="A84" s="27" t="s">
        <v>42</v>
      </c>
      <c r="B84" s="27" t="s">
        <v>293</v>
      </c>
      <c r="C84" s="27" t="s">
        <v>294</v>
      </c>
      <c r="D84" s="27" t="s">
        <v>295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19195</f>
        <v>19195.0</v>
      </c>
      <c r="L84" s="34" t="s">
        <v>48</v>
      </c>
      <c r="M84" s="33" t="n">
        <f>19760</f>
        <v>19760.0</v>
      </c>
      <c r="N84" s="34" t="s">
        <v>73</v>
      </c>
      <c r="O84" s="33" t="n">
        <f>19035</f>
        <v>19035.0</v>
      </c>
      <c r="P84" s="34" t="s">
        <v>69</v>
      </c>
      <c r="Q84" s="33" t="n">
        <f>19440</f>
        <v>19440.0</v>
      </c>
      <c r="R84" s="34" t="s">
        <v>51</v>
      </c>
      <c r="S84" s="35" t="n">
        <f>19411.05</f>
        <v>19411.05</v>
      </c>
      <c r="T84" s="32" t="n">
        <f>4741</f>
        <v>4741.0</v>
      </c>
      <c r="U84" s="32" t="n">
        <f>4</f>
        <v>4.0</v>
      </c>
      <c r="V84" s="32" t="n">
        <f>91730865</f>
        <v>9.1730865E7</v>
      </c>
      <c r="W84" s="32" t="n">
        <f>76700</f>
        <v>76700.0</v>
      </c>
      <c r="X84" s="36" t="n">
        <f>19</f>
        <v>19.0</v>
      </c>
    </row>
    <row r="85">
      <c r="A85" s="27" t="s">
        <v>42</v>
      </c>
      <c r="B85" s="27" t="s">
        <v>296</v>
      </c>
      <c r="C85" s="27" t="s">
        <v>297</v>
      </c>
      <c r="D85" s="27" t="s">
        <v>298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10.0</v>
      </c>
      <c r="K85" s="33" t="n">
        <f>11550</f>
        <v>11550.0</v>
      </c>
      <c r="L85" s="34" t="s">
        <v>48</v>
      </c>
      <c r="M85" s="33" t="n">
        <f>11590</f>
        <v>11590.0</v>
      </c>
      <c r="N85" s="34" t="s">
        <v>73</v>
      </c>
      <c r="O85" s="33" t="n">
        <f>10680</f>
        <v>10680.0</v>
      </c>
      <c r="P85" s="34" t="s">
        <v>91</v>
      </c>
      <c r="Q85" s="33" t="n">
        <f>11150</f>
        <v>11150.0</v>
      </c>
      <c r="R85" s="34" t="s">
        <v>51</v>
      </c>
      <c r="S85" s="35" t="n">
        <f>11112.5</f>
        <v>11112.5</v>
      </c>
      <c r="T85" s="32" t="n">
        <f>16550</f>
        <v>16550.0</v>
      </c>
      <c r="U85" s="32" t="n">
        <f>10000</f>
        <v>10000.0</v>
      </c>
      <c r="V85" s="32" t="n">
        <f>187904750</f>
        <v>1.8790475E8</v>
      </c>
      <c r="W85" s="32" t="n">
        <f>115327000</f>
        <v>1.15327E8</v>
      </c>
      <c r="X85" s="36" t="n">
        <f>18</f>
        <v>18.0</v>
      </c>
    </row>
    <row r="86">
      <c r="A86" s="27" t="s">
        <v>42</v>
      </c>
      <c r="B86" s="27" t="s">
        <v>299</v>
      </c>
      <c r="C86" s="27" t="s">
        <v>300</v>
      </c>
      <c r="D86" s="27" t="s">
        <v>301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2167</f>
        <v>2167.0</v>
      </c>
      <c r="L86" s="34" t="s">
        <v>48</v>
      </c>
      <c r="M86" s="33" t="n">
        <f>2211</f>
        <v>2211.0</v>
      </c>
      <c r="N86" s="34" t="s">
        <v>302</v>
      </c>
      <c r="O86" s="33" t="n">
        <f>2113</f>
        <v>2113.0</v>
      </c>
      <c r="P86" s="34" t="s">
        <v>225</v>
      </c>
      <c r="Q86" s="33" t="n">
        <f>2190</f>
        <v>2190.0</v>
      </c>
      <c r="R86" s="34" t="s">
        <v>51</v>
      </c>
      <c r="S86" s="35" t="n">
        <f>2154.89</f>
        <v>2154.89</v>
      </c>
      <c r="T86" s="32" t="n">
        <f>114329</f>
        <v>114329.0</v>
      </c>
      <c r="U86" s="32" t="n">
        <f>47101</f>
        <v>47101.0</v>
      </c>
      <c r="V86" s="32" t="n">
        <f>244203482</f>
        <v>2.44203482E8</v>
      </c>
      <c r="W86" s="32" t="n">
        <f>99878876</f>
        <v>9.9878876E7</v>
      </c>
      <c r="X86" s="36" t="n">
        <f>19</f>
        <v>19.0</v>
      </c>
    </row>
    <row r="87">
      <c r="A87" s="27" t="s">
        <v>42</v>
      </c>
      <c r="B87" s="27" t="s">
        <v>303</v>
      </c>
      <c r="C87" s="27" t="s">
        <v>304</v>
      </c>
      <c r="D87" s="27" t="s">
        <v>305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2114</f>
        <v>2114.0</v>
      </c>
      <c r="L87" s="34" t="s">
        <v>48</v>
      </c>
      <c r="M87" s="33" t="n">
        <f>2158</f>
        <v>2158.0</v>
      </c>
      <c r="N87" s="34" t="s">
        <v>51</v>
      </c>
      <c r="O87" s="33" t="n">
        <f>2040</f>
        <v>2040.0</v>
      </c>
      <c r="P87" s="34" t="s">
        <v>69</v>
      </c>
      <c r="Q87" s="33" t="n">
        <f>2149</f>
        <v>2149.0</v>
      </c>
      <c r="R87" s="34" t="s">
        <v>51</v>
      </c>
      <c r="S87" s="35" t="n">
        <f>2081.89</f>
        <v>2081.89</v>
      </c>
      <c r="T87" s="32" t="n">
        <f>126835</f>
        <v>126835.0</v>
      </c>
      <c r="U87" s="32" t="n">
        <f>9</f>
        <v>9.0</v>
      </c>
      <c r="V87" s="32" t="n">
        <f>264095092</f>
        <v>2.64095092E8</v>
      </c>
      <c r="W87" s="32" t="n">
        <f>17812</f>
        <v>17812.0</v>
      </c>
      <c r="X87" s="36" t="n">
        <f>19</f>
        <v>19.0</v>
      </c>
    </row>
    <row r="88">
      <c r="A88" s="27" t="s">
        <v>42</v>
      </c>
      <c r="B88" s="27" t="s">
        <v>306</v>
      </c>
      <c r="C88" s="27" t="s">
        <v>307</v>
      </c>
      <c r="D88" s="27" t="s">
        <v>308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14660</f>
        <v>14660.0</v>
      </c>
      <c r="L88" s="34" t="s">
        <v>48</v>
      </c>
      <c r="M88" s="33" t="n">
        <f>14915</f>
        <v>14915.0</v>
      </c>
      <c r="N88" s="34" t="s">
        <v>49</v>
      </c>
      <c r="O88" s="33" t="n">
        <f>14140</f>
        <v>14140.0</v>
      </c>
      <c r="P88" s="34" t="s">
        <v>50</v>
      </c>
      <c r="Q88" s="33" t="n">
        <f>14835</f>
        <v>14835.0</v>
      </c>
      <c r="R88" s="34" t="s">
        <v>51</v>
      </c>
      <c r="S88" s="35" t="n">
        <f>14538.16</f>
        <v>14538.16</v>
      </c>
      <c r="T88" s="32" t="n">
        <f>7900</f>
        <v>7900.0</v>
      </c>
      <c r="U88" s="32" t="n">
        <f>1500</f>
        <v>1500.0</v>
      </c>
      <c r="V88" s="32" t="n">
        <f>113116855</f>
        <v>1.13116855E8</v>
      </c>
      <c r="W88" s="32" t="n">
        <f>21392820</f>
        <v>2.139282E7</v>
      </c>
      <c r="X88" s="36" t="n">
        <f>19</f>
        <v>19.0</v>
      </c>
    </row>
    <row r="89">
      <c r="A89" s="27" t="s">
        <v>42</v>
      </c>
      <c r="B89" s="27" t="s">
        <v>309</v>
      </c>
      <c r="C89" s="27" t="s">
        <v>310</v>
      </c>
      <c r="D89" s="27" t="s">
        <v>311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8701</f>
        <v>8701.0</v>
      </c>
      <c r="L89" s="34" t="s">
        <v>48</v>
      </c>
      <c r="M89" s="33" t="n">
        <f>9200</f>
        <v>9200.0</v>
      </c>
      <c r="N89" s="34" t="s">
        <v>188</v>
      </c>
      <c r="O89" s="33" t="n">
        <f>8600</f>
        <v>8600.0</v>
      </c>
      <c r="P89" s="34" t="s">
        <v>312</v>
      </c>
      <c r="Q89" s="33" t="n">
        <f>9030</f>
        <v>9030.0</v>
      </c>
      <c r="R89" s="34" t="s">
        <v>51</v>
      </c>
      <c r="S89" s="35" t="n">
        <f>8930.21</f>
        <v>8930.21</v>
      </c>
      <c r="T89" s="32" t="n">
        <f>1805</f>
        <v>1805.0</v>
      </c>
      <c r="U89" s="32" t="str">
        <f>"－"</f>
        <v>－</v>
      </c>
      <c r="V89" s="32" t="n">
        <f>16083395</f>
        <v>1.6083395E7</v>
      </c>
      <c r="W89" s="32" t="str">
        <f>"－"</f>
        <v>－</v>
      </c>
      <c r="X89" s="36" t="n">
        <f>19</f>
        <v>19.0</v>
      </c>
    </row>
    <row r="90">
      <c r="A90" s="27" t="s">
        <v>42</v>
      </c>
      <c r="B90" s="27" t="s">
        <v>313</v>
      </c>
      <c r="C90" s="27" t="s">
        <v>314</v>
      </c>
      <c r="D90" s="27" t="s">
        <v>315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7542</f>
        <v>7542.0</v>
      </c>
      <c r="L90" s="34" t="s">
        <v>48</v>
      </c>
      <c r="M90" s="33" t="n">
        <f>7551</f>
        <v>7551.0</v>
      </c>
      <c r="N90" s="34" t="s">
        <v>48</v>
      </c>
      <c r="O90" s="33" t="n">
        <f>7120</f>
        <v>7120.0</v>
      </c>
      <c r="P90" s="34" t="s">
        <v>69</v>
      </c>
      <c r="Q90" s="33" t="n">
        <f>7270</f>
        <v>7270.0</v>
      </c>
      <c r="R90" s="34" t="s">
        <v>51</v>
      </c>
      <c r="S90" s="35" t="n">
        <f>7290.05</f>
        <v>7290.05</v>
      </c>
      <c r="T90" s="32" t="n">
        <f>2190020</f>
        <v>2190020.0</v>
      </c>
      <c r="U90" s="32" t="n">
        <f>91684</f>
        <v>91684.0</v>
      </c>
      <c r="V90" s="32" t="n">
        <f>15985771115</f>
        <v>1.5985771115E10</v>
      </c>
      <c r="W90" s="32" t="n">
        <f>686465871</f>
        <v>6.86465871E8</v>
      </c>
      <c r="X90" s="36" t="n">
        <f>19</f>
        <v>19.0</v>
      </c>
    </row>
    <row r="91">
      <c r="A91" s="27" t="s">
        <v>42</v>
      </c>
      <c r="B91" s="27" t="s">
        <v>316</v>
      </c>
      <c r="C91" s="27" t="s">
        <v>317</v>
      </c>
      <c r="D91" s="27" t="s">
        <v>318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3670</f>
        <v>3670.0</v>
      </c>
      <c r="L91" s="34" t="s">
        <v>48</v>
      </c>
      <c r="M91" s="33" t="n">
        <f>3795</f>
        <v>3795.0</v>
      </c>
      <c r="N91" s="34" t="s">
        <v>73</v>
      </c>
      <c r="O91" s="33" t="n">
        <f>3560</f>
        <v>3560.0</v>
      </c>
      <c r="P91" s="34" t="s">
        <v>69</v>
      </c>
      <c r="Q91" s="33" t="n">
        <f>3680</f>
        <v>3680.0</v>
      </c>
      <c r="R91" s="34" t="s">
        <v>51</v>
      </c>
      <c r="S91" s="35" t="n">
        <f>3667.89</f>
        <v>3667.89</v>
      </c>
      <c r="T91" s="32" t="n">
        <f>547602</f>
        <v>547602.0</v>
      </c>
      <c r="U91" s="32" t="str">
        <f>"－"</f>
        <v>－</v>
      </c>
      <c r="V91" s="32" t="n">
        <f>2014895215</f>
        <v>2.014895215E9</v>
      </c>
      <c r="W91" s="32" t="str">
        <f>"－"</f>
        <v>－</v>
      </c>
      <c r="X91" s="36" t="n">
        <f>19</f>
        <v>19.0</v>
      </c>
    </row>
    <row r="92">
      <c r="A92" s="27" t="s">
        <v>42</v>
      </c>
      <c r="B92" s="27" t="s">
        <v>319</v>
      </c>
      <c r="C92" s="27" t="s">
        <v>320</v>
      </c>
      <c r="D92" s="27" t="s">
        <v>321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8889</f>
        <v>8889.0</v>
      </c>
      <c r="L92" s="34" t="s">
        <v>48</v>
      </c>
      <c r="M92" s="33" t="n">
        <f>8907</f>
        <v>8907.0</v>
      </c>
      <c r="N92" s="34" t="s">
        <v>48</v>
      </c>
      <c r="O92" s="33" t="n">
        <f>8020</f>
        <v>8020.0</v>
      </c>
      <c r="P92" s="34" t="s">
        <v>162</v>
      </c>
      <c r="Q92" s="33" t="n">
        <f>8460</f>
        <v>8460.0</v>
      </c>
      <c r="R92" s="34" t="s">
        <v>51</v>
      </c>
      <c r="S92" s="35" t="n">
        <f>8464.26</f>
        <v>8464.26</v>
      </c>
      <c r="T92" s="32" t="n">
        <f>253540</f>
        <v>253540.0</v>
      </c>
      <c r="U92" s="32" t="n">
        <f>3000</f>
        <v>3000.0</v>
      </c>
      <c r="V92" s="32" t="n">
        <f>2148719686</f>
        <v>2.148719686E9</v>
      </c>
      <c r="W92" s="32" t="n">
        <f>26100000</f>
        <v>2.61E7</v>
      </c>
      <c r="X92" s="36" t="n">
        <f>19</f>
        <v>19.0</v>
      </c>
    </row>
    <row r="93">
      <c r="A93" s="27" t="s">
        <v>42</v>
      </c>
      <c r="B93" s="27" t="s">
        <v>322</v>
      </c>
      <c r="C93" s="27" t="s">
        <v>323</v>
      </c>
      <c r="D93" s="27" t="s">
        <v>324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89030</f>
        <v>89030.0</v>
      </c>
      <c r="L93" s="34" t="s">
        <v>48</v>
      </c>
      <c r="M93" s="33" t="n">
        <f>89190</f>
        <v>89190.0</v>
      </c>
      <c r="N93" s="34" t="s">
        <v>48</v>
      </c>
      <c r="O93" s="33" t="n">
        <f>75020</f>
        <v>75020.0</v>
      </c>
      <c r="P93" s="34" t="s">
        <v>162</v>
      </c>
      <c r="Q93" s="33" t="n">
        <f>79400</f>
        <v>79400.0</v>
      </c>
      <c r="R93" s="34" t="s">
        <v>51</v>
      </c>
      <c r="S93" s="35" t="n">
        <f>79077.37</f>
        <v>79077.37</v>
      </c>
      <c r="T93" s="32" t="n">
        <f>9891</f>
        <v>9891.0</v>
      </c>
      <c r="U93" s="32" t="n">
        <f>14</f>
        <v>14.0</v>
      </c>
      <c r="V93" s="32" t="n">
        <f>784971570</f>
        <v>7.8497157E8</v>
      </c>
      <c r="W93" s="32" t="n">
        <f>1094310</f>
        <v>1094310.0</v>
      </c>
      <c r="X93" s="36" t="n">
        <f>19</f>
        <v>19.0</v>
      </c>
    </row>
    <row r="94">
      <c r="A94" s="27" t="s">
        <v>42</v>
      </c>
      <c r="B94" s="27" t="s">
        <v>325</v>
      </c>
      <c r="C94" s="27" t="s">
        <v>326</v>
      </c>
      <c r="D94" s="27" t="s">
        <v>327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17000</f>
        <v>17000.0</v>
      </c>
      <c r="L94" s="34" t="s">
        <v>48</v>
      </c>
      <c r="M94" s="33" t="n">
        <f>17165</f>
        <v>17165.0</v>
      </c>
      <c r="N94" s="34" t="s">
        <v>48</v>
      </c>
      <c r="O94" s="33" t="n">
        <f>15185</f>
        <v>15185.0</v>
      </c>
      <c r="P94" s="34" t="s">
        <v>277</v>
      </c>
      <c r="Q94" s="33" t="n">
        <f>16545</f>
        <v>16545.0</v>
      </c>
      <c r="R94" s="34" t="s">
        <v>51</v>
      </c>
      <c r="S94" s="35" t="n">
        <f>16080.26</f>
        <v>16080.26</v>
      </c>
      <c r="T94" s="32" t="n">
        <f>3262421</f>
        <v>3262421.0</v>
      </c>
      <c r="U94" s="32" t="n">
        <f>39002</f>
        <v>39002.0</v>
      </c>
      <c r="V94" s="32" t="n">
        <f>52378445735</f>
        <v>5.2378445735E10</v>
      </c>
      <c r="W94" s="32" t="n">
        <f>611628670</f>
        <v>6.1162867E8</v>
      </c>
      <c r="X94" s="36" t="n">
        <f>19</f>
        <v>19.0</v>
      </c>
    </row>
    <row r="95">
      <c r="A95" s="27" t="s">
        <v>42</v>
      </c>
      <c r="B95" s="27" t="s">
        <v>328</v>
      </c>
      <c r="C95" s="27" t="s">
        <v>329</v>
      </c>
      <c r="D95" s="27" t="s">
        <v>330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42100</f>
        <v>42100.0</v>
      </c>
      <c r="L95" s="34" t="s">
        <v>48</v>
      </c>
      <c r="M95" s="33" t="n">
        <f>42450</f>
        <v>42450.0</v>
      </c>
      <c r="N95" s="34" t="s">
        <v>48</v>
      </c>
      <c r="O95" s="33" t="n">
        <f>39250</f>
        <v>39250.0</v>
      </c>
      <c r="P95" s="34" t="s">
        <v>125</v>
      </c>
      <c r="Q95" s="33" t="n">
        <f>41770</f>
        <v>41770.0</v>
      </c>
      <c r="R95" s="34" t="s">
        <v>51</v>
      </c>
      <c r="S95" s="35" t="n">
        <f>40828.42</f>
        <v>40828.42</v>
      </c>
      <c r="T95" s="32" t="n">
        <f>257857</f>
        <v>257857.0</v>
      </c>
      <c r="U95" s="32" t="n">
        <f>5720</f>
        <v>5720.0</v>
      </c>
      <c r="V95" s="32" t="n">
        <f>10483985900</f>
        <v>1.04839859E10</v>
      </c>
      <c r="W95" s="32" t="n">
        <f>242211740</f>
        <v>2.4221174E8</v>
      </c>
      <c r="X95" s="36" t="n">
        <f>19</f>
        <v>19.0</v>
      </c>
    </row>
    <row r="96">
      <c r="A96" s="27" t="s">
        <v>42</v>
      </c>
      <c r="B96" s="27" t="s">
        <v>331</v>
      </c>
      <c r="C96" s="27" t="s">
        <v>332</v>
      </c>
      <c r="D96" s="27" t="s">
        <v>333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10.0</v>
      </c>
      <c r="K96" s="33" t="n">
        <f>5868</f>
        <v>5868.0</v>
      </c>
      <c r="L96" s="34" t="s">
        <v>48</v>
      </c>
      <c r="M96" s="33" t="n">
        <f>5895</f>
        <v>5895.0</v>
      </c>
      <c r="N96" s="34" t="s">
        <v>48</v>
      </c>
      <c r="O96" s="33" t="n">
        <f>5432</f>
        <v>5432.0</v>
      </c>
      <c r="P96" s="34" t="s">
        <v>125</v>
      </c>
      <c r="Q96" s="33" t="n">
        <f>5794</f>
        <v>5794.0</v>
      </c>
      <c r="R96" s="34" t="s">
        <v>51</v>
      </c>
      <c r="S96" s="35" t="n">
        <f>5636.58</f>
        <v>5636.58</v>
      </c>
      <c r="T96" s="32" t="n">
        <f>2174340</f>
        <v>2174340.0</v>
      </c>
      <c r="U96" s="32" t="n">
        <f>123700</f>
        <v>123700.0</v>
      </c>
      <c r="V96" s="32" t="n">
        <f>12237654660</f>
        <v>1.223765466E10</v>
      </c>
      <c r="W96" s="32" t="n">
        <f>685823970</f>
        <v>6.8582397E8</v>
      </c>
      <c r="X96" s="36" t="n">
        <f>19</f>
        <v>19.0</v>
      </c>
    </row>
    <row r="97">
      <c r="A97" s="27" t="s">
        <v>42</v>
      </c>
      <c r="B97" s="27" t="s">
        <v>334</v>
      </c>
      <c r="C97" s="27" t="s">
        <v>335</v>
      </c>
      <c r="D97" s="27" t="s">
        <v>336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3756</f>
        <v>3756.0</v>
      </c>
      <c r="L97" s="34" t="s">
        <v>48</v>
      </c>
      <c r="M97" s="33" t="n">
        <f>3799</f>
        <v>3799.0</v>
      </c>
      <c r="N97" s="34" t="s">
        <v>48</v>
      </c>
      <c r="O97" s="33" t="n">
        <f>3450</f>
        <v>3450.0</v>
      </c>
      <c r="P97" s="34" t="s">
        <v>162</v>
      </c>
      <c r="Q97" s="33" t="n">
        <f>3746</f>
        <v>3746.0</v>
      </c>
      <c r="R97" s="34" t="s">
        <v>51</v>
      </c>
      <c r="S97" s="35" t="n">
        <f>3632.05</f>
        <v>3632.05</v>
      </c>
      <c r="T97" s="32" t="n">
        <f>119330</f>
        <v>119330.0</v>
      </c>
      <c r="U97" s="32" t="n">
        <f>10620</f>
        <v>10620.0</v>
      </c>
      <c r="V97" s="32" t="n">
        <f>432722220</f>
        <v>4.3272222E8</v>
      </c>
      <c r="W97" s="32" t="n">
        <f>39990490</f>
        <v>3.999049E7</v>
      </c>
      <c r="X97" s="36" t="n">
        <f>19</f>
        <v>19.0</v>
      </c>
    </row>
    <row r="98">
      <c r="A98" s="27" t="s">
        <v>42</v>
      </c>
      <c r="B98" s="27" t="s">
        <v>337</v>
      </c>
      <c r="C98" s="27" t="s">
        <v>338</v>
      </c>
      <c r="D98" s="27" t="s">
        <v>339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4301</f>
        <v>4301.0</v>
      </c>
      <c r="L98" s="34" t="s">
        <v>48</v>
      </c>
      <c r="M98" s="33" t="n">
        <f>4429</f>
        <v>4429.0</v>
      </c>
      <c r="N98" s="34" t="s">
        <v>48</v>
      </c>
      <c r="O98" s="33" t="n">
        <f>4068</f>
        <v>4068.0</v>
      </c>
      <c r="P98" s="34" t="s">
        <v>162</v>
      </c>
      <c r="Q98" s="33" t="n">
        <f>4341</f>
        <v>4341.0</v>
      </c>
      <c r="R98" s="34" t="s">
        <v>51</v>
      </c>
      <c r="S98" s="35" t="n">
        <f>4229</f>
        <v>4229.0</v>
      </c>
      <c r="T98" s="32" t="n">
        <f>7600</f>
        <v>7600.0</v>
      </c>
      <c r="U98" s="32" t="str">
        <f>"－"</f>
        <v>－</v>
      </c>
      <c r="V98" s="32" t="n">
        <f>32151690</f>
        <v>3.215169E7</v>
      </c>
      <c r="W98" s="32" t="str">
        <f>"－"</f>
        <v>－</v>
      </c>
      <c r="X98" s="36" t="n">
        <f>19</f>
        <v>19.0</v>
      </c>
    </row>
    <row r="99">
      <c r="A99" s="27" t="s">
        <v>42</v>
      </c>
      <c r="B99" s="27" t="s">
        <v>340</v>
      </c>
      <c r="C99" s="27" t="s">
        <v>341</v>
      </c>
      <c r="D99" s="27" t="s">
        <v>342</v>
      </c>
      <c r="E99" s="28" t="s">
        <v>46</v>
      </c>
      <c r="F99" s="29" t="s">
        <v>46</v>
      </c>
      <c r="G99" s="30" t="s">
        <v>46</v>
      </c>
      <c r="H99" s="31" t="s">
        <v>90</v>
      </c>
      <c r="I99" s="31" t="s">
        <v>47</v>
      </c>
      <c r="J99" s="32" t="n">
        <v>1.0</v>
      </c>
      <c r="K99" s="33" t="n">
        <f>2619</f>
        <v>2619.0</v>
      </c>
      <c r="L99" s="34" t="s">
        <v>48</v>
      </c>
      <c r="M99" s="33" t="n">
        <f>2855</f>
        <v>2855.0</v>
      </c>
      <c r="N99" s="34" t="s">
        <v>62</v>
      </c>
      <c r="O99" s="33" t="n">
        <f>2198</f>
        <v>2198.0</v>
      </c>
      <c r="P99" s="34" t="s">
        <v>49</v>
      </c>
      <c r="Q99" s="33" t="n">
        <f>2257</f>
        <v>2257.0</v>
      </c>
      <c r="R99" s="34" t="s">
        <v>51</v>
      </c>
      <c r="S99" s="35" t="n">
        <f>2471.68</f>
        <v>2471.68</v>
      </c>
      <c r="T99" s="32" t="n">
        <f>26659821</f>
        <v>2.6659821E7</v>
      </c>
      <c r="U99" s="32" t="n">
        <f>60328</f>
        <v>60328.0</v>
      </c>
      <c r="V99" s="32" t="n">
        <f>66744691411</f>
        <v>6.6744691411E10</v>
      </c>
      <c r="W99" s="32" t="n">
        <f>153876769</f>
        <v>1.53876769E8</v>
      </c>
      <c r="X99" s="36" t="n">
        <f>19</f>
        <v>19.0</v>
      </c>
    </row>
    <row r="100">
      <c r="A100" s="27" t="s">
        <v>42</v>
      </c>
      <c r="B100" s="27" t="s">
        <v>343</v>
      </c>
      <c r="C100" s="27" t="s">
        <v>344</v>
      </c>
      <c r="D100" s="27" t="s">
        <v>345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3159</f>
        <v>3159.0</v>
      </c>
      <c r="L100" s="34" t="s">
        <v>48</v>
      </c>
      <c r="M100" s="33" t="n">
        <f>3245</f>
        <v>3245.0</v>
      </c>
      <c r="N100" s="34" t="s">
        <v>73</v>
      </c>
      <c r="O100" s="33" t="n">
        <f>2971.5</f>
        <v>2971.5</v>
      </c>
      <c r="P100" s="34" t="s">
        <v>69</v>
      </c>
      <c r="Q100" s="33" t="n">
        <f>3162</f>
        <v>3162.0</v>
      </c>
      <c r="R100" s="34" t="s">
        <v>51</v>
      </c>
      <c r="S100" s="35" t="n">
        <f>3066.63</f>
        <v>3066.63</v>
      </c>
      <c r="T100" s="32" t="n">
        <f>151070</f>
        <v>151070.0</v>
      </c>
      <c r="U100" s="32" t="str">
        <f>"－"</f>
        <v>－</v>
      </c>
      <c r="V100" s="32" t="n">
        <f>463261555</f>
        <v>4.63261555E8</v>
      </c>
      <c r="W100" s="32" t="str">
        <f>"－"</f>
        <v>－</v>
      </c>
      <c r="X100" s="36" t="n">
        <f>19</f>
        <v>19.0</v>
      </c>
    </row>
    <row r="101">
      <c r="A101" s="27" t="s">
        <v>42</v>
      </c>
      <c r="B101" s="27" t="s">
        <v>346</v>
      </c>
      <c r="C101" s="27" t="s">
        <v>347</v>
      </c>
      <c r="D101" s="27" t="s">
        <v>348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1962</f>
        <v>1962.0</v>
      </c>
      <c r="L101" s="34" t="s">
        <v>48</v>
      </c>
      <c r="M101" s="33" t="n">
        <f>1963</f>
        <v>1963.0</v>
      </c>
      <c r="N101" s="34" t="s">
        <v>48</v>
      </c>
      <c r="O101" s="33" t="n">
        <f>1690</f>
        <v>1690.0</v>
      </c>
      <c r="P101" s="34" t="s">
        <v>50</v>
      </c>
      <c r="Q101" s="33" t="n">
        <f>1835</f>
        <v>1835.0</v>
      </c>
      <c r="R101" s="34" t="s">
        <v>51</v>
      </c>
      <c r="S101" s="35" t="n">
        <f>1786.61</f>
        <v>1786.61</v>
      </c>
      <c r="T101" s="32" t="n">
        <f>196790</f>
        <v>196790.0</v>
      </c>
      <c r="U101" s="32" t="n">
        <f>50020</f>
        <v>50020.0</v>
      </c>
      <c r="V101" s="32" t="n">
        <f>357188285</f>
        <v>3.57188285E8</v>
      </c>
      <c r="W101" s="32" t="n">
        <f>96405950</f>
        <v>9.640595E7</v>
      </c>
      <c r="X101" s="36" t="n">
        <f>19</f>
        <v>19.0</v>
      </c>
    </row>
    <row r="102">
      <c r="A102" s="27" t="s">
        <v>42</v>
      </c>
      <c r="B102" s="27" t="s">
        <v>349</v>
      </c>
      <c r="C102" s="27" t="s">
        <v>350</v>
      </c>
      <c r="D102" s="27" t="s">
        <v>351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53660</f>
        <v>53660.0</v>
      </c>
      <c r="L102" s="34" t="s">
        <v>48</v>
      </c>
      <c r="M102" s="33" t="n">
        <f>54100</f>
        <v>54100.0</v>
      </c>
      <c r="N102" s="34" t="s">
        <v>73</v>
      </c>
      <c r="O102" s="33" t="n">
        <f>49870</f>
        <v>49870.0</v>
      </c>
      <c r="P102" s="34" t="s">
        <v>125</v>
      </c>
      <c r="Q102" s="33" t="n">
        <f>53180</f>
        <v>53180.0</v>
      </c>
      <c r="R102" s="34" t="s">
        <v>51</v>
      </c>
      <c r="S102" s="35" t="n">
        <f>51742.11</f>
        <v>51742.11</v>
      </c>
      <c r="T102" s="32" t="n">
        <f>317078</f>
        <v>317078.0</v>
      </c>
      <c r="U102" s="32" t="str">
        <f>"－"</f>
        <v>－</v>
      </c>
      <c r="V102" s="32" t="n">
        <f>16336960520</f>
        <v>1.633696052E10</v>
      </c>
      <c r="W102" s="32" t="str">
        <f>"－"</f>
        <v>－</v>
      </c>
      <c r="X102" s="36" t="n">
        <f>19</f>
        <v>19.0</v>
      </c>
    </row>
    <row r="103">
      <c r="A103" s="27" t="s">
        <v>42</v>
      </c>
      <c r="B103" s="27" t="s">
        <v>352</v>
      </c>
      <c r="C103" s="27" t="s">
        <v>353</v>
      </c>
      <c r="D103" s="27" t="s">
        <v>354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3275</f>
        <v>3275.0</v>
      </c>
      <c r="L103" s="34" t="s">
        <v>48</v>
      </c>
      <c r="M103" s="33" t="n">
        <f>3485</f>
        <v>3485.0</v>
      </c>
      <c r="N103" s="34" t="s">
        <v>49</v>
      </c>
      <c r="O103" s="33" t="n">
        <f>3165</f>
        <v>3165.0</v>
      </c>
      <c r="P103" s="34" t="s">
        <v>62</v>
      </c>
      <c r="Q103" s="33" t="n">
        <f>3415</f>
        <v>3415.0</v>
      </c>
      <c r="R103" s="34" t="s">
        <v>51</v>
      </c>
      <c r="S103" s="35" t="n">
        <f>3315.53</f>
        <v>3315.53</v>
      </c>
      <c r="T103" s="32" t="n">
        <f>12393</f>
        <v>12393.0</v>
      </c>
      <c r="U103" s="32" t="str">
        <f>"－"</f>
        <v>－</v>
      </c>
      <c r="V103" s="32" t="n">
        <f>40826310</f>
        <v>4.082631E7</v>
      </c>
      <c r="W103" s="32" t="str">
        <f>"－"</f>
        <v>－</v>
      </c>
      <c r="X103" s="36" t="n">
        <f>19</f>
        <v>19.0</v>
      </c>
    </row>
    <row r="104">
      <c r="A104" s="27" t="s">
        <v>42</v>
      </c>
      <c r="B104" s="27" t="s">
        <v>355</v>
      </c>
      <c r="C104" s="27" t="s">
        <v>356</v>
      </c>
      <c r="D104" s="27" t="s">
        <v>357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4495</f>
        <v>4495.0</v>
      </c>
      <c r="L104" s="34" t="s">
        <v>48</v>
      </c>
      <c r="M104" s="33" t="n">
        <f>4690</f>
        <v>4690.0</v>
      </c>
      <c r="N104" s="34" t="s">
        <v>73</v>
      </c>
      <c r="O104" s="33" t="n">
        <f>4255</f>
        <v>4255.0</v>
      </c>
      <c r="P104" s="34" t="s">
        <v>74</v>
      </c>
      <c r="Q104" s="33" t="n">
        <f>4365</f>
        <v>4365.0</v>
      </c>
      <c r="R104" s="34" t="s">
        <v>51</v>
      </c>
      <c r="S104" s="35" t="n">
        <f>4471.58</f>
        <v>4471.58</v>
      </c>
      <c r="T104" s="32" t="n">
        <f>5907</f>
        <v>5907.0</v>
      </c>
      <c r="U104" s="32" t="str">
        <f>"－"</f>
        <v>－</v>
      </c>
      <c r="V104" s="32" t="n">
        <f>26518230</f>
        <v>2.651823E7</v>
      </c>
      <c r="W104" s="32" t="str">
        <f>"－"</f>
        <v>－</v>
      </c>
      <c r="X104" s="36" t="n">
        <f>19</f>
        <v>19.0</v>
      </c>
    </row>
    <row r="105">
      <c r="A105" s="27" t="s">
        <v>42</v>
      </c>
      <c r="B105" s="27" t="s">
        <v>358</v>
      </c>
      <c r="C105" s="27" t="s">
        <v>359</v>
      </c>
      <c r="D105" s="27" t="s">
        <v>360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2232</f>
        <v>2232.0</v>
      </c>
      <c r="L105" s="34" t="s">
        <v>48</v>
      </c>
      <c r="M105" s="33" t="n">
        <f>2318</f>
        <v>2318.0</v>
      </c>
      <c r="N105" s="34" t="s">
        <v>51</v>
      </c>
      <c r="O105" s="33" t="n">
        <f>1986</f>
        <v>1986.0</v>
      </c>
      <c r="P105" s="34" t="s">
        <v>62</v>
      </c>
      <c r="Q105" s="33" t="n">
        <f>2276</f>
        <v>2276.0</v>
      </c>
      <c r="R105" s="34" t="s">
        <v>51</v>
      </c>
      <c r="S105" s="35" t="n">
        <f>2195.89</f>
        <v>2195.89</v>
      </c>
      <c r="T105" s="32" t="n">
        <f>1536549</f>
        <v>1536549.0</v>
      </c>
      <c r="U105" s="32" t="n">
        <f>16</f>
        <v>16.0</v>
      </c>
      <c r="V105" s="32" t="n">
        <f>3339117535</f>
        <v>3.339117535E9</v>
      </c>
      <c r="W105" s="32" t="n">
        <f>35761</f>
        <v>35761.0</v>
      </c>
      <c r="X105" s="36" t="n">
        <f>19</f>
        <v>19.0</v>
      </c>
    </row>
    <row r="106">
      <c r="A106" s="27" t="s">
        <v>42</v>
      </c>
      <c r="B106" s="27" t="s">
        <v>361</v>
      </c>
      <c r="C106" s="27" t="s">
        <v>362</v>
      </c>
      <c r="D106" s="27" t="s">
        <v>363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43000</f>
        <v>43000.0</v>
      </c>
      <c r="L106" s="34" t="s">
        <v>48</v>
      </c>
      <c r="M106" s="33" t="n">
        <f>43290</f>
        <v>43290.0</v>
      </c>
      <c r="N106" s="34" t="s">
        <v>48</v>
      </c>
      <c r="O106" s="33" t="n">
        <f>41800</f>
        <v>41800.0</v>
      </c>
      <c r="P106" s="34" t="s">
        <v>162</v>
      </c>
      <c r="Q106" s="33" t="n">
        <f>42730</f>
        <v>42730.0</v>
      </c>
      <c r="R106" s="34" t="s">
        <v>51</v>
      </c>
      <c r="S106" s="35" t="n">
        <f>42461.05</f>
        <v>42461.05</v>
      </c>
      <c r="T106" s="32" t="n">
        <f>9016</f>
        <v>9016.0</v>
      </c>
      <c r="U106" s="32" t="n">
        <f>2</f>
        <v>2.0</v>
      </c>
      <c r="V106" s="32" t="n">
        <f>383518640</f>
        <v>3.8351864E8</v>
      </c>
      <c r="W106" s="32" t="n">
        <f>83700</f>
        <v>83700.0</v>
      </c>
      <c r="X106" s="36" t="n">
        <f>19</f>
        <v>19.0</v>
      </c>
    </row>
    <row r="107">
      <c r="A107" s="27" t="s">
        <v>42</v>
      </c>
      <c r="B107" s="27" t="s">
        <v>364</v>
      </c>
      <c r="C107" s="27" t="s">
        <v>365</v>
      </c>
      <c r="D107" s="27" t="s">
        <v>366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10.0</v>
      </c>
      <c r="K107" s="33" t="n">
        <f>23000</f>
        <v>23000.0</v>
      </c>
      <c r="L107" s="34" t="s">
        <v>48</v>
      </c>
      <c r="M107" s="33" t="n">
        <f>23620</f>
        <v>23620.0</v>
      </c>
      <c r="N107" s="34" t="s">
        <v>49</v>
      </c>
      <c r="O107" s="33" t="n">
        <f>21240</f>
        <v>21240.0</v>
      </c>
      <c r="P107" s="34" t="s">
        <v>50</v>
      </c>
      <c r="Q107" s="33" t="n">
        <f>23190</f>
        <v>23190.0</v>
      </c>
      <c r="R107" s="34" t="s">
        <v>51</v>
      </c>
      <c r="S107" s="35" t="n">
        <f>22477.37</f>
        <v>22477.37</v>
      </c>
      <c r="T107" s="32" t="n">
        <f>1933410</f>
        <v>1933410.0</v>
      </c>
      <c r="U107" s="32" t="n">
        <f>200</f>
        <v>200.0</v>
      </c>
      <c r="V107" s="32" t="n">
        <f>43527388350</f>
        <v>4.352738835E10</v>
      </c>
      <c r="W107" s="32" t="n">
        <f>4517550</f>
        <v>4517550.0</v>
      </c>
      <c r="X107" s="36" t="n">
        <f>19</f>
        <v>19.0</v>
      </c>
    </row>
    <row r="108">
      <c r="A108" s="27" t="s">
        <v>42</v>
      </c>
      <c r="B108" s="27" t="s">
        <v>367</v>
      </c>
      <c r="C108" s="27" t="s">
        <v>368</v>
      </c>
      <c r="D108" s="27" t="s">
        <v>369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2147.5</f>
        <v>2147.5</v>
      </c>
      <c r="L108" s="34" t="s">
        <v>48</v>
      </c>
      <c r="M108" s="33" t="n">
        <f>2230.5</f>
        <v>2230.5</v>
      </c>
      <c r="N108" s="34" t="s">
        <v>50</v>
      </c>
      <c r="O108" s="33" t="n">
        <f>2110</f>
        <v>2110.0</v>
      </c>
      <c r="P108" s="34" t="s">
        <v>49</v>
      </c>
      <c r="Q108" s="33" t="n">
        <f>2127.5</f>
        <v>2127.5</v>
      </c>
      <c r="R108" s="34" t="s">
        <v>51</v>
      </c>
      <c r="S108" s="35" t="n">
        <f>2165.92</f>
        <v>2165.92</v>
      </c>
      <c r="T108" s="32" t="n">
        <f>101930</f>
        <v>101930.0</v>
      </c>
      <c r="U108" s="32" t="str">
        <f>"－"</f>
        <v>－</v>
      </c>
      <c r="V108" s="32" t="n">
        <f>220719975</f>
        <v>2.20719975E8</v>
      </c>
      <c r="W108" s="32" t="str">
        <f>"－"</f>
        <v>－</v>
      </c>
      <c r="X108" s="36" t="n">
        <f>19</f>
        <v>19.0</v>
      </c>
    </row>
    <row r="109">
      <c r="A109" s="27" t="s">
        <v>42</v>
      </c>
      <c r="B109" s="27" t="s">
        <v>370</v>
      </c>
      <c r="C109" s="27" t="s">
        <v>371</v>
      </c>
      <c r="D109" s="27" t="s">
        <v>372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13475</f>
        <v>13475.0</v>
      </c>
      <c r="L109" s="34" t="s">
        <v>48</v>
      </c>
      <c r="M109" s="33" t="n">
        <f>14185</f>
        <v>14185.0</v>
      </c>
      <c r="N109" s="34" t="s">
        <v>51</v>
      </c>
      <c r="O109" s="33" t="n">
        <f>12425</f>
        <v>12425.0</v>
      </c>
      <c r="P109" s="34" t="s">
        <v>50</v>
      </c>
      <c r="Q109" s="33" t="n">
        <f>13975</f>
        <v>13975.0</v>
      </c>
      <c r="R109" s="34" t="s">
        <v>51</v>
      </c>
      <c r="S109" s="35" t="n">
        <f>13375</f>
        <v>13375.0</v>
      </c>
      <c r="T109" s="32" t="n">
        <f>184038933</f>
        <v>1.84038933E8</v>
      </c>
      <c r="U109" s="32" t="n">
        <f>1012654</f>
        <v>1012654.0</v>
      </c>
      <c r="V109" s="32" t="n">
        <f>2453341813908</f>
        <v>2.453341813908E12</v>
      </c>
      <c r="W109" s="32" t="n">
        <f>13907610543</f>
        <v>1.3907610543E10</v>
      </c>
      <c r="X109" s="36" t="n">
        <f>19</f>
        <v>19.0</v>
      </c>
    </row>
    <row r="110">
      <c r="A110" s="27" t="s">
        <v>42</v>
      </c>
      <c r="B110" s="27" t="s">
        <v>373</v>
      </c>
      <c r="C110" s="27" t="s">
        <v>374</v>
      </c>
      <c r="D110" s="27" t="s">
        <v>375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1025</f>
        <v>1025.0</v>
      </c>
      <c r="L110" s="34" t="s">
        <v>48</v>
      </c>
      <c r="M110" s="33" t="n">
        <f>1065</f>
        <v>1065.0</v>
      </c>
      <c r="N110" s="34" t="s">
        <v>50</v>
      </c>
      <c r="O110" s="33" t="n">
        <f>993</f>
        <v>993.0</v>
      </c>
      <c r="P110" s="34" t="s">
        <v>51</v>
      </c>
      <c r="Q110" s="33" t="n">
        <f>1000</f>
        <v>1000.0</v>
      </c>
      <c r="R110" s="34" t="s">
        <v>51</v>
      </c>
      <c r="S110" s="35" t="n">
        <f>1025.79</f>
        <v>1025.79</v>
      </c>
      <c r="T110" s="32" t="n">
        <f>52440603</f>
        <v>5.2440603E7</v>
      </c>
      <c r="U110" s="32" t="n">
        <f>4625000</f>
        <v>4625000.0</v>
      </c>
      <c r="V110" s="32" t="n">
        <f>53965046653</f>
        <v>5.3965046653E10</v>
      </c>
      <c r="W110" s="32" t="n">
        <f>4716733900</f>
        <v>4.7167339E9</v>
      </c>
      <c r="X110" s="36" t="n">
        <f>19</f>
        <v>19.0</v>
      </c>
    </row>
    <row r="111">
      <c r="A111" s="27" t="s">
        <v>42</v>
      </c>
      <c r="B111" s="27" t="s">
        <v>376</v>
      </c>
      <c r="C111" s="27" t="s">
        <v>377</v>
      </c>
      <c r="D111" s="27" t="s">
        <v>378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10.0</v>
      </c>
      <c r="K111" s="33" t="n">
        <f>5150</f>
        <v>5150.0</v>
      </c>
      <c r="L111" s="34" t="s">
        <v>48</v>
      </c>
      <c r="M111" s="33" t="n">
        <f>5820</f>
        <v>5820.0</v>
      </c>
      <c r="N111" s="34" t="s">
        <v>51</v>
      </c>
      <c r="O111" s="33" t="n">
        <f>4580</f>
        <v>4580.0</v>
      </c>
      <c r="P111" s="34" t="s">
        <v>62</v>
      </c>
      <c r="Q111" s="33" t="n">
        <f>5820</f>
        <v>5820.0</v>
      </c>
      <c r="R111" s="34" t="s">
        <v>51</v>
      </c>
      <c r="S111" s="35" t="n">
        <f>5129.32</f>
        <v>5129.32</v>
      </c>
      <c r="T111" s="32" t="n">
        <f>130940</f>
        <v>130940.0</v>
      </c>
      <c r="U111" s="32" t="str">
        <f>"－"</f>
        <v>－</v>
      </c>
      <c r="V111" s="32" t="n">
        <f>671218980</f>
        <v>6.7121898E8</v>
      </c>
      <c r="W111" s="32" t="str">
        <f>"－"</f>
        <v>－</v>
      </c>
      <c r="X111" s="36" t="n">
        <f>19</f>
        <v>19.0</v>
      </c>
    </row>
    <row r="112">
      <c r="A112" s="27" t="s">
        <v>42</v>
      </c>
      <c r="B112" s="27" t="s">
        <v>379</v>
      </c>
      <c r="C112" s="27" t="s">
        <v>380</v>
      </c>
      <c r="D112" s="27" t="s">
        <v>381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10795</f>
        <v>10795.0</v>
      </c>
      <c r="L112" s="34" t="s">
        <v>48</v>
      </c>
      <c r="M112" s="33" t="n">
        <f>11540</f>
        <v>11540.0</v>
      </c>
      <c r="N112" s="34" t="s">
        <v>62</v>
      </c>
      <c r="O112" s="33" t="n">
        <f>9910</f>
        <v>9910.0</v>
      </c>
      <c r="P112" s="34" t="s">
        <v>51</v>
      </c>
      <c r="Q112" s="33" t="n">
        <f>9910</f>
        <v>9910.0</v>
      </c>
      <c r="R112" s="34" t="s">
        <v>51</v>
      </c>
      <c r="S112" s="35" t="n">
        <f>10718.11</f>
        <v>10718.11</v>
      </c>
      <c r="T112" s="32" t="n">
        <f>24440</f>
        <v>24440.0</v>
      </c>
      <c r="U112" s="32" t="str">
        <f>"－"</f>
        <v>－</v>
      </c>
      <c r="V112" s="32" t="n">
        <f>262771220</f>
        <v>2.6277122E8</v>
      </c>
      <c r="W112" s="32" t="str">
        <f>"－"</f>
        <v>－</v>
      </c>
      <c r="X112" s="36" t="n">
        <f>19</f>
        <v>19.0</v>
      </c>
    </row>
    <row r="113">
      <c r="A113" s="27" t="s">
        <v>42</v>
      </c>
      <c r="B113" s="27" t="s">
        <v>382</v>
      </c>
      <c r="C113" s="27" t="s">
        <v>383</v>
      </c>
      <c r="D113" s="27" t="s">
        <v>384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705.1</f>
        <v>705.1</v>
      </c>
      <c r="L113" s="34" t="s">
        <v>48</v>
      </c>
      <c r="M113" s="33" t="n">
        <f>775</f>
        <v>775.0</v>
      </c>
      <c r="N113" s="34" t="s">
        <v>51</v>
      </c>
      <c r="O113" s="33" t="n">
        <f>705.1</f>
        <v>705.1</v>
      </c>
      <c r="P113" s="34" t="s">
        <v>48</v>
      </c>
      <c r="Q113" s="33" t="n">
        <f>775</f>
        <v>775.0</v>
      </c>
      <c r="R113" s="34" t="s">
        <v>51</v>
      </c>
      <c r="S113" s="35" t="n">
        <f>734.51</f>
        <v>734.51</v>
      </c>
      <c r="T113" s="32" t="n">
        <f>9910</f>
        <v>9910.0</v>
      </c>
      <c r="U113" s="32" t="str">
        <f>"－"</f>
        <v>－</v>
      </c>
      <c r="V113" s="32" t="n">
        <f>7273550</f>
        <v>7273550.0</v>
      </c>
      <c r="W113" s="32" t="str">
        <f>"－"</f>
        <v>－</v>
      </c>
      <c r="X113" s="36" t="n">
        <f>19</f>
        <v>19.0</v>
      </c>
    </row>
    <row r="114">
      <c r="A114" s="27" t="s">
        <v>42</v>
      </c>
      <c r="B114" s="27" t="s">
        <v>385</v>
      </c>
      <c r="C114" s="27" t="s">
        <v>386</v>
      </c>
      <c r="D114" s="27" t="s">
        <v>387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23650</f>
        <v>23650.0</v>
      </c>
      <c r="L114" s="34" t="s">
        <v>48</v>
      </c>
      <c r="M114" s="33" t="n">
        <f>24205</f>
        <v>24205.0</v>
      </c>
      <c r="N114" s="34" t="s">
        <v>225</v>
      </c>
      <c r="O114" s="33" t="n">
        <f>23140</f>
        <v>23140.0</v>
      </c>
      <c r="P114" s="34" t="s">
        <v>69</v>
      </c>
      <c r="Q114" s="33" t="n">
        <f>23930</f>
        <v>23930.0</v>
      </c>
      <c r="R114" s="34" t="s">
        <v>51</v>
      </c>
      <c r="S114" s="35" t="n">
        <f>23713.42</f>
        <v>23713.42</v>
      </c>
      <c r="T114" s="32" t="n">
        <f>36460</f>
        <v>36460.0</v>
      </c>
      <c r="U114" s="32" t="n">
        <f>17304</f>
        <v>17304.0</v>
      </c>
      <c r="V114" s="32" t="n">
        <f>864993160</f>
        <v>8.6499316E8</v>
      </c>
      <c r="W114" s="32" t="n">
        <f>411196015</f>
        <v>4.11196015E8</v>
      </c>
      <c r="X114" s="36" t="n">
        <f>19</f>
        <v>19.0</v>
      </c>
    </row>
    <row r="115">
      <c r="A115" s="27" t="s">
        <v>42</v>
      </c>
      <c r="B115" s="27" t="s">
        <v>388</v>
      </c>
      <c r="C115" s="27" t="s">
        <v>389</v>
      </c>
      <c r="D115" s="27" t="s">
        <v>390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2125</f>
        <v>2125.0</v>
      </c>
      <c r="L115" s="34" t="s">
        <v>48</v>
      </c>
      <c r="M115" s="33" t="n">
        <f>2200</f>
        <v>2200.0</v>
      </c>
      <c r="N115" s="34" t="s">
        <v>51</v>
      </c>
      <c r="O115" s="33" t="n">
        <f>2059</f>
        <v>2059.0</v>
      </c>
      <c r="P115" s="34" t="s">
        <v>50</v>
      </c>
      <c r="Q115" s="33" t="n">
        <f>2187</f>
        <v>2187.0</v>
      </c>
      <c r="R115" s="34" t="s">
        <v>51</v>
      </c>
      <c r="S115" s="35" t="n">
        <f>2133.74</f>
        <v>2133.74</v>
      </c>
      <c r="T115" s="32" t="n">
        <f>19979</f>
        <v>19979.0</v>
      </c>
      <c r="U115" s="32" t="str">
        <f>"－"</f>
        <v>－</v>
      </c>
      <c r="V115" s="32" t="n">
        <f>42485130</f>
        <v>4.248513E7</v>
      </c>
      <c r="W115" s="32" t="str">
        <f>"－"</f>
        <v>－</v>
      </c>
      <c r="X115" s="36" t="n">
        <f>19</f>
        <v>19.0</v>
      </c>
    </row>
    <row r="116">
      <c r="A116" s="27" t="s">
        <v>42</v>
      </c>
      <c r="B116" s="27" t="s">
        <v>391</v>
      </c>
      <c r="C116" s="27" t="s">
        <v>392</v>
      </c>
      <c r="D116" s="27" t="s">
        <v>393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10.0</v>
      </c>
      <c r="K116" s="33" t="n">
        <f>14420</f>
        <v>14420.0</v>
      </c>
      <c r="L116" s="34" t="s">
        <v>48</v>
      </c>
      <c r="M116" s="33" t="n">
        <f>15180</f>
        <v>15180.0</v>
      </c>
      <c r="N116" s="34" t="s">
        <v>51</v>
      </c>
      <c r="O116" s="33" t="n">
        <f>13295</f>
        <v>13295.0</v>
      </c>
      <c r="P116" s="34" t="s">
        <v>50</v>
      </c>
      <c r="Q116" s="33" t="n">
        <f>14960</f>
        <v>14960.0</v>
      </c>
      <c r="R116" s="34" t="s">
        <v>51</v>
      </c>
      <c r="S116" s="35" t="n">
        <f>14312.89</f>
        <v>14312.89</v>
      </c>
      <c r="T116" s="32" t="n">
        <f>20416420</f>
        <v>2.041642E7</v>
      </c>
      <c r="U116" s="32" t="n">
        <f>230</f>
        <v>230.0</v>
      </c>
      <c r="V116" s="32" t="n">
        <f>291085995950</f>
        <v>2.9108599595E11</v>
      </c>
      <c r="W116" s="32" t="n">
        <f>3310800</f>
        <v>3310800.0</v>
      </c>
      <c r="X116" s="36" t="n">
        <f>19</f>
        <v>19.0</v>
      </c>
    </row>
    <row r="117">
      <c r="A117" s="27" t="s">
        <v>42</v>
      </c>
      <c r="B117" s="27" t="s">
        <v>394</v>
      </c>
      <c r="C117" s="27" t="s">
        <v>395</v>
      </c>
      <c r="D117" s="27" t="s">
        <v>396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2725</f>
        <v>2725.0</v>
      </c>
      <c r="L117" s="34" t="s">
        <v>48</v>
      </c>
      <c r="M117" s="33" t="n">
        <f>2830</f>
        <v>2830.0</v>
      </c>
      <c r="N117" s="34" t="s">
        <v>50</v>
      </c>
      <c r="O117" s="33" t="n">
        <f>2640</f>
        <v>2640.0</v>
      </c>
      <c r="P117" s="34" t="s">
        <v>51</v>
      </c>
      <c r="Q117" s="33" t="n">
        <f>2657.5</f>
        <v>2657.5</v>
      </c>
      <c r="R117" s="34" t="s">
        <v>51</v>
      </c>
      <c r="S117" s="35" t="n">
        <f>2726.29</f>
        <v>2726.29</v>
      </c>
      <c r="T117" s="32" t="n">
        <f>605570</f>
        <v>605570.0</v>
      </c>
      <c r="U117" s="32" t="n">
        <f>50</f>
        <v>50.0</v>
      </c>
      <c r="V117" s="32" t="n">
        <f>1657693475</f>
        <v>1.657693475E9</v>
      </c>
      <c r="W117" s="32" t="n">
        <f>133675</f>
        <v>133675.0</v>
      </c>
      <c r="X117" s="36" t="n">
        <f>19</f>
        <v>19.0</v>
      </c>
    </row>
    <row r="118">
      <c r="A118" s="27" t="s">
        <v>42</v>
      </c>
      <c r="B118" s="27" t="s">
        <v>397</v>
      </c>
      <c r="C118" s="27" t="s">
        <v>398</v>
      </c>
      <c r="D118" s="27" t="s">
        <v>399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920.3</f>
        <v>920.3</v>
      </c>
      <c r="L118" s="34" t="s">
        <v>48</v>
      </c>
      <c r="M118" s="33" t="n">
        <f>930</f>
        <v>930.0</v>
      </c>
      <c r="N118" s="34" t="s">
        <v>73</v>
      </c>
      <c r="O118" s="33" t="n">
        <f>860.5</f>
        <v>860.5</v>
      </c>
      <c r="P118" s="34" t="s">
        <v>91</v>
      </c>
      <c r="Q118" s="33" t="n">
        <f>890.1</f>
        <v>890.1</v>
      </c>
      <c r="R118" s="34" t="s">
        <v>49</v>
      </c>
      <c r="S118" s="35" t="n">
        <f>897.05</f>
        <v>897.05</v>
      </c>
      <c r="T118" s="32" t="n">
        <f>640</f>
        <v>640.0</v>
      </c>
      <c r="U118" s="32" t="str">
        <f>"－"</f>
        <v>－</v>
      </c>
      <c r="V118" s="32" t="n">
        <f>567832</f>
        <v>567832.0</v>
      </c>
      <c r="W118" s="32" t="str">
        <f>"－"</f>
        <v>－</v>
      </c>
      <c r="X118" s="36" t="n">
        <f>10</f>
        <v>10.0</v>
      </c>
    </row>
    <row r="119">
      <c r="A119" s="27" t="s">
        <v>42</v>
      </c>
      <c r="B119" s="27" t="s">
        <v>400</v>
      </c>
      <c r="C119" s="27" t="s">
        <v>401</v>
      </c>
      <c r="D119" s="27" t="s">
        <v>402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1504</f>
        <v>1504.0</v>
      </c>
      <c r="L119" s="34" t="s">
        <v>48</v>
      </c>
      <c r="M119" s="33" t="n">
        <f>1510</f>
        <v>1510.0</v>
      </c>
      <c r="N119" s="34" t="s">
        <v>49</v>
      </c>
      <c r="O119" s="33" t="n">
        <f>1480</f>
        <v>1480.0</v>
      </c>
      <c r="P119" s="34" t="s">
        <v>73</v>
      </c>
      <c r="Q119" s="33" t="n">
        <f>1510</f>
        <v>1510.0</v>
      </c>
      <c r="R119" s="34" t="s">
        <v>49</v>
      </c>
      <c r="S119" s="35" t="n">
        <f>1497.75</f>
        <v>1497.75</v>
      </c>
      <c r="T119" s="32" t="n">
        <f>2010</f>
        <v>2010.0</v>
      </c>
      <c r="U119" s="32" t="str">
        <f>"－"</f>
        <v>－</v>
      </c>
      <c r="V119" s="32" t="n">
        <f>3013370</f>
        <v>3013370.0</v>
      </c>
      <c r="W119" s="32" t="str">
        <f>"－"</f>
        <v>－</v>
      </c>
      <c r="X119" s="36" t="n">
        <f>4</f>
        <v>4.0</v>
      </c>
    </row>
    <row r="120">
      <c r="A120" s="27" t="s">
        <v>42</v>
      </c>
      <c r="B120" s="27" t="s">
        <v>403</v>
      </c>
      <c r="C120" s="27" t="s">
        <v>404</v>
      </c>
      <c r="D120" s="27" t="s">
        <v>405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1645</f>
        <v>1645.0</v>
      </c>
      <c r="L120" s="34" t="s">
        <v>48</v>
      </c>
      <c r="M120" s="33" t="n">
        <f>1650</f>
        <v>1650.0</v>
      </c>
      <c r="N120" s="34" t="s">
        <v>225</v>
      </c>
      <c r="O120" s="33" t="n">
        <f>1577</f>
        <v>1577.0</v>
      </c>
      <c r="P120" s="34" t="s">
        <v>50</v>
      </c>
      <c r="Q120" s="33" t="n">
        <f>1631</f>
        <v>1631.0</v>
      </c>
      <c r="R120" s="34" t="s">
        <v>51</v>
      </c>
      <c r="S120" s="35" t="n">
        <f>1615.63</f>
        <v>1615.63</v>
      </c>
      <c r="T120" s="32" t="n">
        <f>5577</f>
        <v>5577.0</v>
      </c>
      <c r="U120" s="32" t="str">
        <f>"－"</f>
        <v>－</v>
      </c>
      <c r="V120" s="32" t="n">
        <f>9005430</f>
        <v>9005430.0</v>
      </c>
      <c r="W120" s="32" t="str">
        <f>"－"</f>
        <v>－</v>
      </c>
      <c r="X120" s="36" t="n">
        <f>19</f>
        <v>19.0</v>
      </c>
    </row>
    <row r="121">
      <c r="A121" s="27" t="s">
        <v>42</v>
      </c>
      <c r="B121" s="27" t="s">
        <v>406</v>
      </c>
      <c r="C121" s="27" t="s">
        <v>407</v>
      </c>
      <c r="D121" s="27" t="s">
        <v>408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17100</f>
        <v>17100.0</v>
      </c>
      <c r="L121" s="34" t="s">
        <v>48</v>
      </c>
      <c r="M121" s="33" t="n">
        <f>17415</f>
        <v>17415.0</v>
      </c>
      <c r="N121" s="34" t="s">
        <v>51</v>
      </c>
      <c r="O121" s="33" t="n">
        <f>16525</f>
        <v>16525.0</v>
      </c>
      <c r="P121" s="34" t="s">
        <v>50</v>
      </c>
      <c r="Q121" s="33" t="n">
        <f>17250</f>
        <v>17250.0</v>
      </c>
      <c r="R121" s="34" t="s">
        <v>51</v>
      </c>
      <c r="S121" s="35" t="n">
        <f>16985.79</f>
        <v>16985.79</v>
      </c>
      <c r="T121" s="32" t="n">
        <f>165872</f>
        <v>165872.0</v>
      </c>
      <c r="U121" s="32" t="n">
        <f>142702</f>
        <v>142702.0</v>
      </c>
      <c r="V121" s="32" t="n">
        <f>2816801995</f>
        <v>2.816801995E9</v>
      </c>
      <c r="W121" s="32" t="n">
        <f>2424278440</f>
        <v>2.42427844E9</v>
      </c>
      <c r="X121" s="36" t="n">
        <f>19</f>
        <v>19.0</v>
      </c>
    </row>
    <row r="122">
      <c r="A122" s="27" t="s">
        <v>42</v>
      </c>
      <c r="B122" s="27" t="s">
        <v>409</v>
      </c>
      <c r="C122" s="27" t="s">
        <v>410</v>
      </c>
      <c r="D122" s="27" t="s">
        <v>411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1571</f>
        <v>1571.0</v>
      </c>
      <c r="L122" s="34" t="s">
        <v>48</v>
      </c>
      <c r="M122" s="33" t="n">
        <f>1624</f>
        <v>1624.0</v>
      </c>
      <c r="N122" s="34" t="s">
        <v>125</v>
      </c>
      <c r="O122" s="33" t="n">
        <f>1515</f>
        <v>1515.0</v>
      </c>
      <c r="P122" s="34" t="s">
        <v>50</v>
      </c>
      <c r="Q122" s="33" t="n">
        <f>1595</f>
        <v>1595.0</v>
      </c>
      <c r="R122" s="34" t="s">
        <v>51</v>
      </c>
      <c r="S122" s="35" t="n">
        <f>1567.79</f>
        <v>1567.79</v>
      </c>
      <c r="T122" s="32" t="n">
        <f>154309</f>
        <v>154309.0</v>
      </c>
      <c r="U122" s="32" t="n">
        <f>1</f>
        <v>1.0</v>
      </c>
      <c r="V122" s="32" t="n">
        <f>241597102</f>
        <v>2.41597102E8</v>
      </c>
      <c r="W122" s="32" t="n">
        <f>1575</f>
        <v>1575.0</v>
      </c>
      <c r="X122" s="36" t="n">
        <f>19</f>
        <v>19.0</v>
      </c>
    </row>
    <row r="123">
      <c r="A123" s="27" t="s">
        <v>42</v>
      </c>
      <c r="B123" s="27" t="s">
        <v>412</v>
      </c>
      <c r="C123" s="27" t="s">
        <v>413</v>
      </c>
      <c r="D123" s="27" t="s">
        <v>414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17780</f>
        <v>17780.0</v>
      </c>
      <c r="L123" s="34" t="s">
        <v>48</v>
      </c>
      <c r="M123" s="33" t="n">
        <f>17970</f>
        <v>17970.0</v>
      </c>
      <c r="N123" s="34" t="s">
        <v>49</v>
      </c>
      <c r="O123" s="33" t="n">
        <f>17055</f>
        <v>17055.0</v>
      </c>
      <c r="P123" s="34" t="s">
        <v>50</v>
      </c>
      <c r="Q123" s="33" t="n">
        <f>17830</f>
        <v>17830.0</v>
      </c>
      <c r="R123" s="34" t="s">
        <v>51</v>
      </c>
      <c r="S123" s="35" t="n">
        <f>17557.89</f>
        <v>17557.89</v>
      </c>
      <c r="T123" s="32" t="n">
        <f>13360</f>
        <v>13360.0</v>
      </c>
      <c r="U123" s="32" t="n">
        <f>1160</f>
        <v>1160.0</v>
      </c>
      <c r="V123" s="32" t="n">
        <f>233132389</f>
        <v>2.33132389E8</v>
      </c>
      <c r="W123" s="32" t="n">
        <f>19986684</f>
        <v>1.9986684E7</v>
      </c>
      <c r="X123" s="36" t="n">
        <f>19</f>
        <v>19.0</v>
      </c>
    </row>
    <row r="124">
      <c r="A124" s="27" t="s">
        <v>42</v>
      </c>
      <c r="B124" s="27" t="s">
        <v>415</v>
      </c>
      <c r="C124" s="27" t="s">
        <v>416</v>
      </c>
      <c r="D124" s="27" t="s">
        <v>417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2039.5</f>
        <v>2039.5</v>
      </c>
      <c r="L124" s="34" t="s">
        <v>48</v>
      </c>
      <c r="M124" s="33" t="n">
        <f>2040</f>
        <v>2040.0</v>
      </c>
      <c r="N124" s="34" t="s">
        <v>51</v>
      </c>
      <c r="O124" s="33" t="n">
        <f>1961.5</f>
        <v>1961.5</v>
      </c>
      <c r="P124" s="34" t="s">
        <v>91</v>
      </c>
      <c r="Q124" s="33" t="n">
        <f>2037</f>
        <v>2037.0</v>
      </c>
      <c r="R124" s="34" t="s">
        <v>51</v>
      </c>
      <c r="S124" s="35" t="n">
        <f>2010.95</f>
        <v>2010.95</v>
      </c>
      <c r="T124" s="32" t="n">
        <f>1041170</f>
        <v>1041170.0</v>
      </c>
      <c r="U124" s="32" t="n">
        <f>592520</f>
        <v>592520.0</v>
      </c>
      <c r="V124" s="32" t="n">
        <f>2083879830</f>
        <v>2.08387983E9</v>
      </c>
      <c r="W124" s="32" t="n">
        <f>1183641090</f>
        <v>1.18364109E9</v>
      </c>
      <c r="X124" s="36" t="n">
        <f>19</f>
        <v>19.0</v>
      </c>
    </row>
    <row r="125">
      <c r="A125" s="27" t="s">
        <v>42</v>
      </c>
      <c r="B125" s="27" t="s">
        <v>418</v>
      </c>
      <c r="C125" s="27" t="s">
        <v>419</v>
      </c>
      <c r="D125" s="27" t="s">
        <v>420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1665</f>
        <v>1665.0</v>
      </c>
      <c r="L125" s="34" t="s">
        <v>73</v>
      </c>
      <c r="M125" s="33" t="n">
        <f>1665</f>
        <v>1665.0</v>
      </c>
      <c r="N125" s="34" t="s">
        <v>73</v>
      </c>
      <c r="O125" s="33" t="n">
        <f>1599</f>
        <v>1599.0</v>
      </c>
      <c r="P125" s="34" t="s">
        <v>62</v>
      </c>
      <c r="Q125" s="33" t="n">
        <f>1665</f>
        <v>1665.0</v>
      </c>
      <c r="R125" s="34" t="s">
        <v>49</v>
      </c>
      <c r="S125" s="35" t="n">
        <f>1647.8</f>
        <v>1647.8</v>
      </c>
      <c r="T125" s="32" t="n">
        <f>260</f>
        <v>260.0</v>
      </c>
      <c r="U125" s="32" t="str">
        <f>"－"</f>
        <v>－</v>
      </c>
      <c r="V125" s="32" t="n">
        <f>430040</f>
        <v>430040.0</v>
      </c>
      <c r="W125" s="32" t="str">
        <f>"－"</f>
        <v>－</v>
      </c>
      <c r="X125" s="36" t="n">
        <f>5</f>
        <v>5.0</v>
      </c>
    </row>
    <row r="126">
      <c r="A126" s="27" t="s">
        <v>42</v>
      </c>
      <c r="B126" s="27" t="s">
        <v>421</v>
      </c>
      <c r="C126" s="27" t="s">
        <v>422</v>
      </c>
      <c r="D126" s="27" t="s">
        <v>423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2040</f>
        <v>2040.0</v>
      </c>
      <c r="L126" s="34" t="s">
        <v>48</v>
      </c>
      <c r="M126" s="33" t="n">
        <f>2057</f>
        <v>2057.0</v>
      </c>
      <c r="N126" s="34" t="s">
        <v>51</v>
      </c>
      <c r="O126" s="33" t="n">
        <f>1977</f>
        <v>1977.0</v>
      </c>
      <c r="P126" s="34" t="s">
        <v>50</v>
      </c>
      <c r="Q126" s="33" t="n">
        <f>2057</f>
        <v>2057.0</v>
      </c>
      <c r="R126" s="34" t="s">
        <v>51</v>
      </c>
      <c r="S126" s="35" t="n">
        <f>2029.18</f>
        <v>2029.18</v>
      </c>
      <c r="T126" s="32" t="n">
        <f>1002210</f>
        <v>1002210.0</v>
      </c>
      <c r="U126" s="32" t="n">
        <f>515420</f>
        <v>515420.0</v>
      </c>
      <c r="V126" s="32" t="n">
        <f>2029635649</f>
        <v>2.029635649E9</v>
      </c>
      <c r="W126" s="32" t="n">
        <f>1046357394</f>
        <v>1.046357394E9</v>
      </c>
      <c r="X126" s="36" t="n">
        <f>19</f>
        <v>19.0</v>
      </c>
    </row>
    <row r="127">
      <c r="A127" s="27" t="s">
        <v>42</v>
      </c>
      <c r="B127" s="27" t="s">
        <v>424</v>
      </c>
      <c r="C127" s="27" t="s">
        <v>425</v>
      </c>
      <c r="D127" s="27" t="s">
        <v>426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17615</f>
        <v>17615.0</v>
      </c>
      <c r="L127" s="34" t="s">
        <v>48</v>
      </c>
      <c r="M127" s="33" t="n">
        <f>17695</f>
        <v>17695.0</v>
      </c>
      <c r="N127" s="34" t="s">
        <v>49</v>
      </c>
      <c r="O127" s="33" t="n">
        <f>16895</f>
        <v>16895.0</v>
      </c>
      <c r="P127" s="34" t="s">
        <v>50</v>
      </c>
      <c r="Q127" s="33" t="n">
        <f>17640</f>
        <v>17640.0</v>
      </c>
      <c r="R127" s="34" t="s">
        <v>51</v>
      </c>
      <c r="S127" s="35" t="n">
        <f>17351.43</f>
        <v>17351.43</v>
      </c>
      <c r="T127" s="32" t="n">
        <f>819</f>
        <v>819.0</v>
      </c>
      <c r="U127" s="32" t="str">
        <f>"－"</f>
        <v>－</v>
      </c>
      <c r="V127" s="32" t="n">
        <f>14305680</f>
        <v>1.430568E7</v>
      </c>
      <c r="W127" s="32" t="str">
        <f>"－"</f>
        <v>－</v>
      </c>
      <c r="X127" s="36" t="n">
        <f>14</f>
        <v>14.0</v>
      </c>
    </row>
    <row r="128">
      <c r="A128" s="27" t="s">
        <v>42</v>
      </c>
      <c r="B128" s="27" t="s">
        <v>427</v>
      </c>
      <c r="C128" s="27" t="s">
        <v>428</v>
      </c>
      <c r="D128" s="27" t="s">
        <v>429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100.0</v>
      </c>
      <c r="K128" s="33" t="n">
        <f>168.1</f>
        <v>168.1</v>
      </c>
      <c r="L128" s="34" t="s">
        <v>48</v>
      </c>
      <c r="M128" s="33" t="n">
        <f>174</f>
        <v>174.0</v>
      </c>
      <c r="N128" s="34" t="s">
        <v>73</v>
      </c>
      <c r="O128" s="33" t="n">
        <f>160.7</f>
        <v>160.7</v>
      </c>
      <c r="P128" s="34" t="s">
        <v>69</v>
      </c>
      <c r="Q128" s="33" t="n">
        <f>164.7</f>
        <v>164.7</v>
      </c>
      <c r="R128" s="34" t="s">
        <v>51</v>
      </c>
      <c r="S128" s="35" t="n">
        <f>166.1</f>
        <v>166.1</v>
      </c>
      <c r="T128" s="32" t="n">
        <f>16223900</f>
        <v>1.62239E7</v>
      </c>
      <c r="U128" s="32" t="n">
        <f>771800</f>
        <v>771800.0</v>
      </c>
      <c r="V128" s="32" t="n">
        <f>2698216313</f>
        <v>2.698216313E9</v>
      </c>
      <c r="W128" s="32" t="n">
        <f>129881743</f>
        <v>1.29881743E8</v>
      </c>
      <c r="X128" s="36" t="n">
        <f>19</f>
        <v>19.0</v>
      </c>
    </row>
    <row r="129">
      <c r="A129" s="27" t="s">
        <v>42</v>
      </c>
      <c r="B129" s="27" t="s">
        <v>430</v>
      </c>
      <c r="C129" s="27" t="s">
        <v>431</v>
      </c>
      <c r="D129" s="27" t="s">
        <v>432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28000</f>
        <v>28000.0</v>
      </c>
      <c r="L129" s="34" t="s">
        <v>48</v>
      </c>
      <c r="M129" s="33" t="n">
        <f>28145</f>
        <v>28145.0</v>
      </c>
      <c r="N129" s="34" t="s">
        <v>73</v>
      </c>
      <c r="O129" s="33" t="n">
        <f>26870</f>
        <v>26870.0</v>
      </c>
      <c r="P129" s="34" t="s">
        <v>69</v>
      </c>
      <c r="Q129" s="33" t="n">
        <f>27170</f>
        <v>27170.0</v>
      </c>
      <c r="R129" s="34" t="s">
        <v>51</v>
      </c>
      <c r="S129" s="35" t="n">
        <f>27384.21</f>
        <v>27384.21</v>
      </c>
      <c r="T129" s="32" t="n">
        <f>1918</f>
        <v>1918.0</v>
      </c>
      <c r="U129" s="32" t="str">
        <f>"－"</f>
        <v>－</v>
      </c>
      <c r="V129" s="32" t="n">
        <f>52559585</f>
        <v>5.2559585E7</v>
      </c>
      <c r="W129" s="32" t="str">
        <f>"－"</f>
        <v>－</v>
      </c>
      <c r="X129" s="36" t="n">
        <f>19</f>
        <v>19.0</v>
      </c>
    </row>
    <row r="130">
      <c r="A130" s="27" t="s">
        <v>42</v>
      </c>
      <c r="B130" s="27" t="s">
        <v>433</v>
      </c>
      <c r="C130" s="27" t="s">
        <v>434</v>
      </c>
      <c r="D130" s="27" t="s">
        <v>435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13450</f>
        <v>13450.0</v>
      </c>
      <c r="L130" s="34" t="s">
        <v>48</v>
      </c>
      <c r="M130" s="33" t="n">
        <f>14905</f>
        <v>14905.0</v>
      </c>
      <c r="N130" s="34" t="s">
        <v>51</v>
      </c>
      <c r="O130" s="33" t="n">
        <f>13040</f>
        <v>13040.0</v>
      </c>
      <c r="P130" s="34" t="s">
        <v>91</v>
      </c>
      <c r="Q130" s="33" t="n">
        <f>14830</f>
        <v>14830.0</v>
      </c>
      <c r="R130" s="34" t="s">
        <v>51</v>
      </c>
      <c r="S130" s="35" t="n">
        <f>13988.68</f>
        <v>13988.68</v>
      </c>
      <c r="T130" s="32" t="n">
        <f>33903</f>
        <v>33903.0</v>
      </c>
      <c r="U130" s="32" t="n">
        <f>6</f>
        <v>6.0</v>
      </c>
      <c r="V130" s="32" t="n">
        <f>476884605</f>
        <v>4.76884605E8</v>
      </c>
      <c r="W130" s="32" t="n">
        <f>87540</f>
        <v>87540.0</v>
      </c>
      <c r="X130" s="36" t="n">
        <f>19</f>
        <v>19.0</v>
      </c>
    </row>
    <row r="131">
      <c r="A131" s="27" t="s">
        <v>42</v>
      </c>
      <c r="B131" s="27" t="s">
        <v>436</v>
      </c>
      <c r="C131" s="27" t="s">
        <v>437</v>
      </c>
      <c r="D131" s="27" t="s">
        <v>438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20835</f>
        <v>20835.0</v>
      </c>
      <c r="L131" s="34" t="s">
        <v>48</v>
      </c>
      <c r="M131" s="33" t="n">
        <f>21140</f>
        <v>21140.0</v>
      </c>
      <c r="N131" s="34" t="s">
        <v>175</v>
      </c>
      <c r="O131" s="33" t="n">
        <f>20015</f>
        <v>20015.0</v>
      </c>
      <c r="P131" s="34" t="s">
        <v>50</v>
      </c>
      <c r="Q131" s="33" t="n">
        <f>20960</f>
        <v>20960.0</v>
      </c>
      <c r="R131" s="34" t="s">
        <v>51</v>
      </c>
      <c r="S131" s="35" t="n">
        <f>20743.42</f>
        <v>20743.42</v>
      </c>
      <c r="T131" s="32" t="n">
        <f>576</f>
        <v>576.0</v>
      </c>
      <c r="U131" s="32" t="str">
        <f>"－"</f>
        <v>－</v>
      </c>
      <c r="V131" s="32" t="n">
        <f>11939535</f>
        <v>1.1939535E7</v>
      </c>
      <c r="W131" s="32" t="str">
        <f>"－"</f>
        <v>－</v>
      </c>
      <c r="X131" s="36" t="n">
        <f>19</f>
        <v>19.0</v>
      </c>
    </row>
    <row r="132">
      <c r="A132" s="27" t="s">
        <v>42</v>
      </c>
      <c r="B132" s="27" t="s">
        <v>439</v>
      </c>
      <c r="C132" s="27" t="s">
        <v>440</v>
      </c>
      <c r="D132" s="27" t="s">
        <v>441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25070</f>
        <v>25070.0</v>
      </c>
      <c r="L132" s="34" t="s">
        <v>48</v>
      </c>
      <c r="M132" s="33" t="n">
        <f>25070</f>
        <v>25070.0</v>
      </c>
      <c r="N132" s="34" t="s">
        <v>48</v>
      </c>
      <c r="O132" s="33" t="n">
        <f>23920</f>
        <v>23920.0</v>
      </c>
      <c r="P132" s="34" t="s">
        <v>69</v>
      </c>
      <c r="Q132" s="33" t="n">
        <f>24740</f>
        <v>24740.0</v>
      </c>
      <c r="R132" s="34" t="s">
        <v>51</v>
      </c>
      <c r="S132" s="35" t="n">
        <f>24435.79</f>
        <v>24435.79</v>
      </c>
      <c r="T132" s="32" t="n">
        <f>527</f>
        <v>527.0</v>
      </c>
      <c r="U132" s="32" t="str">
        <f>"－"</f>
        <v>－</v>
      </c>
      <c r="V132" s="32" t="n">
        <f>12854510</f>
        <v>1.285451E7</v>
      </c>
      <c r="W132" s="32" t="str">
        <f>"－"</f>
        <v>－</v>
      </c>
      <c r="X132" s="36" t="n">
        <f>19</f>
        <v>19.0</v>
      </c>
    </row>
    <row r="133">
      <c r="A133" s="27" t="s">
        <v>42</v>
      </c>
      <c r="B133" s="27" t="s">
        <v>442</v>
      </c>
      <c r="C133" s="27" t="s">
        <v>443</v>
      </c>
      <c r="D133" s="27" t="s">
        <v>444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23640</f>
        <v>23640.0</v>
      </c>
      <c r="L133" s="34" t="s">
        <v>48</v>
      </c>
      <c r="M133" s="33" t="n">
        <f>24140</f>
        <v>24140.0</v>
      </c>
      <c r="N133" s="34" t="s">
        <v>73</v>
      </c>
      <c r="O133" s="33" t="n">
        <f>22865</f>
        <v>22865.0</v>
      </c>
      <c r="P133" s="34" t="s">
        <v>50</v>
      </c>
      <c r="Q133" s="33" t="n">
        <f>23450</f>
        <v>23450.0</v>
      </c>
      <c r="R133" s="34" t="s">
        <v>51</v>
      </c>
      <c r="S133" s="35" t="n">
        <f>23478.68</f>
        <v>23478.68</v>
      </c>
      <c r="T133" s="32" t="n">
        <f>3348</f>
        <v>3348.0</v>
      </c>
      <c r="U133" s="32" t="str">
        <f>"－"</f>
        <v>－</v>
      </c>
      <c r="V133" s="32" t="n">
        <f>78521020</f>
        <v>7.852102E7</v>
      </c>
      <c r="W133" s="32" t="str">
        <f>"－"</f>
        <v>－</v>
      </c>
      <c r="X133" s="36" t="n">
        <f>19</f>
        <v>19.0</v>
      </c>
    </row>
    <row r="134">
      <c r="A134" s="27" t="s">
        <v>42</v>
      </c>
      <c r="B134" s="27" t="s">
        <v>445</v>
      </c>
      <c r="C134" s="27" t="s">
        <v>446</v>
      </c>
      <c r="D134" s="27" t="s">
        <v>447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24415</f>
        <v>24415.0</v>
      </c>
      <c r="L134" s="34" t="s">
        <v>48</v>
      </c>
      <c r="M134" s="33" t="n">
        <f>24550</f>
        <v>24550.0</v>
      </c>
      <c r="N134" s="34" t="s">
        <v>73</v>
      </c>
      <c r="O134" s="33" t="n">
        <f>22400</f>
        <v>22400.0</v>
      </c>
      <c r="P134" s="34" t="s">
        <v>69</v>
      </c>
      <c r="Q134" s="33" t="n">
        <f>23630</f>
        <v>23630.0</v>
      </c>
      <c r="R134" s="34" t="s">
        <v>51</v>
      </c>
      <c r="S134" s="35" t="n">
        <f>23307.11</f>
        <v>23307.11</v>
      </c>
      <c r="T134" s="32" t="n">
        <f>16066</f>
        <v>16066.0</v>
      </c>
      <c r="U134" s="32" t="n">
        <f>2</f>
        <v>2.0</v>
      </c>
      <c r="V134" s="32" t="n">
        <f>375761165</f>
        <v>3.75761165E8</v>
      </c>
      <c r="W134" s="32" t="n">
        <f>46645</f>
        <v>46645.0</v>
      </c>
      <c r="X134" s="36" t="n">
        <f>19</f>
        <v>19.0</v>
      </c>
    </row>
    <row r="135">
      <c r="A135" s="27" t="s">
        <v>42</v>
      </c>
      <c r="B135" s="27" t="s">
        <v>448</v>
      </c>
      <c r="C135" s="27" t="s">
        <v>449</v>
      </c>
      <c r="D135" s="27" t="s">
        <v>450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17400</f>
        <v>17400.0</v>
      </c>
      <c r="L135" s="34" t="s">
        <v>48</v>
      </c>
      <c r="M135" s="33" t="n">
        <f>17785</f>
        <v>17785.0</v>
      </c>
      <c r="N135" s="34" t="s">
        <v>49</v>
      </c>
      <c r="O135" s="33" t="n">
        <f>16405</f>
        <v>16405.0</v>
      </c>
      <c r="P135" s="34" t="s">
        <v>91</v>
      </c>
      <c r="Q135" s="33" t="n">
        <f>17665</f>
        <v>17665.0</v>
      </c>
      <c r="R135" s="34" t="s">
        <v>51</v>
      </c>
      <c r="S135" s="35" t="n">
        <f>17112.63</f>
        <v>17112.63</v>
      </c>
      <c r="T135" s="32" t="n">
        <f>3082</f>
        <v>3082.0</v>
      </c>
      <c r="U135" s="32" t="n">
        <f>1</f>
        <v>1.0</v>
      </c>
      <c r="V135" s="32" t="n">
        <f>52783125</f>
        <v>5.2783125E7</v>
      </c>
      <c r="W135" s="32" t="n">
        <f>16200</f>
        <v>16200.0</v>
      </c>
      <c r="X135" s="36" t="n">
        <f>19</f>
        <v>19.0</v>
      </c>
    </row>
    <row r="136">
      <c r="A136" s="27" t="s">
        <v>42</v>
      </c>
      <c r="B136" s="27" t="s">
        <v>451</v>
      </c>
      <c r="C136" s="27" t="s">
        <v>452</v>
      </c>
      <c r="D136" s="27" t="s">
        <v>453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37840</f>
        <v>37840.0</v>
      </c>
      <c r="L136" s="34" t="s">
        <v>48</v>
      </c>
      <c r="M136" s="33" t="n">
        <f>39380</f>
        <v>39380.0</v>
      </c>
      <c r="N136" s="34" t="s">
        <v>49</v>
      </c>
      <c r="O136" s="33" t="n">
        <f>36430</f>
        <v>36430.0</v>
      </c>
      <c r="P136" s="34" t="s">
        <v>62</v>
      </c>
      <c r="Q136" s="33" t="n">
        <f>39380</f>
        <v>39380.0</v>
      </c>
      <c r="R136" s="34" t="s">
        <v>49</v>
      </c>
      <c r="S136" s="35" t="n">
        <f>38078.24</f>
        <v>38078.24</v>
      </c>
      <c r="T136" s="32" t="n">
        <f>429</f>
        <v>429.0</v>
      </c>
      <c r="U136" s="32" t="str">
        <f>"－"</f>
        <v>－</v>
      </c>
      <c r="V136" s="32" t="n">
        <f>16391760</f>
        <v>1.639176E7</v>
      </c>
      <c r="W136" s="32" t="str">
        <f>"－"</f>
        <v>－</v>
      </c>
      <c r="X136" s="36" t="n">
        <f>17</f>
        <v>17.0</v>
      </c>
    </row>
    <row r="137">
      <c r="A137" s="27" t="s">
        <v>42</v>
      </c>
      <c r="B137" s="27" t="s">
        <v>454</v>
      </c>
      <c r="C137" s="27" t="s">
        <v>455</v>
      </c>
      <c r="D137" s="27" t="s">
        <v>456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27065</f>
        <v>27065.0</v>
      </c>
      <c r="L137" s="34" t="s">
        <v>48</v>
      </c>
      <c r="M137" s="33" t="n">
        <f>28300</f>
        <v>28300.0</v>
      </c>
      <c r="N137" s="34" t="s">
        <v>49</v>
      </c>
      <c r="O137" s="33" t="n">
        <f>25900</f>
        <v>25900.0</v>
      </c>
      <c r="P137" s="34" t="s">
        <v>62</v>
      </c>
      <c r="Q137" s="33" t="n">
        <f>28175</f>
        <v>28175.0</v>
      </c>
      <c r="R137" s="34" t="s">
        <v>51</v>
      </c>
      <c r="S137" s="35" t="n">
        <f>27175.26</f>
        <v>27175.26</v>
      </c>
      <c r="T137" s="32" t="n">
        <f>2306</f>
        <v>2306.0</v>
      </c>
      <c r="U137" s="32" t="str">
        <f>"－"</f>
        <v>－</v>
      </c>
      <c r="V137" s="32" t="n">
        <f>62563685</f>
        <v>6.2563685E7</v>
      </c>
      <c r="W137" s="32" t="str">
        <f>"－"</f>
        <v>－</v>
      </c>
      <c r="X137" s="36" t="n">
        <f>19</f>
        <v>19.0</v>
      </c>
    </row>
    <row r="138">
      <c r="A138" s="27" t="s">
        <v>42</v>
      </c>
      <c r="B138" s="27" t="s">
        <v>457</v>
      </c>
      <c r="C138" s="27" t="s">
        <v>458</v>
      </c>
      <c r="D138" s="27" t="s">
        <v>459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28825</f>
        <v>28825.0</v>
      </c>
      <c r="L138" s="34" t="s">
        <v>48</v>
      </c>
      <c r="M138" s="33" t="n">
        <f>28825</f>
        <v>28825.0</v>
      </c>
      <c r="N138" s="34" t="s">
        <v>48</v>
      </c>
      <c r="O138" s="33" t="n">
        <f>26640</f>
        <v>26640.0</v>
      </c>
      <c r="P138" s="34" t="s">
        <v>50</v>
      </c>
      <c r="Q138" s="33" t="n">
        <f>28370</f>
        <v>28370.0</v>
      </c>
      <c r="R138" s="34" t="s">
        <v>51</v>
      </c>
      <c r="S138" s="35" t="n">
        <f>27853.68</f>
        <v>27853.68</v>
      </c>
      <c r="T138" s="32" t="n">
        <f>2144</f>
        <v>2144.0</v>
      </c>
      <c r="U138" s="32" t="n">
        <f>1200</f>
        <v>1200.0</v>
      </c>
      <c r="V138" s="32" t="n">
        <f>59834254</f>
        <v>5.9834254E7</v>
      </c>
      <c r="W138" s="32" t="n">
        <f>33574854</f>
        <v>3.3574854E7</v>
      </c>
      <c r="X138" s="36" t="n">
        <f>19</f>
        <v>19.0</v>
      </c>
    </row>
    <row r="139">
      <c r="A139" s="27" t="s">
        <v>42</v>
      </c>
      <c r="B139" s="27" t="s">
        <v>460</v>
      </c>
      <c r="C139" s="27" t="s">
        <v>461</v>
      </c>
      <c r="D139" s="27" t="s">
        <v>462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6130</f>
        <v>6130.0</v>
      </c>
      <c r="L139" s="34" t="s">
        <v>48</v>
      </c>
      <c r="M139" s="33" t="n">
        <f>6539</f>
        <v>6539.0</v>
      </c>
      <c r="N139" s="34" t="s">
        <v>302</v>
      </c>
      <c r="O139" s="33" t="n">
        <f>5930</f>
        <v>5930.0</v>
      </c>
      <c r="P139" s="34" t="s">
        <v>48</v>
      </c>
      <c r="Q139" s="33" t="n">
        <f>6236</f>
        <v>6236.0</v>
      </c>
      <c r="R139" s="34" t="s">
        <v>51</v>
      </c>
      <c r="S139" s="35" t="n">
        <f>6366.21</f>
        <v>6366.21</v>
      </c>
      <c r="T139" s="32" t="n">
        <f>46307</f>
        <v>46307.0</v>
      </c>
      <c r="U139" s="32" t="n">
        <f>16502</f>
        <v>16502.0</v>
      </c>
      <c r="V139" s="32" t="n">
        <f>293322580</f>
        <v>2.9332258E8</v>
      </c>
      <c r="W139" s="32" t="n">
        <f>103398351</f>
        <v>1.03398351E8</v>
      </c>
      <c r="X139" s="36" t="n">
        <f>19</f>
        <v>19.0</v>
      </c>
    </row>
    <row r="140">
      <c r="A140" s="27" t="s">
        <v>42</v>
      </c>
      <c r="B140" s="27" t="s">
        <v>463</v>
      </c>
      <c r="C140" s="27" t="s">
        <v>464</v>
      </c>
      <c r="D140" s="27" t="s">
        <v>465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15055</f>
        <v>15055.0</v>
      </c>
      <c r="L140" s="34" t="s">
        <v>48</v>
      </c>
      <c r="M140" s="33" t="n">
        <f>15700</f>
        <v>15700.0</v>
      </c>
      <c r="N140" s="34" t="s">
        <v>49</v>
      </c>
      <c r="O140" s="33" t="n">
        <f>14865</f>
        <v>14865.0</v>
      </c>
      <c r="P140" s="34" t="s">
        <v>62</v>
      </c>
      <c r="Q140" s="33" t="n">
        <f>15490</f>
        <v>15490.0</v>
      </c>
      <c r="R140" s="34" t="s">
        <v>51</v>
      </c>
      <c r="S140" s="35" t="n">
        <f>15307.37</f>
        <v>15307.37</v>
      </c>
      <c r="T140" s="32" t="n">
        <f>8263</f>
        <v>8263.0</v>
      </c>
      <c r="U140" s="32" t="n">
        <f>3</f>
        <v>3.0</v>
      </c>
      <c r="V140" s="32" t="n">
        <f>126767780</f>
        <v>1.2676778E8</v>
      </c>
      <c r="W140" s="32" t="n">
        <f>46605</f>
        <v>46605.0</v>
      </c>
      <c r="X140" s="36" t="n">
        <f>19</f>
        <v>19.0</v>
      </c>
    </row>
    <row r="141">
      <c r="A141" s="27" t="s">
        <v>42</v>
      </c>
      <c r="B141" s="27" t="s">
        <v>466</v>
      </c>
      <c r="C141" s="27" t="s">
        <v>467</v>
      </c>
      <c r="D141" s="27" t="s">
        <v>468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46690</f>
        <v>46690.0</v>
      </c>
      <c r="L141" s="34" t="s">
        <v>48</v>
      </c>
      <c r="M141" s="33" t="n">
        <f>47890</f>
        <v>47890.0</v>
      </c>
      <c r="N141" s="34" t="s">
        <v>225</v>
      </c>
      <c r="O141" s="33" t="n">
        <f>43200</f>
        <v>43200.0</v>
      </c>
      <c r="P141" s="34" t="s">
        <v>91</v>
      </c>
      <c r="Q141" s="33" t="n">
        <f>45510</f>
        <v>45510.0</v>
      </c>
      <c r="R141" s="34" t="s">
        <v>51</v>
      </c>
      <c r="S141" s="35" t="n">
        <f>45027.37</f>
        <v>45027.37</v>
      </c>
      <c r="T141" s="32" t="n">
        <f>8430</f>
        <v>8430.0</v>
      </c>
      <c r="U141" s="32" t="str">
        <f>"－"</f>
        <v>－</v>
      </c>
      <c r="V141" s="32" t="n">
        <f>383970980</f>
        <v>3.8397098E8</v>
      </c>
      <c r="W141" s="32" t="str">
        <f>"－"</f>
        <v>－</v>
      </c>
      <c r="X141" s="36" t="n">
        <f>19</f>
        <v>19.0</v>
      </c>
    </row>
    <row r="142">
      <c r="A142" s="27" t="s">
        <v>42</v>
      </c>
      <c r="B142" s="27" t="s">
        <v>469</v>
      </c>
      <c r="C142" s="27" t="s">
        <v>470</v>
      </c>
      <c r="D142" s="27" t="s">
        <v>471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20830</f>
        <v>20830.0</v>
      </c>
      <c r="L142" s="34" t="s">
        <v>48</v>
      </c>
      <c r="M142" s="33" t="n">
        <f>20930</f>
        <v>20930.0</v>
      </c>
      <c r="N142" s="34" t="s">
        <v>225</v>
      </c>
      <c r="O142" s="33" t="n">
        <f>19835</f>
        <v>19835.0</v>
      </c>
      <c r="P142" s="34" t="s">
        <v>277</v>
      </c>
      <c r="Q142" s="33" t="n">
        <f>20500</f>
        <v>20500.0</v>
      </c>
      <c r="R142" s="34" t="s">
        <v>51</v>
      </c>
      <c r="S142" s="35" t="n">
        <f>20356.05</f>
        <v>20356.05</v>
      </c>
      <c r="T142" s="32" t="n">
        <f>1365</f>
        <v>1365.0</v>
      </c>
      <c r="U142" s="32" t="str">
        <f>"－"</f>
        <v>－</v>
      </c>
      <c r="V142" s="32" t="n">
        <f>27763215</f>
        <v>2.7763215E7</v>
      </c>
      <c r="W142" s="32" t="str">
        <f>"－"</f>
        <v>－</v>
      </c>
      <c r="X142" s="36" t="n">
        <f>19</f>
        <v>19.0</v>
      </c>
    </row>
    <row r="143">
      <c r="A143" s="27" t="s">
        <v>42</v>
      </c>
      <c r="B143" s="27" t="s">
        <v>472</v>
      </c>
      <c r="C143" s="27" t="s">
        <v>473</v>
      </c>
      <c r="D143" s="27" t="s">
        <v>474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8969</f>
        <v>8969.0</v>
      </c>
      <c r="L143" s="34" t="s">
        <v>48</v>
      </c>
      <c r="M143" s="33" t="n">
        <f>9113</f>
        <v>9113.0</v>
      </c>
      <c r="N143" s="34" t="s">
        <v>73</v>
      </c>
      <c r="O143" s="33" t="n">
        <f>8429</f>
        <v>8429.0</v>
      </c>
      <c r="P143" s="34" t="s">
        <v>69</v>
      </c>
      <c r="Q143" s="33" t="n">
        <f>8608</f>
        <v>8608.0</v>
      </c>
      <c r="R143" s="34" t="s">
        <v>51</v>
      </c>
      <c r="S143" s="35" t="n">
        <f>8697.32</f>
        <v>8697.32</v>
      </c>
      <c r="T143" s="32" t="n">
        <f>9307</f>
        <v>9307.0</v>
      </c>
      <c r="U143" s="32" t="str">
        <f>"－"</f>
        <v>－</v>
      </c>
      <c r="V143" s="32" t="n">
        <f>81039071</f>
        <v>8.1039071E7</v>
      </c>
      <c r="W143" s="32" t="str">
        <f>"－"</f>
        <v>－</v>
      </c>
      <c r="X143" s="36" t="n">
        <f>19</f>
        <v>19.0</v>
      </c>
    </row>
    <row r="144">
      <c r="A144" s="27" t="s">
        <v>42</v>
      </c>
      <c r="B144" s="27" t="s">
        <v>475</v>
      </c>
      <c r="C144" s="27" t="s">
        <v>476</v>
      </c>
      <c r="D144" s="27" t="s">
        <v>477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14760</f>
        <v>14760.0</v>
      </c>
      <c r="L144" s="34" t="s">
        <v>48</v>
      </c>
      <c r="M144" s="33" t="n">
        <f>15100</f>
        <v>15100.0</v>
      </c>
      <c r="N144" s="34" t="s">
        <v>51</v>
      </c>
      <c r="O144" s="33" t="n">
        <f>13860</f>
        <v>13860.0</v>
      </c>
      <c r="P144" s="34" t="s">
        <v>69</v>
      </c>
      <c r="Q144" s="33" t="n">
        <f>14995</f>
        <v>14995.0</v>
      </c>
      <c r="R144" s="34" t="s">
        <v>51</v>
      </c>
      <c r="S144" s="35" t="n">
        <f>14486.32</f>
        <v>14486.32</v>
      </c>
      <c r="T144" s="32" t="n">
        <f>6826</f>
        <v>6826.0</v>
      </c>
      <c r="U144" s="32" t="n">
        <f>3500</f>
        <v>3500.0</v>
      </c>
      <c r="V144" s="32" t="n">
        <f>99272465</f>
        <v>9.9272465E7</v>
      </c>
      <c r="W144" s="32" t="n">
        <f>51744000</f>
        <v>5.1744E7</v>
      </c>
      <c r="X144" s="36" t="n">
        <f>19</f>
        <v>19.0</v>
      </c>
    </row>
    <row r="145">
      <c r="A145" s="27" t="s">
        <v>42</v>
      </c>
      <c r="B145" s="27" t="s">
        <v>478</v>
      </c>
      <c r="C145" s="27" t="s">
        <v>479</v>
      </c>
      <c r="D145" s="27" t="s">
        <v>480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30040</f>
        <v>30040.0</v>
      </c>
      <c r="L145" s="34" t="s">
        <v>48</v>
      </c>
      <c r="M145" s="33" t="n">
        <f>30870</f>
        <v>30870.0</v>
      </c>
      <c r="N145" s="34" t="s">
        <v>74</v>
      </c>
      <c r="O145" s="33" t="n">
        <f>28450</f>
        <v>28450.0</v>
      </c>
      <c r="P145" s="34" t="s">
        <v>69</v>
      </c>
      <c r="Q145" s="33" t="n">
        <f>30070</f>
        <v>30070.0</v>
      </c>
      <c r="R145" s="34" t="s">
        <v>51</v>
      </c>
      <c r="S145" s="35" t="n">
        <f>29491.94</f>
        <v>29491.94</v>
      </c>
      <c r="T145" s="32" t="n">
        <f>2674</f>
        <v>2674.0</v>
      </c>
      <c r="U145" s="32" t="str">
        <f>"－"</f>
        <v>－</v>
      </c>
      <c r="V145" s="32" t="n">
        <f>78042910</f>
        <v>7.804291E7</v>
      </c>
      <c r="W145" s="32" t="str">
        <f>"－"</f>
        <v>－</v>
      </c>
      <c r="X145" s="36" t="n">
        <f>18</f>
        <v>18.0</v>
      </c>
    </row>
    <row r="146">
      <c r="A146" s="27" t="s">
        <v>42</v>
      </c>
      <c r="B146" s="27" t="s">
        <v>481</v>
      </c>
      <c r="C146" s="27" t="s">
        <v>482</v>
      </c>
      <c r="D146" s="27" t="s">
        <v>483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1241</f>
        <v>1241.0</v>
      </c>
      <c r="L146" s="34" t="s">
        <v>48</v>
      </c>
      <c r="M146" s="33" t="n">
        <f>1246</f>
        <v>1246.0</v>
      </c>
      <c r="N146" s="34" t="s">
        <v>73</v>
      </c>
      <c r="O146" s="33" t="n">
        <f>1166</f>
        <v>1166.0</v>
      </c>
      <c r="P146" s="34" t="s">
        <v>162</v>
      </c>
      <c r="Q146" s="33" t="n">
        <f>1211</f>
        <v>1211.0</v>
      </c>
      <c r="R146" s="34" t="s">
        <v>51</v>
      </c>
      <c r="S146" s="35" t="n">
        <f>1198</f>
        <v>1198.0</v>
      </c>
      <c r="T146" s="32" t="n">
        <f>810140</f>
        <v>810140.0</v>
      </c>
      <c r="U146" s="32" t="n">
        <f>242000</f>
        <v>242000.0</v>
      </c>
      <c r="V146" s="32" t="n">
        <f>972044660</f>
        <v>9.7204466E8</v>
      </c>
      <c r="W146" s="32" t="n">
        <f>290038000</f>
        <v>2.90038E8</v>
      </c>
      <c r="X146" s="36" t="n">
        <f>19</f>
        <v>19.0</v>
      </c>
    </row>
    <row r="147">
      <c r="A147" s="27" t="s">
        <v>42</v>
      </c>
      <c r="B147" s="27" t="s">
        <v>484</v>
      </c>
      <c r="C147" s="27" t="s">
        <v>485</v>
      </c>
      <c r="D147" s="27" t="s">
        <v>486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2319</f>
        <v>2319.0</v>
      </c>
      <c r="L147" s="34" t="s">
        <v>48</v>
      </c>
      <c r="M147" s="33" t="n">
        <f>2348</f>
        <v>2348.0</v>
      </c>
      <c r="N147" s="34" t="s">
        <v>51</v>
      </c>
      <c r="O147" s="33" t="n">
        <f>2228.5</f>
        <v>2228.5</v>
      </c>
      <c r="P147" s="34" t="s">
        <v>50</v>
      </c>
      <c r="Q147" s="33" t="n">
        <f>2348</f>
        <v>2348.0</v>
      </c>
      <c r="R147" s="34" t="s">
        <v>51</v>
      </c>
      <c r="S147" s="35" t="n">
        <f>2291.92</f>
        <v>2291.92</v>
      </c>
      <c r="T147" s="32" t="n">
        <f>4640</f>
        <v>4640.0</v>
      </c>
      <c r="U147" s="32" t="str">
        <f>"－"</f>
        <v>－</v>
      </c>
      <c r="V147" s="32" t="n">
        <f>10562505</f>
        <v>1.0562505E7</v>
      </c>
      <c r="W147" s="32" t="str">
        <f>"－"</f>
        <v>－</v>
      </c>
      <c r="X147" s="36" t="n">
        <f>13</f>
        <v>13.0</v>
      </c>
    </row>
    <row r="148">
      <c r="A148" s="27" t="s">
        <v>42</v>
      </c>
      <c r="B148" s="27" t="s">
        <v>487</v>
      </c>
      <c r="C148" s="27" t="s">
        <v>488</v>
      </c>
      <c r="D148" s="27" t="s">
        <v>489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2472.5</f>
        <v>2472.5</v>
      </c>
      <c r="L148" s="34" t="s">
        <v>48</v>
      </c>
      <c r="M148" s="33" t="n">
        <f>2500</f>
        <v>2500.0</v>
      </c>
      <c r="N148" s="34" t="s">
        <v>49</v>
      </c>
      <c r="O148" s="33" t="n">
        <f>2387</f>
        <v>2387.0</v>
      </c>
      <c r="P148" s="34" t="s">
        <v>50</v>
      </c>
      <c r="Q148" s="33" t="n">
        <f>2500</f>
        <v>2500.0</v>
      </c>
      <c r="R148" s="34" t="s">
        <v>49</v>
      </c>
      <c r="S148" s="35" t="n">
        <f>2446.8</f>
        <v>2446.8</v>
      </c>
      <c r="T148" s="32" t="n">
        <f>14710</f>
        <v>14710.0</v>
      </c>
      <c r="U148" s="32" t="str">
        <f>"－"</f>
        <v>－</v>
      </c>
      <c r="V148" s="32" t="n">
        <f>35541500</f>
        <v>3.55415E7</v>
      </c>
      <c r="W148" s="32" t="str">
        <f>"－"</f>
        <v>－</v>
      </c>
      <c r="X148" s="36" t="n">
        <f>15</f>
        <v>15.0</v>
      </c>
    </row>
    <row r="149">
      <c r="A149" s="27" t="s">
        <v>42</v>
      </c>
      <c r="B149" s="27" t="s">
        <v>490</v>
      </c>
      <c r="C149" s="27" t="s">
        <v>491</v>
      </c>
      <c r="D149" s="27" t="s">
        <v>492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1520</f>
        <v>1520.0</v>
      </c>
      <c r="L149" s="34" t="s">
        <v>48</v>
      </c>
      <c r="M149" s="33" t="n">
        <f>1536.5</f>
        <v>1536.5</v>
      </c>
      <c r="N149" s="34" t="s">
        <v>49</v>
      </c>
      <c r="O149" s="33" t="n">
        <f>1469.5</f>
        <v>1469.5</v>
      </c>
      <c r="P149" s="34" t="s">
        <v>50</v>
      </c>
      <c r="Q149" s="33" t="n">
        <f>1536.5</f>
        <v>1536.5</v>
      </c>
      <c r="R149" s="34" t="s">
        <v>49</v>
      </c>
      <c r="S149" s="35" t="n">
        <f>1503.77</f>
        <v>1503.77</v>
      </c>
      <c r="T149" s="32" t="n">
        <f>48270</f>
        <v>48270.0</v>
      </c>
      <c r="U149" s="32" t="str">
        <f>"－"</f>
        <v>－</v>
      </c>
      <c r="V149" s="32" t="n">
        <f>72746360</f>
        <v>7.274636E7</v>
      </c>
      <c r="W149" s="32" t="str">
        <f>"－"</f>
        <v>－</v>
      </c>
      <c r="X149" s="36" t="n">
        <f>11</f>
        <v>11.0</v>
      </c>
    </row>
    <row r="150">
      <c r="A150" s="27" t="s">
        <v>42</v>
      </c>
      <c r="B150" s="27" t="s">
        <v>493</v>
      </c>
      <c r="C150" s="27" t="s">
        <v>494</v>
      </c>
      <c r="D150" s="27" t="s">
        <v>495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386.7</f>
        <v>386.7</v>
      </c>
      <c r="L150" s="34" t="s">
        <v>48</v>
      </c>
      <c r="M150" s="33" t="n">
        <f>390</f>
        <v>390.0</v>
      </c>
      <c r="N150" s="34" t="s">
        <v>73</v>
      </c>
      <c r="O150" s="33" t="n">
        <f>359.3</f>
        <v>359.3</v>
      </c>
      <c r="P150" s="34" t="s">
        <v>125</v>
      </c>
      <c r="Q150" s="33" t="n">
        <f>383.2</f>
        <v>383.2</v>
      </c>
      <c r="R150" s="34" t="s">
        <v>51</v>
      </c>
      <c r="S150" s="35" t="n">
        <f>372.82</f>
        <v>372.82</v>
      </c>
      <c r="T150" s="32" t="n">
        <f>106888830</f>
        <v>1.0688883E8</v>
      </c>
      <c r="U150" s="32" t="n">
        <f>11832370</f>
        <v>1.183237E7</v>
      </c>
      <c r="V150" s="32" t="n">
        <f>39852928240</f>
        <v>3.985292824E10</v>
      </c>
      <c r="W150" s="32" t="n">
        <f>4435417737</f>
        <v>4.435417737E9</v>
      </c>
      <c r="X150" s="36" t="n">
        <f>19</f>
        <v>19.0</v>
      </c>
    </row>
    <row r="151">
      <c r="A151" s="27" t="s">
        <v>42</v>
      </c>
      <c r="B151" s="27" t="s">
        <v>496</v>
      </c>
      <c r="C151" s="27" t="s">
        <v>497</v>
      </c>
      <c r="D151" s="27" t="s">
        <v>498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2742</f>
        <v>2742.0</v>
      </c>
      <c r="L151" s="34" t="s">
        <v>48</v>
      </c>
      <c r="M151" s="33" t="n">
        <f>2750</f>
        <v>2750.0</v>
      </c>
      <c r="N151" s="34" t="s">
        <v>50</v>
      </c>
      <c r="O151" s="33" t="n">
        <f>2710</f>
        <v>2710.0</v>
      </c>
      <c r="P151" s="34" t="s">
        <v>69</v>
      </c>
      <c r="Q151" s="33" t="n">
        <f>2722</f>
        <v>2722.0</v>
      </c>
      <c r="R151" s="34" t="s">
        <v>51</v>
      </c>
      <c r="S151" s="35" t="n">
        <f>2727.32</f>
        <v>2727.32</v>
      </c>
      <c r="T151" s="32" t="n">
        <f>3600831</f>
        <v>3600831.0</v>
      </c>
      <c r="U151" s="32" t="n">
        <f>3079075</f>
        <v>3079075.0</v>
      </c>
      <c r="V151" s="32" t="n">
        <f>9833115468</f>
        <v>9.833115468E9</v>
      </c>
      <c r="W151" s="32" t="n">
        <f>8411067731</f>
        <v>8.411067731E9</v>
      </c>
      <c r="X151" s="36" t="n">
        <f>19</f>
        <v>19.0</v>
      </c>
    </row>
    <row r="152">
      <c r="A152" s="27" t="s">
        <v>42</v>
      </c>
      <c r="B152" s="27" t="s">
        <v>499</v>
      </c>
      <c r="C152" s="27" t="s">
        <v>500</v>
      </c>
      <c r="D152" s="27" t="s">
        <v>501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3385</f>
        <v>3385.0</v>
      </c>
      <c r="L152" s="34" t="s">
        <v>48</v>
      </c>
      <c r="M152" s="33" t="n">
        <f>3395</f>
        <v>3395.0</v>
      </c>
      <c r="N152" s="34" t="s">
        <v>48</v>
      </c>
      <c r="O152" s="33" t="n">
        <f>3135</f>
        <v>3135.0</v>
      </c>
      <c r="P152" s="34" t="s">
        <v>69</v>
      </c>
      <c r="Q152" s="33" t="n">
        <f>3350</f>
        <v>3350.0</v>
      </c>
      <c r="R152" s="34" t="s">
        <v>51</v>
      </c>
      <c r="S152" s="35" t="n">
        <f>3256.05</f>
        <v>3256.05</v>
      </c>
      <c r="T152" s="32" t="n">
        <f>50637</f>
        <v>50637.0</v>
      </c>
      <c r="U152" s="32" t="n">
        <f>1465</f>
        <v>1465.0</v>
      </c>
      <c r="V152" s="32" t="n">
        <f>165161032</f>
        <v>1.65161032E8</v>
      </c>
      <c r="W152" s="32" t="n">
        <f>4962042</f>
        <v>4962042.0</v>
      </c>
      <c r="X152" s="36" t="n">
        <f>19</f>
        <v>19.0</v>
      </c>
    </row>
    <row r="153">
      <c r="A153" s="27" t="s">
        <v>42</v>
      </c>
      <c r="B153" s="27" t="s">
        <v>502</v>
      </c>
      <c r="C153" s="27" t="s">
        <v>503</v>
      </c>
      <c r="D153" s="27" t="s">
        <v>504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2270</f>
        <v>2270.0</v>
      </c>
      <c r="L153" s="34" t="s">
        <v>48</v>
      </c>
      <c r="M153" s="33" t="n">
        <f>2294</f>
        <v>2294.0</v>
      </c>
      <c r="N153" s="34" t="s">
        <v>48</v>
      </c>
      <c r="O153" s="33" t="n">
        <f>2099</f>
        <v>2099.0</v>
      </c>
      <c r="P153" s="34" t="s">
        <v>162</v>
      </c>
      <c r="Q153" s="33" t="n">
        <f>2263</f>
        <v>2263.0</v>
      </c>
      <c r="R153" s="34" t="s">
        <v>51</v>
      </c>
      <c r="S153" s="35" t="n">
        <f>2179.26</f>
        <v>2179.26</v>
      </c>
      <c r="T153" s="32" t="n">
        <f>124219</f>
        <v>124219.0</v>
      </c>
      <c r="U153" s="32" t="n">
        <f>30567</f>
        <v>30567.0</v>
      </c>
      <c r="V153" s="32" t="n">
        <f>270245443</f>
        <v>2.70245443E8</v>
      </c>
      <c r="W153" s="32" t="n">
        <f>65592723</f>
        <v>6.5592723E7</v>
      </c>
      <c r="X153" s="36" t="n">
        <f>19</f>
        <v>19.0</v>
      </c>
    </row>
    <row r="154">
      <c r="A154" s="27" t="s">
        <v>42</v>
      </c>
      <c r="B154" s="27" t="s">
        <v>505</v>
      </c>
      <c r="C154" s="27" t="s">
        <v>506</v>
      </c>
      <c r="D154" s="27" t="s">
        <v>507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3030</f>
        <v>3030.0</v>
      </c>
      <c r="L154" s="34" t="s">
        <v>48</v>
      </c>
      <c r="M154" s="33" t="n">
        <f>3030</f>
        <v>3030.0</v>
      </c>
      <c r="N154" s="34" t="s">
        <v>48</v>
      </c>
      <c r="O154" s="33" t="n">
        <f>2615</f>
        <v>2615.0</v>
      </c>
      <c r="P154" s="34" t="s">
        <v>188</v>
      </c>
      <c r="Q154" s="33" t="n">
        <f>2770</f>
        <v>2770.0</v>
      </c>
      <c r="R154" s="34" t="s">
        <v>51</v>
      </c>
      <c r="S154" s="35" t="n">
        <f>2726.63</f>
        <v>2726.63</v>
      </c>
      <c r="T154" s="32" t="n">
        <f>320133</f>
        <v>320133.0</v>
      </c>
      <c r="U154" s="32" t="n">
        <f>36116</f>
        <v>36116.0</v>
      </c>
      <c r="V154" s="32" t="n">
        <f>878815616</f>
        <v>8.78815616E8</v>
      </c>
      <c r="W154" s="32" t="n">
        <f>100042033</f>
        <v>1.00042033E8</v>
      </c>
      <c r="X154" s="36" t="n">
        <f>19</f>
        <v>19.0</v>
      </c>
    </row>
    <row r="155">
      <c r="A155" s="27" t="s">
        <v>42</v>
      </c>
      <c r="B155" s="27" t="s">
        <v>508</v>
      </c>
      <c r="C155" s="27" t="s">
        <v>509</v>
      </c>
      <c r="D155" s="27" t="s">
        <v>510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11200</f>
        <v>11200.0</v>
      </c>
      <c r="L155" s="34" t="s">
        <v>48</v>
      </c>
      <c r="M155" s="33" t="n">
        <f>11665</f>
        <v>11665.0</v>
      </c>
      <c r="N155" s="34" t="s">
        <v>175</v>
      </c>
      <c r="O155" s="33" t="n">
        <f>10835</f>
        <v>10835.0</v>
      </c>
      <c r="P155" s="34" t="s">
        <v>50</v>
      </c>
      <c r="Q155" s="33" t="n">
        <f>11280</f>
        <v>11280.0</v>
      </c>
      <c r="R155" s="34" t="s">
        <v>51</v>
      </c>
      <c r="S155" s="35" t="n">
        <f>11120</f>
        <v>11120.0</v>
      </c>
      <c r="T155" s="32" t="n">
        <f>9408</f>
        <v>9408.0</v>
      </c>
      <c r="U155" s="32" t="str">
        <f>"－"</f>
        <v>－</v>
      </c>
      <c r="V155" s="32" t="n">
        <f>104828875</f>
        <v>1.04828875E8</v>
      </c>
      <c r="W155" s="32" t="str">
        <f>"－"</f>
        <v>－</v>
      </c>
      <c r="X155" s="36" t="n">
        <f>19</f>
        <v>19.0</v>
      </c>
    </row>
    <row r="156">
      <c r="A156" s="27" t="s">
        <v>42</v>
      </c>
      <c r="B156" s="27" t="s">
        <v>511</v>
      </c>
      <c r="C156" s="27" t="s">
        <v>512</v>
      </c>
      <c r="D156" s="27" t="s">
        <v>513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1.0</v>
      </c>
      <c r="K156" s="33" t="n">
        <f>2874</f>
        <v>2874.0</v>
      </c>
      <c r="L156" s="34" t="s">
        <v>48</v>
      </c>
      <c r="M156" s="33" t="n">
        <f>3280</f>
        <v>3280.0</v>
      </c>
      <c r="N156" s="34" t="s">
        <v>51</v>
      </c>
      <c r="O156" s="33" t="n">
        <f>2731</f>
        <v>2731.0</v>
      </c>
      <c r="P156" s="34" t="s">
        <v>91</v>
      </c>
      <c r="Q156" s="33" t="n">
        <f>3270</f>
        <v>3270.0</v>
      </c>
      <c r="R156" s="34" t="s">
        <v>51</v>
      </c>
      <c r="S156" s="35" t="n">
        <f>3007.74</f>
        <v>3007.74</v>
      </c>
      <c r="T156" s="32" t="n">
        <f>19906262</f>
        <v>1.9906262E7</v>
      </c>
      <c r="U156" s="32" t="n">
        <f>14725</f>
        <v>14725.0</v>
      </c>
      <c r="V156" s="32" t="n">
        <f>59437303348</f>
        <v>5.9437303348E10</v>
      </c>
      <c r="W156" s="32" t="n">
        <f>44579930</f>
        <v>4.457993E7</v>
      </c>
      <c r="X156" s="36" t="n">
        <f>19</f>
        <v>19.0</v>
      </c>
    </row>
    <row r="157">
      <c r="A157" s="27" t="s">
        <v>42</v>
      </c>
      <c r="B157" s="27" t="s">
        <v>514</v>
      </c>
      <c r="C157" s="27" t="s">
        <v>515</v>
      </c>
      <c r="D157" s="27" t="s">
        <v>516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23320</f>
        <v>23320.0</v>
      </c>
      <c r="L157" s="34" t="s">
        <v>48</v>
      </c>
      <c r="M157" s="33" t="n">
        <f>23450</f>
        <v>23450.0</v>
      </c>
      <c r="N157" s="34" t="s">
        <v>48</v>
      </c>
      <c r="O157" s="33" t="n">
        <f>21860</f>
        <v>21860.0</v>
      </c>
      <c r="P157" s="34" t="s">
        <v>69</v>
      </c>
      <c r="Q157" s="33" t="n">
        <f>22300</f>
        <v>22300.0</v>
      </c>
      <c r="R157" s="34" t="s">
        <v>51</v>
      </c>
      <c r="S157" s="35" t="n">
        <f>22419.74</f>
        <v>22419.74</v>
      </c>
      <c r="T157" s="32" t="n">
        <f>3996</f>
        <v>3996.0</v>
      </c>
      <c r="U157" s="32" t="str">
        <f>"－"</f>
        <v>－</v>
      </c>
      <c r="V157" s="32" t="n">
        <f>89268160</f>
        <v>8.926816E7</v>
      </c>
      <c r="W157" s="32" t="str">
        <f>"－"</f>
        <v>－</v>
      </c>
      <c r="X157" s="36" t="n">
        <f>19</f>
        <v>19.0</v>
      </c>
    </row>
    <row r="158">
      <c r="A158" s="27" t="s">
        <v>42</v>
      </c>
      <c r="B158" s="27" t="s">
        <v>517</v>
      </c>
      <c r="C158" s="27" t="s">
        <v>518</v>
      </c>
      <c r="D158" s="27" t="s">
        <v>519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2751.5</f>
        <v>2751.5</v>
      </c>
      <c r="L158" s="34" t="s">
        <v>48</v>
      </c>
      <c r="M158" s="33" t="n">
        <f>2761.5</f>
        <v>2761.5</v>
      </c>
      <c r="N158" s="34" t="s">
        <v>48</v>
      </c>
      <c r="O158" s="33" t="n">
        <f>2471</f>
        <v>2471.0</v>
      </c>
      <c r="P158" s="34" t="s">
        <v>162</v>
      </c>
      <c r="Q158" s="33" t="n">
        <f>2611</f>
        <v>2611.0</v>
      </c>
      <c r="R158" s="34" t="s">
        <v>51</v>
      </c>
      <c r="S158" s="35" t="n">
        <f>2628.5</f>
        <v>2628.5</v>
      </c>
      <c r="T158" s="32" t="n">
        <f>33610</f>
        <v>33610.0</v>
      </c>
      <c r="U158" s="32" t="str">
        <f>"－"</f>
        <v>－</v>
      </c>
      <c r="V158" s="32" t="n">
        <f>88309425</f>
        <v>8.8309425E7</v>
      </c>
      <c r="W158" s="32" t="str">
        <f>"－"</f>
        <v>－</v>
      </c>
      <c r="X158" s="36" t="n">
        <f>19</f>
        <v>19.0</v>
      </c>
    </row>
    <row r="159">
      <c r="A159" s="27" t="s">
        <v>42</v>
      </c>
      <c r="B159" s="27" t="s">
        <v>520</v>
      </c>
      <c r="C159" s="27" t="s">
        <v>521</v>
      </c>
      <c r="D159" s="27" t="s">
        <v>522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11515</f>
        <v>11515.0</v>
      </c>
      <c r="L159" s="34" t="s">
        <v>48</v>
      </c>
      <c r="M159" s="33" t="n">
        <f>11925</f>
        <v>11925.0</v>
      </c>
      <c r="N159" s="34" t="s">
        <v>50</v>
      </c>
      <c r="O159" s="33" t="n">
        <f>11010</f>
        <v>11010.0</v>
      </c>
      <c r="P159" s="34" t="s">
        <v>69</v>
      </c>
      <c r="Q159" s="33" t="n">
        <f>11500</f>
        <v>11500.0</v>
      </c>
      <c r="R159" s="34" t="s">
        <v>51</v>
      </c>
      <c r="S159" s="35" t="n">
        <f>11383.68</f>
        <v>11383.68</v>
      </c>
      <c r="T159" s="32" t="n">
        <f>6719</f>
        <v>6719.0</v>
      </c>
      <c r="U159" s="32" t="str">
        <f>"－"</f>
        <v>－</v>
      </c>
      <c r="V159" s="32" t="n">
        <f>77169675</f>
        <v>7.7169675E7</v>
      </c>
      <c r="W159" s="32" t="str">
        <f>"－"</f>
        <v>－</v>
      </c>
      <c r="X159" s="36" t="n">
        <f>19</f>
        <v>19.0</v>
      </c>
    </row>
    <row r="160">
      <c r="A160" s="27" t="s">
        <v>42</v>
      </c>
      <c r="B160" s="27" t="s">
        <v>523</v>
      </c>
      <c r="C160" s="27" t="s">
        <v>524</v>
      </c>
      <c r="D160" s="27" t="s">
        <v>525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27900</f>
        <v>27900.0</v>
      </c>
      <c r="L160" s="34" t="s">
        <v>48</v>
      </c>
      <c r="M160" s="33" t="n">
        <f>27915</f>
        <v>27915.0</v>
      </c>
      <c r="N160" s="34" t="s">
        <v>48</v>
      </c>
      <c r="O160" s="33" t="n">
        <f>22710</f>
        <v>22710.0</v>
      </c>
      <c r="P160" s="34" t="s">
        <v>162</v>
      </c>
      <c r="Q160" s="33" t="n">
        <f>24450</f>
        <v>24450.0</v>
      </c>
      <c r="R160" s="34" t="s">
        <v>51</v>
      </c>
      <c r="S160" s="35" t="n">
        <f>24369.74</f>
        <v>24369.74</v>
      </c>
      <c r="T160" s="32" t="n">
        <f>4886</f>
        <v>4886.0</v>
      </c>
      <c r="U160" s="32" t="str">
        <f>"－"</f>
        <v>－</v>
      </c>
      <c r="V160" s="32" t="n">
        <f>120284660</f>
        <v>1.2028466E8</v>
      </c>
      <c r="W160" s="32" t="str">
        <f>"－"</f>
        <v>－</v>
      </c>
      <c r="X160" s="36" t="n">
        <f>19</f>
        <v>19.0</v>
      </c>
    </row>
    <row r="161">
      <c r="A161" s="27" t="s">
        <v>42</v>
      </c>
      <c r="B161" s="27" t="s">
        <v>526</v>
      </c>
      <c r="C161" s="27" t="s">
        <v>527</v>
      </c>
      <c r="D161" s="27" t="s">
        <v>528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20405</f>
        <v>20405.0</v>
      </c>
      <c r="L161" s="34" t="s">
        <v>48</v>
      </c>
      <c r="M161" s="33" t="n">
        <f>20405</f>
        <v>20405.0</v>
      </c>
      <c r="N161" s="34" t="s">
        <v>48</v>
      </c>
      <c r="O161" s="33" t="n">
        <f>17515</f>
        <v>17515.0</v>
      </c>
      <c r="P161" s="34" t="s">
        <v>175</v>
      </c>
      <c r="Q161" s="33" t="n">
        <f>18280</f>
        <v>18280.0</v>
      </c>
      <c r="R161" s="34" t="s">
        <v>51</v>
      </c>
      <c r="S161" s="35" t="n">
        <f>18548.75</f>
        <v>18548.75</v>
      </c>
      <c r="T161" s="32" t="n">
        <f>592</f>
        <v>592.0</v>
      </c>
      <c r="U161" s="32" t="str">
        <f>"－"</f>
        <v>－</v>
      </c>
      <c r="V161" s="32" t="n">
        <f>11013620</f>
        <v>1.101362E7</v>
      </c>
      <c r="W161" s="32" t="str">
        <f>"－"</f>
        <v>－</v>
      </c>
      <c r="X161" s="36" t="n">
        <f>16</f>
        <v>16.0</v>
      </c>
    </row>
    <row r="162">
      <c r="A162" s="27" t="s">
        <v>42</v>
      </c>
      <c r="B162" s="27" t="s">
        <v>529</v>
      </c>
      <c r="C162" s="27" t="s">
        <v>530</v>
      </c>
      <c r="D162" s="27" t="s">
        <v>531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10.0</v>
      </c>
      <c r="K162" s="33" t="n">
        <f>51690</f>
        <v>51690.0</v>
      </c>
      <c r="L162" s="34" t="s">
        <v>48</v>
      </c>
      <c r="M162" s="33" t="n">
        <f>51760</f>
        <v>51760.0</v>
      </c>
      <c r="N162" s="34" t="s">
        <v>48</v>
      </c>
      <c r="O162" s="33" t="n">
        <f>50460</f>
        <v>50460.0</v>
      </c>
      <c r="P162" s="34" t="s">
        <v>69</v>
      </c>
      <c r="Q162" s="33" t="n">
        <f>50770</f>
        <v>50770.0</v>
      </c>
      <c r="R162" s="34" t="s">
        <v>51</v>
      </c>
      <c r="S162" s="35" t="n">
        <f>50959.47</f>
        <v>50959.47</v>
      </c>
      <c r="T162" s="32" t="n">
        <f>3100</f>
        <v>3100.0</v>
      </c>
      <c r="U162" s="32" t="n">
        <f>30</f>
        <v>30.0</v>
      </c>
      <c r="V162" s="32" t="n">
        <f>158041600</f>
        <v>1.580416E8</v>
      </c>
      <c r="W162" s="32" t="n">
        <f>1537400</f>
        <v>1537400.0</v>
      </c>
      <c r="X162" s="36" t="n">
        <f>19</f>
        <v>19.0</v>
      </c>
    </row>
    <row r="163">
      <c r="A163" s="27" t="s">
        <v>42</v>
      </c>
      <c r="B163" s="27" t="s">
        <v>532</v>
      </c>
      <c r="C163" s="27" t="s">
        <v>533</v>
      </c>
      <c r="D163" s="27" t="s">
        <v>534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100.0</v>
      </c>
      <c r="K163" s="33" t="n">
        <f>252.7</f>
        <v>252.7</v>
      </c>
      <c r="L163" s="34" t="s">
        <v>48</v>
      </c>
      <c r="M163" s="33" t="n">
        <f>254</f>
        <v>254.0</v>
      </c>
      <c r="N163" s="34" t="s">
        <v>48</v>
      </c>
      <c r="O163" s="33" t="n">
        <f>230.1</f>
        <v>230.1</v>
      </c>
      <c r="P163" s="34" t="s">
        <v>302</v>
      </c>
      <c r="Q163" s="33" t="n">
        <f>240.8</f>
        <v>240.8</v>
      </c>
      <c r="R163" s="34" t="s">
        <v>51</v>
      </c>
      <c r="S163" s="35" t="n">
        <f>237.5</f>
        <v>237.5</v>
      </c>
      <c r="T163" s="32" t="n">
        <f>9570300</f>
        <v>9570300.0</v>
      </c>
      <c r="U163" s="32" t="n">
        <f>400</f>
        <v>400.0</v>
      </c>
      <c r="V163" s="32" t="n">
        <f>2281620980</f>
        <v>2.28162098E9</v>
      </c>
      <c r="W163" s="32" t="n">
        <f>92680</f>
        <v>92680.0</v>
      </c>
      <c r="X163" s="36" t="n">
        <f>19</f>
        <v>19.0</v>
      </c>
    </row>
    <row r="164">
      <c r="A164" s="27" t="s">
        <v>42</v>
      </c>
      <c r="B164" s="27" t="s">
        <v>535</v>
      </c>
      <c r="C164" s="27" t="s">
        <v>536</v>
      </c>
      <c r="D164" s="27" t="s">
        <v>537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37270</f>
        <v>37270.0</v>
      </c>
      <c r="L164" s="34" t="s">
        <v>48</v>
      </c>
      <c r="M164" s="33" t="n">
        <f>37730</f>
        <v>37730.0</v>
      </c>
      <c r="N164" s="34" t="s">
        <v>48</v>
      </c>
      <c r="O164" s="33" t="n">
        <f>34650</f>
        <v>34650.0</v>
      </c>
      <c r="P164" s="34" t="s">
        <v>125</v>
      </c>
      <c r="Q164" s="33" t="n">
        <f>36810</f>
        <v>36810.0</v>
      </c>
      <c r="R164" s="34" t="s">
        <v>51</v>
      </c>
      <c r="S164" s="35" t="n">
        <f>36018.42</f>
        <v>36018.42</v>
      </c>
      <c r="T164" s="32" t="n">
        <f>11060</f>
        <v>11060.0</v>
      </c>
      <c r="U164" s="32" t="n">
        <f>30</f>
        <v>30.0</v>
      </c>
      <c r="V164" s="32" t="n">
        <f>396328600</f>
        <v>3.963286E8</v>
      </c>
      <c r="W164" s="32" t="n">
        <f>1082000</f>
        <v>1082000.0</v>
      </c>
      <c r="X164" s="36" t="n">
        <f>19</f>
        <v>19.0</v>
      </c>
    </row>
    <row r="165">
      <c r="A165" s="27" t="s">
        <v>42</v>
      </c>
      <c r="B165" s="27" t="s">
        <v>538</v>
      </c>
      <c r="C165" s="27" t="s">
        <v>539</v>
      </c>
      <c r="D165" s="27" t="s">
        <v>540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3851</f>
        <v>3851.0</v>
      </c>
      <c r="L165" s="34" t="s">
        <v>48</v>
      </c>
      <c r="M165" s="33" t="n">
        <f>3893</f>
        <v>3893.0</v>
      </c>
      <c r="N165" s="34" t="s">
        <v>48</v>
      </c>
      <c r="O165" s="33" t="n">
        <f>3580</f>
        <v>3580.0</v>
      </c>
      <c r="P165" s="34" t="s">
        <v>69</v>
      </c>
      <c r="Q165" s="33" t="n">
        <f>3819</f>
        <v>3819.0</v>
      </c>
      <c r="R165" s="34" t="s">
        <v>51</v>
      </c>
      <c r="S165" s="35" t="n">
        <f>3704.74</f>
        <v>3704.74</v>
      </c>
      <c r="T165" s="32" t="n">
        <f>113010</f>
        <v>113010.0</v>
      </c>
      <c r="U165" s="32" t="str">
        <f>"－"</f>
        <v>－</v>
      </c>
      <c r="V165" s="32" t="n">
        <f>417073930</f>
        <v>4.1707393E8</v>
      </c>
      <c r="W165" s="32" t="str">
        <f>"－"</f>
        <v>－</v>
      </c>
      <c r="X165" s="36" t="n">
        <f>19</f>
        <v>19.0</v>
      </c>
    </row>
    <row r="166">
      <c r="A166" s="27" t="s">
        <v>42</v>
      </c>
      <c r="B166" s="27" t="s">
        <v>541</v>
      </c>
      <c r="C166" s="27" t="s">
        <v>542</v>
      </c>
      <c r="D166" s="27" t="s">
        <v>543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1749</f>
        <v>1749.0</v>
      </c>
      <c r="L166" s="34" t="s">
        <v>48</v>
      </c>
      <c r="M166" s="33" t="n">
        <f>1749</f>
        <v>1749.0</v>
      </c>
      <c r="N166" s="34" t="s">
        <v>48</v>
      </c>
      <c r="O166" s="33" t="n">
        <f>1586</f>
        <v>1586.0</v>
      </c>
      <c r="P166" s="34" t="s">
        <v>162</v>
      </c>
      <c r="Q166" s="33" t="n">
        <f>1730</f>
        <v>1730.0</v>
      </c>
      <c r="R166" s="34" t="s">
        <v>51</v>
      </c>
      <c r="S166" s="35" t="n">
        <f>1656.63</f>
        <v>1656.63</v>
      </c>
      <c r="T166" s="32" t="n">
        <f>120590</f>
        <v>120590.0</v>
      </c>
      <c r="U166" s="32" t="str">
        <f>"－"</f>
        <v>－</v>
      </c>
      <c r="V166" s="32" t="n">
        <f>200474855</f>
        <v>2.00474855E8</v>
      </c>
      <c r="W166" s="32" t="str">
        <f>"－"</f>
        <v>－</v>
      </c>
      <c r="X166" s="36" t="n">
        <f>19</f>
        <v>19.0</v>
      </c>
    </row>
    <row r="167">
      <c r="A167" s="27" t="s">
        <v>42</v>
      </c>
      <c r="B167" s="27" t="s">
        <v>544</v>
      </c>
      <c r="C167" s="27" t="s">
        <v>545</v>
      </c>
      <c r="D167" s="27" t="s">
        <v>546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100.0</v>
      </c>
      <c r="K167" s="33" t="n">
        <f>206.9</f>
        <v>206.9</v>
      </c>
      <c r="L167" s="34" t="s">
        <v>48</v>
      </c>
      <c r="M167" s="33" t="n">
        <f>215</f>
        <v>215.0</v>
      </c>
      <c r="N167" s="34" t="s">
        <v>50</v>
      </c>
      <c r="O167" s="33" t="n">
        <f>201</f>
        <v>201.0</v>
      </c>
      <c r="P167" s="34" t="s">
        <v>69</v>
      </c>
      <c r="Q167" s="33" t="n">
        <f>203.2</f>
        <v>203.2</v>
      </c>
      <c r="R167" s="34" t="s">
        <v>51</v>
      </c>
      <c r="S167" s="35" t="n">
        <f>206.39</f>
        <v>206.39</v>
      </c>
      <c r="T167" s="32" t="n">
        <f>195400</f>
        <v>195400.0</v>
      </c>
      <c r="U167" s="32" t="str">
        <f>"－"</f>
        <v>－</v>
      </c>
      <c r="V167" s="32" t="n">
        <f>40495100</f>
        <v>4.04951E7</v>
      </c>
      <c r="W167" s="32" t="str">
        <f>"－"</f>
        <v>－</v>
      </c>
      <c r="X167" s="36" t="n">
        <f>19</f>
        <v>19.0</v>
      </c>
    </row>
    <row r="168">
      <c r="A168" s="27" t="s">
        <v>42</v>
      </c>
      <c r="B168" s="27" t="s">
        <v>547</v>
      </c>
      <c r="C168" s="27" t="s">
        <v>548</v>
      </c>
      <c r="D168" s="27" t="s">
        <v>549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1779.5</f>
        <v>1779.5</v>
      </c>
      <c r="L168" s="34" t="s">
        <v>48</v>
      </c>
      <c r="M168" s="33" t="n">
        <f>1822</f>
        <v>1822.0</v>
      </c>
      <c r="N168" s="34" t="s">
        <v>73</v>
      </c>
      <c r="O168" s="33" t="n">
        <f>1635.5</f>
        <v>1635.5</v>
      </c>
      <c r="P168" s="34" t="s">
        <v>162</v>
      </c>
      <c r="Q168" s="33" t="n">
        <f>1774</f>
        <v>1774.0</v>
      </c>
      <c r="R168" s="34" t="s">
        <v>51</v>
      </c>
      <c r="S168" s="35" t="n">
        <f>1738.39</f>
        <v>1738.39</v>
      </c>
      <c r="T168" s="32" t="n">
        <f>15120</f>
        <v>15120.0</v>
      </c>
      <c r="U168" s="32" t="str">
        <f>"－"</f>
        <v>－</v>
      </c>
      <c r="V168" s="32" t="n">
        <f>26343670</f>
        <v>2.634367E7</v>
      </c>
      <c r="W168" s="32" t="str">
        <f>"－"</f>
        <v>－</v>
      </c>
      <c r="X168" s="36" t="n">
        <f>18</f>
        <v>18.0</v>
      </c>
    </row>
    <row r="169">
      <c r="A169" s="27" t="s">
        <v>42</v>
      </c>
      <c r="B169" s="27" t="s">
        <v>550</v>
      </c>
      <c r="C169" s="27" t="s">
        <v>551</v>
      </c>
      <c r="D169" s="27" t="s">
        <v>552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724.1</f>
        <v>724.1</v>
      </c>
      <c r="L169" s="34" t="s">
        <v>48</v>
      </c>
      <c r="M169" s="33" t="n">
        <f>809.9</f>
        <v>809.9</v>
      </c>
      <c r="N169" s="34" t="s">
        <v>51</v>
      </c>
      <c r="O169" s="33" t="n">
        <f>690.5</f>
        <v>690.5</v>
      </c>
      <c r="P169" s="34" t="s">
        <v>62</v>
      </c>
      <c r="Q169" s="33" t="n">
        <f>807</f>
        <v>807.0</v>
      </c>
      <c r="R169" s="34" t="s">
        <v>51</v>
      </c>
      <c r="S169" s="35" t="n">
        <f>753.81</f>
        <v>753.81</v>
      </c>
      <c r="T169" s="32" t="n">
        <f>293780</f>
        <v>293780.0</v>
      </c>
      <c r="U169" s="32" t="str">
        <f>"－"</f>
        <v>－</v>
      </c>
      <c r="V169" s="32" t="n">
        <f>223882782</f>
        <v>2.23882782E8</v>
      </c>
      <c r="W169" s="32" t="str">
        <f>"－"</f>
        <v>－</v>
      </c>
      <c r="X169" s="36" t="n">
        <f>19</f>
        <v>19.0</v>
      </c>
    </row>
    <row r="170">
      <c r="A170" s="27" t="s">
        <v>42</v>
      </c>
      <c r="B170" s="27" t="s">
        <v>553</v>
      </c>
      <c r="C170" s="27" t="s">
        <v>554</v>
      </c>
      <c r="D170" s="27" t="s">
        <v>555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2529.5</f>
        <v>2529.5</v>
      </c>
      <c r="L170" s="34" t="s">
        <v>48</v>
      </c>
      <c r="M170" s="33" t="n">
        <f>2529.5</f>
        <v>2529.5</v>
      </c>
      <c r="N170" s="34" t="s">
        <v>48</v>
      </c>
      <c r="O170" s="33" t="n">
        <f>2202</f>
        <v>2202.0</v>
      </c>
      <c r="P170" s="34" t="s">
        <v>162</v>
      </c>
      <c r="Q170" s="33" t="n">
        <f>2332.5</f>
        <v>2332.5</v>
      </c>
      <c r="R170" s="34" t="s">
        <v>51</v>
      </c>
      <c r="S170" s="35" t="n">
        <f>2308.71</f>
        <v>2308.71</v>
      </c>
      <c r="T170" s="32" t="n">
        <f>23530</f>
        <v>23530.0</v>
      </c>
      <c r="U170" s="32" t="str">
        <f>"－"</f>
        <v>－</v>
      </c>
      <c r="V170" s="32" t="n">
        <f>54487865</f>
        <v>5.4487865E7</v>
      </c>
      <c r="W170" s="32" t="str">
        <f>"－"</f>
        <v>－</v>
      </c>
      <c r="X170" s="36" t="n">
        <f>19</f>
        <v>19.0</v>
      </c>
    </row>
    <row r="171">
      <c r="A171" s="27" t="s">
        <v>42</v>
      </c>
      <c r="B171" s="27" t="s">
        <v>556</v>
      </c>
      <c r="C171" s="27" t="s">
        <v>557</v>
      </c>
      <c r="D171" s="27" t="s">
        <v>558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969.7</f>
        <v>969.7</v>
      </c>
      <c r="L171" s="34" t="s">
        <v>48</v>
      </c>
      <c r="M171" s="33" t="n">
        <f>1003</f>
        <v>1003.0</v>
      </c>
      <c r="N171" s="34" t="s">
        <v>61</v>
      </c>
      <c r="O171" s="33" t="n">
        <f>926.3</f>
        <v>926.3</v>
      </c>
      <c r="P171" s="34" t="s">
        <v>62</v>
      </c>
      <c r="Q171" s="33" t="n">
        <f>955</f>
        <v>955.0</v>
      </c>
      <c r="R171" s="34" t="s">
        <v>51</v>
      </c>
      <c r="S171" s="35" t="n">
        <f>958.7</f>
        <v>958.7</v>
      </c>
      <c r="T171" s="32" t="n">
        <f>315630</f>
        <v>315630.0</v>
      </c>
      <c r="U171" s="32" t="str">
        <f>"－"</f>
        <v>－</v>
      </c>
      <c r="V171" s="32" t="n">
        <f>303648854</f>
        <v>3.03648854E8</v>
      </c>
      <c r="W171" s="32" t="str">
        <f>"－"</f>
        <v>－</v>
      </c>
      <c r="X171" s="36" t="n">
        <f>19</f>
        <v>19.0</v>
      </c>
    </row>
    <row r="172">
      <c r="A172" s="27" t="s">
        <v>42</v>
      </c>
      <c r="B172" s="27" t="s">
        <v>559</v>
      </c>
      <c r="C172" s="27" t="s">
        <v>560</v>
      </c>
      <c r="D172" s="27" t="s">
        <v>561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727.1</f>
        <v>727.1</v>
      </c>
      <c r="L172" s="34" t="s">
        <v>48</v>
      </c>
      <c r="M172" s="33" t="n">
        <f>775.3</f>
        <v>775.3</v>
      </c>
      <c r="N172" s="34" t="s">
        <v>61</v>
      </c>
      <c r="O172" s="33" t="n">
        <f>700.6</f>
        <v>700.6</v>
      </c>
      <c r="P172" s="34" t="s">
        <v>62</v>
      </c>
      <c r="Q172" s="33" t="n">
        <f>728.9</f>
        <v>728.9</v>
      </c>
      <c r="R172" s="34" t="s">
        <v>51</v>
      </c>
      <c r="S172" s="35" t="n">
        <f>732.35</f>
        <v>732.35</v>
      </c>
      <c r="T172" s="32" t="n">
        <f>1240210</f>
        <v>1240210.0</v>
      </c>
      <c r="U172" s="32" t="str">
        <f>"－"</f>
        <v>－</v>
      </c>
      <c r="V172" s="32" t="n">
        <f>910776372</f>
        <v>9.10776372E8</v>
      </c>
      <c r="W172" s="32" t="str">
        <f>"－"</f>
        <v>－</v>
      </c>
      <c r="X172" s="36" t="n">
        <f>19</f>
        <v>19.0</v>
      </c>
    </row>
    <row r="173">
      <c r="A173" s="27" t="s">
        <v>42</v>
      </c>
      <c r="B173" s="27" t="s">
        <v>562</v>
      </c>
      <c r="C173" s="27" t="s">
        <v>563</v>
      </c>
      <c r="D173" s="27" t="s">
        <v>564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100.0</v>
      </c>
      <c r="K173" s="33" t="n">
        <f>4.1</f>
        <v>4.1</v>
      </c>
      <c r="L173" s="34" t="s">
        <v>48</v>
      </c>
      <c r="M173" s="33" t="n">
        <f>4.9</f>
        <v>4.9</v>
      </c>
      <c r="N173" s="34" t="s">
        <v>73</v>
      </c>
      <c r="O173" s="33" t="n">
        <f>3.7</f>
        <v>3.7</v>
      </c>
      <c r="P173" s="34" t="s">
        <v>62</v>
      </c>
      <c r="Q173" s="33" t="n">
        <f>4.5</f>
        <v>4.5</v>
      </c>
      <c r="R173" s="34" t="s">
        <v>51</v>
      </c>
      <c r="S173" s="35" t="n">
        <f>4.35</f>
        <v>4.35</v>
      </c>
      <c r="T173" s="32" t="n">
        <f>881261200</f>
        <v>8.812612E8</v>
      </c>
      <c r="U173" s="32" t="n">
        <f>1142100</f>
        <v>1142100.0</v>
      </c>
      <c r="V173" s="32" t="n">
        <f>3845847080</f>
        <v>3.84584708E9</v>
      </c>
      <c r="W173" s="32" t="n">
        <f>5133300</f>
        <v>5133300.0</v>
      </c>
      <c r="X173" s="36" t="n">
        <f>19</f>
        <v>19.0</v>
      </c>
    </row>
    <row r="174">
      <c r="A174" s="27" t="s">
        <v>42</v>
      </c>
      <c r="B174" s="27" t="s">
        <v>565</v>
      </c>
      <c r="C174" s="27" t="s">
        <v>566</v>
      </c>
      <c r="D174" s="27" t="s">
        <v>567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1337</f>
        <v>1337.0</v>
      </c>
      <c r="L174" s="34" t="s">
        <v>48</v>
      </c>
      <c r="M174" s="33" t="n">
        <f>1504</f>
        <v>1504.0</v>
      </c>
      <c r="N174" s="34" t="s">
        <v>51</v>
      </c>
      <c r="O174" s="33" t="n">
        <f>1281</f>
        <v>1281.0</v>
      </c>
      <c r="P174" s="34" t="s">
        <v>91</v>
      </c>
      <c r="Q174" s="33" t="n">
        <f>1499</f>
        <v>1499.0</v>
      </c>
      <c r="R174" s="34" t="s">
        <v>51</v>
      </c>
      <c r="S174" s="35" t="n">
        <f>1388.16</f>
        <v>1388.16</v>
      </c>
      <c r="T174" s="32" t="n">
        <f>451830</f>
        <v>451830.0</v>
      </c>
      <c r="U174" s="32" t="str">
        <f>"－"</f>
        <v>－</v>
      </c>
      <c r="V174" s="32" t="n">
        <f>630159390</f>
        <v>6.3015939E8</v>
      </c>
      <c r="W174" s="32" t="str">
        <f>"－"</f>
        <v>－</v>
      </c>
      <c r="X174" s="36" t="n">
        <f>19</f>
        <v>19.0</v>
      </c>
    </row>
    <row r="175">
      <c r="A175" s="27" t="s">
        <v>42</v>
      </c>
      <c r="B175" s="27" t="s">
        <v>568</v>
      </c>
      <c r="C175" s="27" t="s">
        <v>569</v>
      </c>
      <c r="D175" s="27" t="s">
        <v>570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1.0</v>
      </c>
      <c r="K175" s="33" t="n">
        <f>6020</f>
        <v>6020.0</v>
      </c>
      <c r="L175" s="34" t="s">
        <v>48</v>
      </c>
      <c r="M175" s="33" t="n">
        <f>7180</f>
        <v>7180.0</v>
      </c>
      <c r="N175" s="34" t="s">
        <v>51</v>
      </c>
      <c r="O175" s="33" t="n">
        <f>6020</f>
        <v>6020.0</v>
      </c>
      <c r="P175" s="34" t="s">
        <v>48</v>
      </c>
      <c r="Q175" s="33" t="n">
        <f>7040</f>
        <v>7040.0</v>
      </c>
      <c r="R175" s="34" t="s">
        <v>51</v>
      </c>
      <c r="S175" s="35" t="n">
        <f>6638.42</f>
        <v>6638.42</v>
      </c>
      <c r="T175" s="32" t="n">
        <f>11792</f>
        <v>11792.0</v>
      </c>
      <c r="U175" s="32" t="str">
        <f>"－"</f>
        <v>－</v>
      </c>
      <c r="V175" s="32" t="n">
        <f>78516230</f>
        <v>7.851623E7</v>
      </c>
      <c r="W175" s="32" t="str">
        <f>"－"</f>
        <v>－</v>
      </c>
      <c r="X175" s="36" t="n">
        <f>19</f>
        <v>19.0</v>
      </c>
    </row>
    <row r="176">
      <c r="A176" s="27" t="s">
        <v>42</v>
      </c>
      <c r="B176" s="27" t="s">
        <v>571</v>
      </c>
      <c r="C176" s="27" t="s">
        <v>572</v>
      </c>
      <c r="D176" s="27" t="s">
        <v>573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100.0</v>
      </c>
      <c r="K176" s="33" t="n">
        <f>550.2</f>
        <v>550.2</v>
      </c>
      <c r="L176" s="34" t="s">
        <v>48</v>
      </c>
      <c r="M176" s="33" t="n">
        <f>610</f>
        <v>610.0</v>
      </c>
      <c r="N176" s="34" t="s">
        <v>61</v>
      </c>
      <c r="O176" s="33" t="n">
        <f>487.2</f>
        <v>487.2</v>
      </c>
      <c r="P176" s="34" t="s">
        <v>62</v>
      </c>
      <c r="Q176" s="33" t="n">
        <f>513</f>
        <v>513.0</v>
      </c>
      <c r="R176" s="34" t="s">
        <v>51</v>
      </c>
      <c r="S176" s="35" t="n">
        <f>518.64</f>
        <v>518.64</v>
      </c>
      <c r="T176" s="32" t="n">
        <f>790500</f>
        <v>790500.0</v>
      </c>
      <c r="U176" s="32" t="str">
        <f>"－"</f>
        <v>－</v>
      </c>
      <c r="V176" s="32" t="n">
        <f>426013250</f>
        <v>4.2601325E8</v>
      </c>
      <c r="W176" s="32" t="str">
        <f>"－"</f>
        <v>－</v>
      </c>
      <c r="X176" s="36" t="n">
        <f>19</f>
        <v>19.0</v>
      </c>
    </row>
    <row r="177">
      <c r="A177" s="27" t="s">
        <v>42</v>
      </c>
      <c r="B177" s="27" t="s">
        <v>574</v>
      </c>
      <c r="C177" s="27" t="s">
        <v>575</v>
      </c>
      <c r="D177" s="27" t="s">
        <v>576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5037</f>
        <v>5037.0</v>
      </c>
      <c r="L177" s="34" t="s">
        <v>48</v>
      </c>
      <c r="M177" s="33" t="n">
        <f>5040</f>
        <v>5040.0</v>
      </c>
      <c r="N177" s="34" t="s">
        <v>48</v>
      </c>
      <c r="O177" s="33" t="n">
        <f>4631</f>
        <v>4631.0</v>
      </c>
      <c r="P177" s="34" t="s">
        <v>162</v>
      </c>
      <c r="Q177" s="33" t="n">
        <f>4905</f>
        <v>4905.0</v>
      </c>
      <c r="R177" s="34" t="s">
        <v>51</v>
      </c>
      <c r="S177" s="35" t="n">
        <f>4824.11</f>
        <v>4824.11</v>
      </c>
      <c r="T177" s="32" t="n">
        <f>52130</f>
        <v>52130.0</v>
      </c>
      <c r="U177" s="32" t="str">
        <f>"－"</f>
        <v>－</v>
      </c>
      <c r="V177" s="32" t="n">
        <f>251253560</f>
        <v>2.5125356E8</v>
      </c>
      <c r="W177" s="32" t="str">
        <f>"－"</f>
        <v>－</v>
      </c>
      <c r="X177" s="36" t="n">
        <f>19</f>
        <v>19.0</v>
      </c>
    </row>
    <row r="178">
      <c r="A178" s="27" t="s">
        <v>42</v>
      </c>
      <c r="B178" s="27" t="s">
        <v>577</v>
      </c>
      <c r="C178" s="27" t="s">
        <v>578</v>
      </c>
      <c r="D178" s="27" t="s">
        <v>579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3879</f>
        <v>3879.0</v>
      </c>
      <c r="L178" s="34" t="s">
        <v>48</v>
      </c>
      <c r="M178" s="33" t="n">
        <f>3886</f>
        <v>3886.0</v>
      </c>
      <c r="N178" s="34" t="s">
        <v>48</v>
      </c>
      <c r="O178" s="33" t="n">
        <f>3120</f>
        <v>3120.0</v>
      </c>
      <c r="P178" s="34" t="s">
        <v>69</v>
      </c>
      <c r="Q178" s="33" t="n">
        <f>3422</f>
        <v>3422.0</v>
      </c>
      <c r="R178" s="34" t="s">
        <v>51</v>
      </c>
      <c r="S178" s="35" t="n">
        <f>3360.95</f>
        <v>3360.95</v>
      </c>
      <c r="T178" s="32" t="n">
        <f>73890</f>
        <v>73890.0</v>
      </c>
      <c r="U178" s="32" t="str">
        <f>"－"</f>
        <v>－</v>
      </c>
      <c r="V178" s="32" t="n">
        <f>249162490</f>
        <v>2.4916249E8</v>
      </c>
      <c r="W178" s="32" t="str">
        <f>"－"</f>
        <v>－</v>
      </c>
      <c r="X178" s="36" t="n">
        <f>19</f>
        <v>19.0</v>
      </c>
    </row>
    <row r="179">
      <c r="A179" s="27" t="s">
        <v>42</v>
      </c>
      <c r="B179" s="27" t="s">
        <v>580</v>
      </c>
      <c r="C179" s="27" t="s">
        <v>581</v>
      </c>
      <c r="D179" s="27" t="s">
        <v>582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100.0</v>
      </c>
      <c r="K179" s="33" t="n">
        <f>144</f>
        <v>144.0</v>
      </c>
      <c r="L179" s="34" t="s">
        <v>48</v>
      </c>
      <c r="M179" s="33" t="n">
        <f>172</f>
        <v>172.0</v>
      </c>
      <c r="N179" s="34" t="s">
        <v>61</v>
      </c>
      <c r="O179" s="33" t="n">
        <f>140.4</f>
        <v>140.4</v>
      </c>
      <c r="P179" s="34" t="s">
        <v>48</v>
      </c>
      <c r="Q179" s="33" t="n">
        <f>151.2</f>
        <v>151.2</v>
      </c>
      <c r="R179" s="34" t="s">
        <v>51</v>
      </c>
      <c r="S179" s="35" t="n">
        <f>155.27</f>
        <v>155.27</v>
      </c>
      <c r="T179" s="32" t="n">
        <f>33342300</f>
        <v>3.33423E7</v>
      </c>
      <c r="U179" s="32" t="str">
        <f>"－"</f>
        <v>－</v>
      </c>
      <c r="V179" s="32" t="n">
        <f>5233143140</f>
        <v>5.23314314E9</v>
      </c>
      <c r="W179" s="32" t="str">
        <f>"－"</f>
        <v>－</v>
      </c>
      <c r="X179" s="36" t="n">
        <f>19</f>
        <v>19.0</v>
      </c>
    </row>
    <row r="180">
      <c r="A180" s="27" t="s">
        <v>42</v>
      </c>
      <c r="B180" s="27" t="s">
        <v>583</v>
      </c>
      <c r="C180" s="27" t="s">
        <v>584</v>
      </c>
      <c r="D180" s="27" t="s">
        <v>585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100.0</v>
      </c>
      <c r="K180" s="33" t="n">
        <f>199.5</f>
        <v>199.5</v>
      </c>
      <c r="L180" s="34" t="s">
        <v>48</v>
      </c>
      <c r="M180" s="33" t="n">
        <f>199.7</f>
        <v>199.7</v>
      </c>
      <c r="N180" s="34" t="s">
        <v>48</v>
      </c>
      <c r="O180" s="33" t="n">
        <f>181.3</f>
        <v>181.3</v>
      </c>
      <c r="P180" s="34" t="s">
        <v>302</v>
      </c>
      <c r="Q180" s="33" t="n">
        <f>185.2</f>
        <v>185.2</v>
      </c>
      <c r="R180" s="34" t="s">
        <v>51</v>
      </c>
      <c r="S180" s="35" t="n">
        <f>189.68</f>
        <v>189.68</v>
      </c>
      <c r="T180" s="32" t="n">
        <f>4059700</f>
        <v>4059700.0</v>
      </c>
      <c r="U180" s="32" t="str">
        <f>"－"</f>
        <v>－</v>
      </c>
      <c r="V180" s="32" t="n">
        <f>776845920</f>
        <v>7.7684592E8</v>
      </c>
      <c r="W180" s="32" t="str">
        <f>"－"</f>
        <v>－</v>
      </c>
      <c r="X180" s="36" t="n">
        <f>19</f>
        <v>19.0</v>
      </c>
    </row>
    <row r="181">
      <c r="A181" s="27" t="s">
        <v>42</v>
      </c>
      <c r="B181" s="27" t="s">
        <v>586</v>
      </c>
      <c r="C181" s="27" t="s">
        <v>587</v>
      </c>
      <c r="D181" s="27" t="s">
        <v>588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4031</f>
        <v>4031.0</v>
      </c>
      <c r="L181" s="34" t="s">
        <v>48</v>
      </c>
      <c r="M181" s="33" t="n">
        <f>4072</f>
        <v>4072.0</v>
      </c>
      <c r="N181" s="34" t="s">
        <v>51</v>
      </c>
      <c r="O181" s="33" t="n">
        <f>3751</f>
        <v>3751.0</v>
      </c>
      <c r="P181" s="34" t="s">
        <v>62</v>
      </c>
      <c r="Q181" s="33" t="n">
        <f>4066</f>
        <v>4066.0</v>
      </c>
      <c r="R181" s="34" t="s">
        <v>51</v>
      </c>
      <c r="S181" s="35" t="n">
        <f>3922.37</f>
        <v>3922.37</v>
      </c>
      <c r="T181" s="32" t="n">
        <f>48950</f>
        <v>48950.0</v>
      </c>
      <c r="U181" s="32" t="str">
        <f>"－"</f>
        <v>－</v>
      </c>
      <c r="V181" s="32" t="n">
        <f>191839730</f>
        <v>1.9183973E8</v>
      </c>
      <c r="W181" s="32" t="str">
        <f>"－"</f>
        <v>－</v>
      </c>
      <c r="X181" s="36" t="n">
        <f>19</f>
        <v>19.0</v>
      </c>
    </row>
    <row r="182">
      <c r="A182" s="27" t="s">
        <v>42</v>
      </c>
      <c r="B182" s="27" t="s">
        <v>589</v>
      </c>
      <c r="C182" s="27" t="s">
        <v>590</v>
      </c>
      <c r="D182" s="27" t="s">
        <v>591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1945</f>
        <v>1945.0</v>
      </c>
      <c r="L182" s="34" t="s">
        <v>48</v>
      </c>
      <c r="M182" s="33" t="n">
        <f>1996</f>
        <v>1996.0</v>
      </c>
      <c r="N182" s="34" t="s">
        <v>51</v>
      </c>
      <c r="O182" s="33" t="n">
        <f>1909.5</f>
        <v>1909.5</v>
      </c>
      <c r="P182" s="34" t="s">
        <v>162</v>
      </c>
      <c r="Q182" s="33" t="n">
        <f>1986.5</f>
        <v>1986.5</v>
      </c>
      <c r="R182" s="34" t="s">
        <v>51</v>
      </c>
      <c r="S182" s="35" t="n">
        <f>1947.95</f>
        <v>1947.95</v>
      </c>
      <c r="T182" s="32" t="n">
        <f>40580</f>
        <v>40580.0</v>
      </c>
      <c r="U182" s="32" t="n">
        <f>20</f>
        <v>20.0</v>
      </c>
      <c r="V182" s="32" t="n">
        <f>80176255</f>
        <v>8.0176255E7</v>
      </c>
      <c r="W182" s="32" t="n">
        <f>38505</f>
        <v>38505.0</v>
      </c>
      <c r="X182" s="36" t="n">
        <f>19</f>
        <v>19.0</v>
      </c>
    </row>
    <row r="183">
      <c r="A183" s="27" t="s">
        <v>42</v>
      </c>
      <c r="B183" s="27" t="s">
        <v>592</v>
      </c>
      <c r="C183" s="27" t="s">
        <v>593</v>
      </c>
      <c r="D183" s="27" t="s">
        <v>594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359</f>
        <v>359.0</v>
      </c>
      <c r="L183" s="34" t="s">
        <v>48</v>
      </c>
      <c r="M183" s="33" t="n">
        <f>403.9</f>
        <v>403.9</v>
      </c>
      <c r="N183" s="34" t="s">
        <v>51</v>
      </c>
      <c r="O183" s="33" t="n">
        <f>344.5</f>
        <v>344.5</v>
      </c>
      <c r="P183" s="34" t="s">
        <v>91</v>
      </c>
      <c r="Q183" s="33" t="n">
        <f>403</f>
        <v>403.0</v>
      </c>
      <c r="R183" s="34" t="s">
        <v>51</v>
      </c>
      <c r="S183" s="35" t="n">
        <f>373.26</f>
        <v>373.26</v>
      </c>
      <c r="T183" s="32" t="n">
        <f>52469360</f>
        <v>5.246936E7</v>
      </c>
      <c r="U183" s="32" t="n">
        <f>102370</f>
        <v>102370.0</v>
      </c>
      <c r="V183" s="32" t="n">
        <f>19621706733</f>
        <v>1.9621706733E10</v>
      </c>
      <c r="W183" s="32" t="n">
        <f>37140286</f>
        <v>3.7140286E7</v>
      </c>
      <c r="X183" s="36" t="n">
        <f>19</f>
        <v>19.0</v>
      </c>
    </row>
    <row r="184">
      <c r="A184" s="27" t="s">
        <v>42</v>
      </c>
      <c r="B184" s="27" t="s">
        <v>595</v>
      </c>
      <c r="C184" s="27" t="s">
        <v>596</v>
      </c>
      <c r="D184" s="27" t="s">
        <v>597</v>
      </c>
      <c r="E184" s="28" t="s">
        <v>46</v>
      </c>
      <c r="F184" s="29" t="s">
        <v>46</v>
      </c>
      <c r="G184" s="30" t="s">
        <v>46</v>
      </c>
      <c r="H184" s="31"/>
      <c r="I184" s="31" t="s">
        <v>598</v>
      </c>
      <c r="J184" s="32" t="n">
        <v>1.0</v>
      </c>
      <c r="K184" s="33" t="n">
        <f>6472</f>
        <v>6472.0</v>
      </c>
      <c r="L184" s="34" t="s">
        <v>48</v>
      </c>
      <c r="M184" s="33" t="n">
        <f>7011</f>
        <v>7011.0</v>
      </c>
      <c r="N184" s="34" t="s">
        <v>51</v>
      </c>
      <c r="O184" s="33" t="n">
        <f>5844</f>
        <v>5844.0</v>
      </c>
      <c r="P184" s="34" t="s">
        <v>162</v>
      </c>
      <c r="Q184" s="33" t="n">
        <f>7002</f>
        <v>7002.0</v>
      </c>
      <c r="R184" s="34" t="s">
        <v>51</v>
      </c>
      <c r="S184" s="35" t="n">
        <f>6399.95</f>
        <v>6399.95</v>
      </c>
      <c r="T184" s="32" t="n">
        <f>23216</f>
        <v>23216.0</v>
      </c>
      <c r="U184" s="32" t="str">
        <f>"－"</f>
        <v>－</v>
      </c>
      <c r="V184" s="32" t="n">
        <f>148348053</f>
        <v>1.48348053E8</v>
      </c>
      <c r="W184" s="32" t="str">
        <f>"－"</f>
        <v>－</v>
      </c>
      <c r="X184" s="36" t="n">
        <f>19</f>
        <v>19.0</v>
      </c>
    </row>
    <row r="185">
      <c r="A185" s="27" t="s">
        <v>42</v>
      </c>
      <c r="B185" s="27" t="s">
        <v>599</v>
      </c>
      <c r="C185" s="27" t="s">
        <v>600</v>
      </c>
      <c r="D185" s="27" t="s">
        <v>601</v>
      </c>
      <c r="E185" s="28" t="s">
        <v>46</v>
      </c>
      <c r="F185" s="29" t="s">
        <v>46</v>
      </c>
      <c r="G185" s="30" t="s">
        <v>46</v>
      </c>
      <c r="H185" s="31"/>
      <c r="I185" s="31" t="s">
        <v>598</v>
      </c>
      <c r="J185" s="32" t="n">
        <v>1.0</v>
      </c>
      <c r="K185" s="33" t="n">
        <f>7986</f>
        <v>7986.0</v>
      </c>
      <c r="L185" s="34" t="s">
        <v>48</v>
      </c>
      <c r="M185" s="33" t="n">
        <f>8380</f>
        <v>8380.0</v>
      </c>
      <c r="N185" s="34" t="s">
        <v>62</v>
      </c>
      <c r="O185" s="33" t="n">
        <f>7257</f>
        <v>7257.0</v>
      </c>
      <c r="P185" s="34" t="s">
        <v>49</v>
      </c>
      <c r="Q185" s="33" t="n">
        <f>7385</f>
        <v>7385.0</v>
      </c>
      <c r="R185" s="34" t="s">
        <v>51</v>
      </c>
      <c r="S185" s="35" t="n">
        <f>7814.42</f>
        <v>7814.42</v>
      </c>
      <c r="T185" s="32" t="n">
        <f>14907</f>
        <v>14907.0</v>
      </c>
      <c r="U185" s="32" t="str">
        <f>"－"</f>
        <v>－</v>
      </c>
      <c r="V185" s="32" t="n">
        <f>121878385</f>
        <v>1.21878385E8</v>
      </c>
      <c r="W185" s="32" t="str">
        <f>"－"</f>
        <v>－</v>
      </c>
      <c r="X185" s="36" t="n">
        <f>19</f>
        <v>19.0</v>
      </c>
    </row>
    <row r="186">
      <c r="A186" s="27" t="s">
        <v>42</v>
      </c>
      <c r="B186" s="27" t="s">
        <v>602</v>
      </c>
      <c r="C186" s="27" t="s">
        <v>603</v>
      </c>
      <c r="D186" s="27" t="s">
        <v>604</v>
      </c>
      <c r="E186" s="28" t="s">
        <v>46</v>
      </c>
      <c r="F186" s="29" t="s">
        <v>46</v>
      </c>
      <c r="G186" s="30" t="s">
        <v>46</v>
      </c>
      <c r="H186" s="31"/>
      <c r="I186" s="31" t="s">
        <v>598</v>
      </c>
      <c r="J186" s="32" t="n">
        <v>1.0</v>
      </c>
      <c r="K186" s="33" t="n">
        <f>13500</f>
        <v>13500.0</v>
      </c>
      <c r="L186" s="34" t="s">
        <v>48</v>
      </c>
      <c r="M186" s="33" t="n">
        <f>13670</f>
        <v>13670.0</v>
      </c>
      <c r="N186" s="34" t="s">
        <v>48</v>
      </c>
      <c r="O186" s="33" t="n">
        <f>12190</f>
        <v>12190.0</v>
      </c>
      <c r="P186" s="34" t="s">
        <v>50</v>
      </c>
      <c r="Q186" s="33" t="n">
        <f>13465</f>
        <v>13465.0</v>
      </c>
      <c r="R186" s="34" t="s">
        <v>51</v>
      </c>
      <c r="S186" s="35" t="n">
        <f>12962.5</f>
        <v>12962.5</v>
      </c>
      <c r="T186" s="32" t="n">
        <f>272</f>
        <v>272.0</v>
      </c>
      <c r="U186" s="32" t="str">
        <f>"－"</f>
        <v>－</v>
      </c>
      <c r="V186" s="32" t="n">
        <f>3509290</f>
        <v>3509290.0</v>
      </c>
      <c r="W186" s="32" t="str">
        <f>"－"</f>
        <v>－</v>
      </c>
      <c r="X186" s="36" t="n">
        <f>16</f>
        <v>16.0</v>
      </c>
    </row>
    <row r="187">
      <c r="A187" s="27" t="s">
        <v>42</v>
      </c>
      <c r="B187" s="27" t="s">
        <v>605</v>
      </c>
      <c r="C187" s="27" t="s">
        <v>606</v>
      </c>
      <c r="D187" s="27" t="s">
        <v>607</v>
      </c>
      <c r="E187" s="28" t="s">
        <v>46</v>
      </c>
      <c r="F187" s="29" t="s">
        <v>46</v>
      </c>
      <c r="G187" s="30" t="s">
        <v>46</v>
      </c>
      <c r="H187" s="31"/>
      <c r="I187" s="31" t="s">
        <v>598</v>
      </c>
      <c r="J187" s="32" t="n">
        <v>1.0</v>
      </c>
      <c r="K187" s="33" t="n">
        <f>7409</f>
        <v>7409.0</v>
      </c>
      <c r="L187" s="34" t="s">
        <v>48</v>
      </c>
      <c r="M187" s="33" t="n">
        <f>7500</f>
        <v>7500.0</v>
      </c>
      <c r="N187" s="34" t="s">
        <v>91</v>
      </c>
      <c r="O187" s="33" t="n">
        <f>7075</f>
        <v>7075.0</v>
      </c>
      <c r="P187" s="34" t="s">
        <v>125</v>
      </c>
      <c r="Q187" s="33" t="n">
        <f>7175</f>
        <v>7175.0</v>
      </c>
      <c r="R187" s="34" t="s">
        <v>51</v>
      </c>
      <c r="S187" s="35" t="n">
        <f>7290.32</f>
        <v>7290.32</v>
      </c>
      <c r="T187" s="32" t="n">
        <f>20697</f>
        <v>20697.0</v>
      </c>
      <c r="U187" s="32" t="str">
        <f>"－"</f>
        <v>－</v>
      </c>
      <c r="V187" s="32" t="n">
        <f>150265422</f>
        <v>1.50265422E8</v>
      </c>
      <c r="W187" s="32" t="str">
        <f>"－"</f>
        <v>－</v>
      </c>
      <c r="X187" s="36" t="n">
        <f>19</f>
        <v>19.0</v>
      </c>
    </row>
    <row r="188">
      <c r="A188" s="27" t="s">
        <v>42</v>
      </c>
      <c r="B188" s="27" t="s">
        <v>608</v>
      </c>
      <c r="C188" s="27" t="s">
        <v>609</v>
      </c>
      <c r="D188" s="27" t="s">
        <v>610</v>
      </c>
      <c r="E188" s="28" t="s">
        <v>46</v>
      </c>
      <c r="F188" s="29" t="s">
        <v>46</v>
      </c>
      <c r="G188" s="30" t="s">
        <v>46</v>
      </c>
      <c r="H188" s="31"/>
      <c r="I188" s="31" t="s">
        <v>598</v>
      </c>
      <c r="J188" s="32" t="n">
        <v>1.0</v>
      </c>
      <c r="K188" s="33" t="n">
        <f>26630</f>
        <v>26630.0</v>
      </c>
      <c r="L188" s="34" t="s">
        <v>48</v>
      </c>
      <c r="M188" s="33" t="n">
        <f>26800</f>
        <v>26800.0</v>
      </c>
      <c r="N188" s="34" t="s">
        <v>225</v>
      </c>
      <c r="O188" s="33" t="n">
        <f>23860</f>
        <v>23860.0</v>
      </c>
      <c r="P188" s="34" t="s">
        <v>175</v>
      </c>
      <c r="Q188" s="33" t="n">
        <f>24770</f>
        <v>24770.0</v>
      </c>
      <c r="R188" s="34" t="s">
        <v>51</v>
      </c>
      <c r="S188" s="35" t="n">
        <f>24986.32</f>
        <v>24986.32</v>
      </c>
      <c r="T188" s="32" t="n">
        <f>38737</f>
        <v>38737.0</v>
      </c>
      <c r="U188" s="32" t="str">
        <f>"－"</f>
        <v>－</v>
      </c>
      <c r="V188" s="32" t="n">
        <f>967059160</f>
        <v>9.6705916E8</v>
      </c>
      <c r="W188" s="32" t="str">
        <f>"－"</f>
        <v>－</v>
      </c>
      <c r="X188" s="36" t="n">
        <f>19</f>
        <v>19.0</v>
      </c>
    </row>
    <row r="189">
      <c r="A189" s="27" t="s">
        <v>42</v>
      </c>
      <c r="B189" s="27" t="s">
        <v>611</v>
      </c>
      <c r="C189" s="27" t="s">
        <v>612</v>
      </c>
      <c r="D189" s="27" t="s">
        <v>613</v>
      </c>
      <c r="E189" s="28" t="s">
        <v>46</v>
      </c>
      <c r="F189" s="29" t="s">
        <v>46</v>
      </c>
      <c r="G189" s="30" t="s">
        <v>46</v>
      </c>
      <c r="H189" s="31"/>
      <c r="I189" s="31" t="s">
        <v>598</v>
      </c>
      <c r="J189" s="32" t="n">
        <v>1.0</v>
      </c>
      <c r="K189" s="33" t="n">
        <f>4405</f>
        <v>4405.0</v>
      </c>
      <c r="L189" s="34" t="s">
        <v>48</v>
      </c>
      <c r="M189" s="33" t="n">
        <f>4655</f>
        <v>4655.0</v>
      </c>
      <c r="N189" s="34" t="s">
        <v>61</v>
      </c>
      <c r="O189" s="33" t="n">
        <f>4360</f>
        <v>4360.0</v>
      </c>
      <c r="P189" s="34" t="s">
        <v>48</v>
      </c>
      <c r="Q189" s="33" t="n">
        <f>4590</f>
        <v>4590.0</v>
      </c>
      <c r="R189" s="34" t="s">
        <v>51</v>
      </c>
      <c r="S189" s="35" t="n">
        <f>4538.95</f>
        <v>4538.95</v>
      </c>
      <c r="T189" s="32" t="n">
        <f>13612</f>
        <v>13612.0</v>
      </c>
      <c r="U189" s="32" t="str">
        <f>"－"</f>
        <v>－</v>
      </c>
      <c r="V189" s="32" t="n">
        <f>62029890</f>
        <v>6.202989E7</v>
      </c>
      <c r="W189" s="32" t="str">
        <f>"－"</f>
        <v>－</v>
      </c>
      <c r="X189" s="36" t="n">
        <f>19</f>
        <v>19.0</v>
      </c>
    </row>
    <row r="190">
      <c r="A190" s="27" t="s">
        <v>42</v>
      </c>
      <c r="B190" s="27" t="s">
        <v>614</v>
      </c>
      <c r="C190" s="27" t="s">
        <v>615</v>
      </c>
      <c r="D190" s="27" t="s">
        <v>616</v>
      </c>
      <c r="E190" s="28" t="s">
        <v>46</v>
      </c>
      <c r="F190" s="29" t="s">
        <v>46</v>
      </c>
      <c r="G190" s="30" t="s">
        <v>46</v>
      </c>
      <c r="H190" s="31"/>
      <c r="I190" s="31" t="s">
        <v>598</v>
      </c>
      <c r="J190" s="32" t="n">
        <v>1.0</v>
      </c>
      <c r="K190" s="33" t="n">
        <f>1603</f>
        <v>1603.0</v>
      </c>
      <c r="L190" s="34" t="s">
        <v>48</v>
      </c>
      <c r="M190" s="33" t="n">
        <f>1863</f>
        <v>1863.0</v>
      </c>
      <c r="N190" s="34" t="s">
        <v>51</v>
      </c>
      <c r="O190" s="33" t="n">
        <f>1477</f>
        <v>1477.0</v>
      </c>
      <c r="P190" s="34" t="s">
        <v>91</v>
      </c>
      <c r="Q190" s="33" t="n">
        <f>1863</f>
        <v>1863.0</v>
      </c>
      <c r="R190" s="34" t="s">
        <v>51</v>
      </c>
      <c r="S190" s="35" t="n">
        <f>1664.53</f>
        <v>1664.53</v>
      </c>
      <c r="T190" s="32" t="n">
        <f>82346381</f>
        <v>8.2346381E7</v>
      </c>
      <c r="U190" s="32" t="n">
        <f>302874</f>
        <v>302874.0</v>
      </c>
      <c r="V190" s="32" t="n">
        <f>138082856091</f>
        <v>1.38082856091E11</v>
      </c>
      <c r="W190" s="32" t="n">
        <f>558971829</f>
        <v>5.58971829E8</v>
      </c>
      <c r="X190" s="36" t="n">
        <f>19</f>
        <v>19.0</v>
      </c>
    </row>
    <row r="191">
      <c r="A191" s="27" t="s">
        <v>42</v>
      </c>
      <c r="B191" s="27" t="s">
        <v>617</v>
      </c>
      <c r="C191" s="27" t="s">
        <v>618</v>
      </c>
      <c r="D191" s="27" t="s">
        <v>619</v>
      </c>
      <c r="E191" s="28" t="s">
        <v>46</v>
      </c>
      <c r="F191" s="29" t="s">
        <v>46</v>
      </c>
      <c r="G191" s="30" t="s">
        <v>46</v>
      </c>
      <c r="H191" s="31"/>
      <c r="I191" s="31" t="s">
        <v>598</v>
      </c>
      <c r="J191" s="32" t="n">
        <v>1.0</v>
      </c>
      <c r="K191" s="33" t="n">
        <f>1558</f>
        <v>1558.0</v>
      </c>
      <c r="L191" s="34" t="s">
        <v>48</v>
      </c>
      <c r="M191" s="33" t="n">
        <f>1614</f>
        <v>1614.0</v>
      </c>
      <c r="N191" s="34" t="s">
        <v>91</v>
      </c>
      <c r="O191" s="33" t="n">
        <f>1445</f>
        <v>1445.0</v>
      </c>
      <c r="P191" s="34" t="s">
        <v>51</v>
      </c>
      <c r="Q191" s="33" t="n">
        <f>1450</f>
        <v>1450.0</v>
      </c>
      <c r="R191" s="34" t="s">
        <v>51</v>
      </c>
      <c r="S191" s="35" t="n">
        <f>1530.84</f>
        <v>1530.84</v>
      </c>
      <c r="T191" s="32" t="n">
        <f>4035950</f>
        <v>4035950.0</v>
      </c>
      <c r="U191" s="32" t="str">
        <f>"－"</f>
        <v>－</v>
      </c>
      <c r="V191" s="32" t="n">
        <f>6126306752</f>
        <v>6.126306752E9</v>
      </c>
      <c r="W191" s="32" t="str">
        <f>"－"</f>
        <v>－</v>
      </c>
      <c r="X191" s="36" t="n">
        <f>19</f>
        <v>19.0</v>
      </c>
    </row>
    <row r="192">
      <c r="A192" s="27" t="s">
        <v>42</v>
      </c>
      <c r="B192" s="27" t="s">
        <v>620</v>
      </c>
      <c r="C192" s="27" t="s">
        <v>621</v>
      </c>
      <c r="D192" s="27" t="s">
        <v>622</v>
      </c>
      <c r="E192" s="28" t="s">
        <v>46</v>
      </c>
      <c r="F192" s="29" t="s">
        <v>46</v>
      </c>
      <c r="G192" s="30" t="s">
        <v>46</v>
      </c>
      <c r="H192" s="31"/>
      <c r="I192" s="31" t="s">
        <v>598</v>
      </c>
      <c r="J192" s="32" t="n">
        <v>1.0</v>
      </c>
      <c r="K192" s="33" t="n">
        <f>27515</f>
        <v>27515.0</v>
      </c>
      <c r="L192" s="34" t="s">
        <v>48</v>
      </c>
      <c r="M192" s="33" t="n">
        <f>27740</f>
        <v>27740.0</v>
      </c>
      <c r="N192" s="34" t="s">
        <v>48</v>
      </c>
      <c r="O192" s="33" t="n">
        <f>24640</f>
        <v>24640.0</v>
      </c>
      <c r="P192" s="34" t="s">
        <v>69</v>
      </c>
      <c r="Q192" s="33" t="n">
        <f>27180</f>
        <v>27180.0</v>
      </c>
      <c r="R192" s="34" t="s">
        <v>51</v>
      </c>
      <c r="S192" s="35" t="n">
        <f>26087.37</f>
        <v>26087.37</v>
      </c>
      <c r="T192" s="32" t="n">
        <f>243967</f>
        <v>243967.0</v>
      </c>
      <c r="U192" s="32" t="n">
        <f>4</f>
        <v>4.0</v>
      </c>
      <c r="V192" s="32" t="n">
        <f>6362871445</f>
        <v>6.362871445E9</v>
      </c>
      <c r="W192" s="32" t="n">
        <f>112765</f>
        <v>112765.0</v>
      </c>
      <c r="X192" s="36" t="n">
        <f>19</f>
        <v>19.0</v>
      </c>
    </row>
    <row r="193">
      <c r="A193" s="27" t="s">
        <v>42</v>
      </c>
      <c r="B193" s="27" t="s">
        <v>623</v>
      </c>
      <c r="C193" s="27" t="s">
        <v>624</v>
      </c>
      <c r="D193" s="27" t="s">
        <v>625</v>
      </c>
      <c r="E193" s="28" t="s">
        <v>46</v>
      </c>
      <c r="F193" s="29" t="s">
        <v>46</v>
      </c>
      <c r="G193" s="30" t="s">
        <v>46</v>
      </c>
      <c r="H193" s="31"/>
      <c r="I193" s="31" t="s">
        <v>598</v>
      </c>
      <c r="J193" s="32" t="n">
        <v>1.0</v>
      </c>
      <c r="K193" s="33" t="n">
        <f>2999</f>
        <v>2999.0</v>
      </c>
      <c r="L193" s="34" t="s">
        <v>48</v>
      </c>
      <c r="M193" s="33" t="n">
        <f>3135</f>
        <v>3135.0</v>
      </c>
      <c r="N193" s="34" t="s">
        <v>69</v>
      </c>
      <c r="O193" s="33" t="n">
        <f>2954</f>
        <v>2954.0</v>
      </c>
      <c r="P193" s="34" t="s">
        <v>49</v>
      </c>
      <c r="Q193" s="33" t="n">
        <f>2967</f>
        <v>2967.0</v>
      </c>
      <c r="R193" s="34" t="s">
        <v>51</v>
      </c>
      <c r="S193" s="35" t="n">
        <f>3051.95</f>
        <v>3051.95</v>
      </c>
      <c r="T193" s="32" t="n">
        <f>517694</f>
        <v>517694.0</v>
      </c>
      <c r="U193" s="32" t="n">
        <f>9996</f>
        <v>9996.0</v>
      </c>
      <c r="V193" s="32" t="n">
        <f>1578373935</f>
        <v>1.578373935E9</v>
      </c>
      <c r="W193" s="32" t="n">
        <f>29828323</f>
        <v>2.9828323E7</v>
      </c>
      <c r="X193" s="36" t="n">
        <f>19</f>
        <v>19.0</v>
      </c>
    </row>
    <row r="194">
      <c r="A194" s="27" t="s">
        <v>42</v>
      </c>
      <c r="B194" s="27" t="s">
        <v>626</v>
      </c>
      <c r="C194" s="27" t="s">
        <v>627</v>
      </c>
      <c r="D194" s="27" t="s">
        <v>628</v>
      </c>
      <c r="E194" s="28" t="s">
        <v>46</v>
      </c>
      <c r="F194" s="29" t="s">
        <v>46</v>
      </c>
      <c r="G194" s="30" t="s">
        <v>46</v>
      </c>
      <c r="H194" s="31"/>
      <c r="I194" s="31" t="s">
        <v>598</v>
      </c>
      <c r="J194" s="32" t="n">
        <v>1.0</v>
      </c>
      <c r="K194" s="33" t="n">
        <f>7406</f>
        <v>7406.0</v>
      </c>
      <c r="L194" s="34" t="s">
        <v>48</v>
      </c>
      <c r="M194" s="33" t="n">
        <f>7506</f>
        <v>7506.0</v>
      </c>
      <c r="N194" s="34" t="s">
        <v>48</v>
      </c>
      <c r="O194" s="33" t="n">
        <f>6610</f>
        <v>6610.0</v>
      </c>
      <c r="P194" s="34" t="s">
        <v>50</v>
      </c>
      <c r="Q194" s="33" t="n">
        <f>7180</f>
        <v>7180.0</v>
      </c>
      <c r="R194" s="34" t="s">
        <v>51</v>
      </c>
      <c r="S194" s="35" t="n">
        <f>7044.21</f>
        <v>7044.21</v>
      </c>
      <c r="T194" s="32" t="n">
        <f>70323</f>
        <v>70323.0</v>
      </c>
      <c r="U194" s="32" t="str">
        <f>"－"</f>
        <v>－</v>
      </c>
      <c r="V194" s="32" t="n">
        <f>497870352</f>
        <v>4.97870352E8</v>
      </c>
      <c r="W194" s="32" t="str">
        <f>"－"</f>
        <v>－</v>
      </c>
      <c r="X194" s="36" t="n">
        <f>19</f>
        <v>19.0</v>
      </c>
    </row>
    <row r="195">
      <c r="A195" s="27" t="s">
        <v>42</v>
      </c>
      <c r="B195" s="27" t="s">
        <v>629</v>
      </c>
      <c r="C195" s="27" t="s">
        <v>630</v>
      </c>
      <c r="D195" s="27" t="s">
        <v>631</v>
      </c>
      <c r="E195" s="28" t="s">
        <v>46</v>
      </c>
      <c r="F195" s="29" t="s">
        <v>46</v>
      </c>
      <c r="G195" s="30" t="s">
        <v>46</v>
      </c>
      <c r="H195" s="31"/>
      <c r="I195" s="31" t="s">
        <v>598</v>
      </c>
      <c r="J195" s="32" t="n">
        <v>1.0</v>
      </c>
      <c r="K195" s="33" t="n">
        <f>15905</f>
        <v>15905.0</v>
      </c>
      <c r="L195" s="34" t="s">
        <v>48</v>
      </c>
      <c r="M195" s="33" t="n">
        <f>16165</f>
        <v>16165.0</v>
      </c>
      <c r="N195" s="34" t="s">
        <v>73</v>
      </c>
      <c r="O195" s="33" t="n">
        <f>15070</f>
        <v>15070.0</v>
      </c>
      <c r="P195" s="34" t="s">
        <v>175</v>
      </c>
      <c r="Q195" s="33" t="n">
        <f>15435</f>
        <v>15435.0</v>
      </c>
      <c r="R195" s="34" t="s">
        <v>51</v>
      </c>
      <c r="S195" s="35" t="n">
        <f>15618.21</f>
        <v>15618.21</v>
      </c>
      <c r="T195" s="32" t="n">
        <f>199</f>
        <v>199.0</v>
      </c>
      <c r="U195" s="32" t="str">
        <f>"－"</f>
        <v>－</v>
      </c>
      <c r="V195" s="32" t="n">
        <f>3138790</f>
        <v>3138790.0</v>
      </c>
      <c r="W195" s="32" t="str">
        <f>"－"</f>
        <v>－</v>
      </c>
      <c r="X195" s="36" t="n">
        <f>14</f>
        <v>14.0</v>
      </c>
    </row>
    <row r="196">
      <c r="A196" s="27" t="s">
        <v>42</v>
      </c>
      <c r="B196" s="27" t="s">
        <v>632</v>
      </c>
      <c r="C196" s="27" t="s">
        <v>633</v>
      </c>
      <c r="D196" s="27" t="s">
        <v>634</v>
      </c>
      <c r="E196" s="28" t="s">
        <v>46</v>
      </c>
      <c r="F196" s="29" t="s">
        <v>46</v>
      </c>
      <c r="G196" s="30" t="s">
        <v>46</v>
      </c>
      <c r="H196" s="31"/>
      <c r="I196" s="31" t="s">
        <v>598</v>
      </c>
      <c r="J196" s="32" t="n">
        <v>1.0</v>
      </c>
      <c r="K196" s="33" t="n">
        <f>22460</f>
        <v>22460.0</v>
      </c>
      <c r="L196" s="34" t="s">
        <v>48</v>
      </c>
      <c r="M196" s="33" t="n">
        <f>22675</f>
        <v>22675.0</v>
      </c>
      <c r="N196" s="34" t="s">
        <v>73</v>
      </c>
      <c r="O196" s="33" t="n">
        <f>20980</f>
        <v>20980.0</v>
      </c>
      <c r="P196" s="34" t="s">
        <v>188</v>
      </c>
      <c r="Q196" s="33" t="n">
        <f>22320</f>
        <v>22320.0</v>
      </c>
      <c r="R196" s="34" t="s">
        <v>51</v>
      </c>
      <c r="S196" s="35" t="n">
        <f>21889.47</f>
        <v>21889.47</v>
      </c>
      <c r="T196" s="32" t="n">
        <f>21429</f>
        <v>21429.0</v>
      </c>
      <c r="U196" s="32" t="n">
        <f>502</f>
        <v>502.0</v>
      </c>
      <c r="V196" s="32" t="n">
        <f>468045525</f>
        <v>4.68045525E8</v>
      </c>
      <c r="W196" s="32" t="n">
        <f>11302480</f>
        <v>1.130248E7</v>
      </c>
      <c r="X196" s="36" t="n">
        <f>19</f>
        <v>19.0</v>
      </c>
    </row>
    <row r="197">
      <c r="A197" s="27" t="s">
        <v>42</v>
      </c>
      <c r="B197" s="27" t="s">
        <v>635</v>
      </c>
      <c r="C197" s="27" t="s">
        <v>636</v>
      </c>
      <c r="D197" s="27" t="s">
        <v>637</v>
      </c>
      <c r="E197" s="28" t="s">
        <v>46</v>
      </c>
      <c r="F197" s="29" t="s">
        <v>46</v>
      </c>
      <c r="G197" s="30" t="s">
        <v>46</v>
      </c>
      <c r="H197" s="31"/>
      <c r="I197" s="31" t="s">
        <v>598</v>
      </c>
      <c r="J197" s="32" t="n">
        <v>1.0</v>
      </c>
      <c r="K197" s="33" t="n">
        <f>16025</f>
        <v>16025.0</v>
      </c>
      <c r="L197" s="34" t="s">
        <v>48</v>
      </c>
      <c r="M197" s="33" t="n">
        <f>16115</f>
        <v>16115.0</v>
      </c>
      <c r="N197" s="34" t="s">
        <v>48</v>
      </c>
      <c r="O197" s="33" t="n">
        <f>14625</f>
        <v>14625.0</v>
      </c>
      <c r="P197" s="34" t="s">
        <v>162</v>
      </c>
      <c r="Q197" s="33" t="n">
        <f>15510</f>
        <v>15510.0</v>
      </c>
      <c r="R197" s="34" t="s">
        <v>49</v>
      </c>
      <c r="S197" s="35" t="n">
        <f>15362.5</f>
        <v>15362.5</v>
      </c>
      <c r="T197" s="32" t="n">
        <f>723</f>
        <v>723.0</v>
      </c>
      <c r="U197" s="32" t="str">
        <f>"－"</f>
        <v>－</v>
      </c>
      <c r="V197" s="32" t="n">
        <f>10984265</f>
        <v>1.0984265E7</v>
      </c>
      <c r="W197" s="32" t="str">
        <f>"－"</f>
        <v>－</v>
      </c>
      <c r="X197" s="36" t="n">
        <f>16</f>
        <v>16.0</v>
      </c>
    </row>
    <row r="198">
      <c r="A198" s="27" t="s">
        <v>42</v>
      </c>
      <c r="B198" s="27" t="s">
        <v>638</v>
      </c>
      <c r="C198" s="27" t="s">
        <v>639</v>
      </c>
      <c r="D198" s="27" t="s">
        <v>640</v>
      </c>
      <c r="E198" s="28" t="s">
        <v>46</v>
      </c>
      <c r="F198" s="29" t="s">
        <v>46</v>
      </c>
      <c r="G198" s="30" t="s">
        <v>46</v>
      </c>
      <c r="H198" s="31"/>
      <c r="I198" s="31" t="s">
        <v>598</v>
      </c>
      <c r="J198" s="32" t="n">
        <v>1.0</v>
      </c>
      <c r="K198" s="33" t="n">
        <f>18295</f>
        <v>18295.0</v>
      </c>
      <c r="L198" s="34" t="s">
        <v>48</v>
      </c>
      <c r="M198" s="33" t="n">
        <f>18330</f>
        <v>18330.0</v>
      </c>
      <c r="N198" s="34" t="s">
        <v>48</v>
      </c>
      <c r="O198" s="33" t="n">
        <f>15480</f>
        <v>15480.0</v>
      </c>
      <c r="P198" s="34" t="s">
        <v>641</v>
      </c>
      <c r="Q198" s="33" t="n">
        <f>16850</f>
        <v>16850.0</v>
      </c>
      <c r="R198" s="34" t="s">
        <v>51</v>
      </c>
      <c r="S198" s="35" t="n">
        <f>16301.84</f>
        <v>16301.84</v>
      </c>
      <c r="T198" s="32" t="n">
        <f>39484</f>
        <v>39484.0</v>
      </c>
      <c r="U198" s="32" t="str">
        <f>"－"</f>
        <v>－</v>
      </c>
      <c r="V198" s="32" t="n">
        <f>646910940</f>
        <v>6.4691094E8</v>
      </c>
      <c r="W198" s="32" t="str">
        <f>"－"</f>
        <v>－</v>
      </c>
      <c r="X198" s="36" t="n">
        <f>19</f>
        <v>19.0</v>
      </c>
    </row>
    <row r="199">
      <c r="A199" s="27" t="s">
        <v>42</v>
      </c>
      <c r="B199" s="27" t="s">
        <v>642</v>
      </c>
      <c r="C199" s="27" t="s">
        <v>643</v>
      </c>
      <c r="D199" s="27" t="s">
        <v>644</v>
      </c>
      <c r="E199" s="28" t="s">
        <v>46</v>
      </c>
      <c r="F199" s="29" t="s">
        <v>46</v>
      </c>
      <c r="G199" s="30" t="s">
        <v>46</v>
      </c>
      <c r="H199" s="31"/>
      <c r="I199" s="31" t="s">
        <v>598</v>
      </c>
      <c r="J199" s="32" t="n">
        <v>1.0</v>
      </c>
      <c r="K199" s="33" t="n">
        <f>4620</f>
        <v>4620.0</v>
      </c>
      <c r="L199" s="34" t="s">
        <v>48</v>
      </c>
      <c r="M199" s="33" t="n">
        <f>4905</f>
        <v>4905.0</v>
      </c>
      <c r="N199" s="34" t="s">
        <v>50</v>
      </c>
      <c r="O199" s="33" t="n">
        <f>4470</f>
        <v>4470.0</v>
      </c>
      <c r="P199" s="34" t="s">
        <v>51</v>
      </c>
      <c r="Q199" s="33" t="n">
        <f>4485</f>
        <v>4485.0</v>
      </c>
      <c r="R199" s="34" t="s">
        <v>51</v>
      </c>
      <c r="S199" s="35" t="n">
        <f>4673.16</f>
        <v>4673.16</v>
      </c>
      <c r="T199" s="32" t="n">
        <f>11053</f>
        <v>11053.0</v>
      </c>
      <c r="U199" s="32" t="str">
        <f>"－"</f>
        <v>－</v>
      </c>
      <c r="V199" s="32" t="n">
        <f>52072465</f>
        <v>5.2072465E7</v>
      </c>
      <c r="W199" s="32" t="str">
        <f>"－"</f>
        <v>－</v>
      </c>
      <c r="X199" s="36" t="n">
        <f>19</f>
        <v>19.0</v>
      </c>
    </row>
    <row r="200">
      <c r="A200" s="27" t="s">
        <v>42</v>
      </c>
      <c r="B200" s="27" t="s">
        <v>645</v>
      </c>
      <c r="C200" s="27" t="s">
        <v>646</v>
      </c>
      <c r="D200" s="27" t="s">
        <v>647</v>
      </c>
      <c r="E200" s="28" t="s">
        <v>46</v>
      </c>
      <c r="F200" s="29" t="s">
        <v>46</v>
      </c>
      <c r="G200" s="30" t="s">
        <v>46</v>
      </c>
      <c r="H200" s="31"/>
      <c r="I200" s="31" t="s">
        <v>598</v>
      </c>
      <c r="J200" s="32" t="n">
        <v>1.0</v>
      </c>
      <c r="K200" s="33" t="n">
        <f>13865</f>
        <v>13865.0</v>
      </c>
      <c r="L200" s="34" t="s">
        <v>48</v>
      </c>
      <c r="M200" s="33" t="n">
        <f>14390</f>
        <v>14390.0</v>
      </c>
      <c r="N200" s="34" t="s">
        <v>225</v>
      </c>
      <c r="O200" s="33" t="n">
        <f>13400</f>
        <v>13400.0</v>
      </c>
      <c r="P200" s="34" t="s">
        <v>69</v>
      </c>
      <c r="Q200" s="33" t="n">
        <f>13670</f>
        <v>13670.0</v>
      </c>
      <c r="R200" s="34" t="s">
        <v>277</v>
      </c>
      <c r="S200" s="35" t="n">
        <f>13818.5</f>
        <v>13818.5</v>
      </c>
      <c r="T200" s="32" t="n">
        <f>1811</f>
        <v>1811.0</v>
      </c>
      <c r="U200" s="32" t="n">
        <f>1</f>
        <v>1.0</v>
      </c>
      <c r="V200" s="32" t="n">
        <f>25282795</f>
        <v>2.5282795E7</v>
      </c>
      <c r="W200" s="32" t="n">
        <f>14155</f>
        <v>14155.0</v>
      </c>
      <c r="X200" s="36" t="n">
        <f>10</f>
        <v>10.0</v>
      </c>
    </row>
    <row r="201">
      <c r="A201" s="27" t="s">
        <v>42</v>
      </c>
      <c r="B201" s="27" t="s">
        <v>648</v>
      </c>
      <c r="C201" s="27" t="s">
        <v>649</v>
      </c>
      <c r="D201" s="27" t="s">
        <v>650</v>
      </c>
      <c r="E201" s="28" t="s">
        <v>46</v>
      </c>
      <c r="F201" s="29" t="s">
        <v>46</v>
      </c>
      <c r="G201" s="30" t="s">
        <v>46</v>
      </c>
      <c r="H201" s="31"/>
      <c r="I201" s="31" t="s">
        <v>598</v>
      </c>
      <c r="J201" s="32" t="n">
        <v>1.0</v>
      </c>
      <c r="K201" s="33" t="n">
        <f>11900</f>
        <v>11900.0</v>
      </c>
      <c r="L201" s="34" t="s">
        <v>50</v>
      </c>
      <c r="M201" s="33" t="n">
        <f>12445</f>
        <v>12445.0</v>
      </c>
      <c r="N201" s="34" t="s">
        <v>51</v>
      </c>
      <c r="O201" s="33" t="n">
        <f>11900</f>
        <v>11900.0</v>
      </c>
      <c r="P201" s="34" t="s">
        <v>50</v>
      </c>
      <c r="Q201" s="33" t="n">
        <f>12445</f>
        <v>12445.0</v>
      </c>
      <c r="R201" s="34" t="s">
        <v>51</v>
      </c>
      <c r="S201" s="35" t="n">
        <f>12172.5</f>
        <v>12172.5</v>
      </c>
      <c r="T201" s="32" t="n">
        <f>11</f>
        <v>11.0</v>
      </c>
      <c r="U201" s="32" t="str">
        <f>"－"</f>
        <v>－</v>
      </c>
      <c r="V201" s="32" t="n">
        <f>135805</f>
        <v>135805.0</v>
      </c>
      <c r="W201" s="32" t="str">
        <f>"－"</f>
        <v>－</v>
      </c>
      <c r="X201" s="36" t="n">
        <f>2</f>
        <v>2.0</v>
      </c>
    </row>
    <row r="202">
      <c r="A202" s="27" t="s">
        <v>42</v>
      </c>
      <c r="B202" s="27" t="s">
        <v>651</v>
      </c>
      <c r="C202" s="27" t="s">
        <v>652</v>
      </c>
      <c r="D202" s="27" t="s">
        <v>653</v>
      </c>
      <c r="E202" s="28" t="s">
        <v>46</v>
      </c>
      <c r="F202" s="29" t="s">
        <v>46</v>
      </c>
      <c r="G202" s="30" t="s">
        <v>46</v>
      </c>
      <c r="H202" s="31"/>
      <c r="I202" s="31" t="s">
        <v>598</v>
      </c>
      <c r="J202" s="32" t="n">
        <v>1.0</v>
      </c>
      <c r="K202" s="33" t="n">
        <f>16025</f>
        <v>16025.0</v>
      </c>
      <c r="L202" s="34" t="s">
        <v>62</v>
      </c>
      <c r="M202" s="33" t="n">
        <f>16030</f>
        <v>16030.0</v>
      </c>
      <c r="N202" s="34" t="s">
        <v>62</v>
      </c>
      <c r="O202" s="33" t="n">
        <f>15575</f>
        <v>15575.0</v>
      </c>
      <c r="P202" s="34" t="s">
        <v>50</v>
      </c>
      <c r="Q202" s="33" t="n">
        <f>16015</f>
        <v>16015.0</v>
      </c>
      <c r="R202" s="34" t="s">
        <v>51</v>
      </c>
      <c r="S202" s="35" t="n">
        <f>15811.43</f>
        <v>15811.43</v>
      </c>
      <c r="T202" s="32" t="n">
        <f>189</f>
        <v>189.0</v>
      </c>
      <c r="U202" s="32" t="str">
        <f>"－"</f>
        <v>－</v>
      </c>
      <c r="V202" s="32" t="n">
        <f>3014290</f>
        <v>3014290.0</v>
      </c>
      <c r="W202" s="32" t="str">
        <f>"－"</f>
        <v>－</v>
      </c>
      <c r="X202" s="36" t="n">
        <f>7</f>
        <v>7.0</v>
      </c>
    </row>
    <row r="203">
      <c r="A203" s="27" t="s">
        <v>42</v>
      </c>
      <c r="B203" s="27" t="s">
        <v>654</v>
      </c>
      <c r="C203" s="27" t="s">
        <v>655</v>
      </c>
      <c r="D203" s="27" t="s">
        <v>656</v>
      </c>
      <c r="E203" s="28" t="s">
        <v>46</v>
      </c>
      <c r="F203" s="29" t="s">
        <v>46</v>
      </c>
      <c r="G203" s="30" t="s">
        <v>46</v>
      </c>
      <c r="H203" s="31"/>
      <c r="I203" s="31" t="s">
        <v>598</v>
      </c>
      <c r="J203" s="32" t="n">
        <v>1.0</v>
      </c>
      <c r="K203" s="33" t="n">
        <f>15800</f>
        <v>15800.0</v>
      </c>
      <c r="L203" s="34" t="s">
        <v>48</v>
      </c>
      <c r="M203" s="33" t="n">
        <f>15815</f>
        <v>15815.0</v>
      </c>
      <c r="N203" s="34" t="s">
        <v>49</v>
      </c>
      <c r="O203" s="33" t="n">
        <f>15540</f>
        <v>15540.0</v>
      </c>
      <c r="P203" s="34" t="s">
        <v>50</v>
      </c>
      <c r="Q203" s="33" t="n">
        <f>15610</f>
        <v>15610.0</v>
      </c>
      <c r="R203" s="34" t="s">
        <v>49</v>
      </c>
      <c r="S203" s="35" t="n">
        <f>15650</f>
        <v>15650.0</v>
      </c>
      <c r="T203" s="32" t="n">
        <f>1464</f>
        <v>1464.0</v>
      </c>
      <c r="U203" s="32" t="str">
        <f>"－"</f>
        <v>－</v>
      </c>
      <c r="V203" s="32" t="n">
        <f>22855590</f>
        <v>2.285559E7</v>
      </c>
      <c r="W203" s="32" t="str">
        <f>"－"</f>
        <v>－</v>
      </c>
      <c r="X203" s="36" t="n">
        <f>3</f>
        <v>3.0</v>
      </c>
    </row>
    <row r="204">
      <c r="A204" s="27" t="s">
        <v>42</v>
      </c>
      <c r="B204" s="27" t="s">
        <v>657</v>
      </c>
      <c r="C204" s="27" t="s">
        <v>658</v>
      </c>
      <c r="D204" s="27" t="s">
        <v>659</v>
      </c>
      <c r="E204" s="28" t="s">
        <v>46</v>
      </c>
      <c r="F204" s="29" t="s">
        <v>46</v>
      </c>
      <c r="G204" s="30" t="s">
        <v>46</v>
      </c>
      <c r="H204" s="31"/>
      <c r="I204" s="31" t="s">
        <v>598</v>
      </c>
      <c r="J204" s="32" t="n">
        <v>1.0</v>
      </c>
      <c r="K204" s="33" t="n">
        <f>12710</f>
        <v>12710.0</v>
      </c>
      <c r="L204" s="34" t="s">
        <v>225</v>
      </c>
      <c r="M204" s="33" t="n">
        <f>12950</f>
        <v>12950.0</v>
      </c>
      <c r="N204" s="34" t="s">
        <v>49</v>
      </c>
      <c r="O204" s="33" t="n">
        <f>12655</f>
        <v>12655.0</v>
      </c>
      <c r="P204" s="34" t="s">
        <v>188</v>
      </c>
      <c r="Q204" s="33" t="n">
        <f>12880</f>
        <v>12880.0</v>
      </c>
      <c r="R204" s="34" t="s">
        <v>51</v>
      </c>
      <c r="S204" s="35" t="n">
        <f>12794.17</f>
        <v>12794.17</v>
      </c>
      <c r="T204" s="32" t="n">
        <f>314</f>
        <v>314.0</v>
      </c>
      <c r="U204" s="32" t="str">
        <f>"－"</f>
        <v>－</v>
      </c>
      <c r="V204" s="32" t="n">
        <f>4042255</f>
        <v>4042255.0</v>
      </c>
      <c r="W204" s="32" t="str">
        <f>"－"</f>
        <v>－</v>
      </c>
      <c r="X204" s="36" t="n">
        <f>6</f>
        <v>6.0</v>
      </c>
    </row>
    <row r="205">
      <c r="A205" s="27" t="s">
        <v>42</v>
      </c>
      <c r="B205" s="27" t="s">
        <v>660</v>
      </c>
      <c r="C205" s="27" t="s">
        <v>661</v>
      </c>
      <c r="D205" s="27" t="s">
        <v>662</v>
      </c>
      <c r="E205" s="28" t="s">
        <v>46</v>
      </c>
      <c r="F205" s="29" t="s">
        <v>46</v>
      </c>
      <c r="G205" s="30" t="s">
        <v>46</v>
      </c>
      <c r="H205" s="31"/>
      <c r="I205" s="31" t="s">
        <v>598</v>
      </c>
      <c r="J205" s="32" t="n">
        <v>1.0</v>
      </c>
      <c r="K205" s="33" t="n">
        <f>14285</f>
        <v>14285.0</v>
      </c>
      <c r="L205" s="34" t="s">
        <v>48</v>
      </c>
      <c r="M205" s="33" t="n">
        <f>15075</f>
        <v>15075.0</v>
      </c>
      <c r="N205" s="34" t="s">
        <v>49</v>
      </c>
      <c r="O205" s="33" t="n">
        <f>14285</f>
        <v>14285.0</v>
      </c>
      <c r="P205" s="34" t="s">
        <v>48</v>
      </c>
      <c r="Q205" s="33" t="n">
        <f>15075</f>
        <v>15075.0</v>
      </c>
      <c r="R205" s="34" t="s">
        <v>49</v>
      </c>
      <c r="S205" s="35" t="n">
        <f>14680</f>
        <v>14680.0</v>
      </c>
      <c r="T205" s="32" t="n">
        <f>51</f>
        <v>51.0</v>
      </c>
      <c r="U205" s="32" t="str">
        <f>"－"</f>
        <v>－</v>
      </c>
      <c r="V205" s="32" t="n">
        <f>729325</f>
        <v>729325.0</v>
      </c>
      <c r="W205" s="32" t="str">
        <f>"－"</f>
        <v>－</v>
      </c>
      <c r="X205" s="36" t="n">
        <f>2</f>
        <v>2.0</v>
      </c>
    </row>
    <row r="206">
      <c r="A206" s="27" t="s">
        <v>42</v>
      </c>
      <c r="B206" s="27" t="s">
        <v>663</v>
      </c>
      <c r="C206" s="27" t="s">
        <v>664</v>
      </c>
      <c r="D206" s="27" t="s">
        <v>665</v>
      </c>
      <c r="E206" s="28" t="s">
        <v>46</v>
      </c>
      <c r="F206" s="29" t="s">
        <v>46</v>
      </c>
      <c r="G206" s="30" t="s">
        <v>46</v>
      </c>
      <c r="H206" s="31"/>
      <c r="I206" s="31" t="s">
        <v>598</v>
      </c>
      <c r="J206" s="32" t="n">
        <v>1.0</v>
      </c>
      <c r="K206" s="33" t="str">
        <f>"－"</f>
        <v>－</v>
      </c>
      <c r="L206" s="34"/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5" t="str">
        <f>"－"</f>
        <v>－</v>
      </c>
      <c r="T206" s="32" t="str">
        <f>"－"</f>
        <v>－</v>
      </c>
      <c r="U206" s="32" t="str">
        <f>"－"</f>
        <v>－</v>
      </c>
      <c r="V206" s="32" t="str">
        <f>"－"</f>
        <v>－</v>
      </c>
      <c r="W206" s="32" t="str">
        <f>"－"</f>
        <v>－</v>
      </c>
      <c r="X206" s="36" t="str">
        <f>"－"</f>
        <v>－</v>
      </c>
    </row>
    <row r="207">
      <c r="A207" s="27" t="s">
        <v>42</v>
      </c>
      <c r="B207" s="27" t="s">
        <v>666</v>
      </c>
      <c r="C207" s="27" t="s">
        <v>667</v>
      </c>
      <c r="D207" s="27" t="s">
        <v>668</v>
      </c>
      <c r="E207" s="28" t="s">
        <v>46</v>
      </c>
      <c r="F207" s="29" t="s">
        <v>46</v>
      </c>
      <c r="G207" s="30" t="s">
        <v>46</v>
      </c>
      <c r="H207" s="31"/>
      <c r="I207" s="31" t="s">
        <v>598</v>
      </c>
      <c r="J207" s="32" t="n">
        <v>1.0</v>
      </c>
      <c r="K207" s="33" t="n">
        <f>9196</f>
        <v>9196.0</v>
      </c>
      <c r="L207" s="34" t="s">
        <v>48</v>
      </c>
      <c r="M207" s="33" t="n">
        <f>9323</f>
        <v>9323.0</v>
      </c>
      <c r="N207" s="34" t="s">
        <v>73</v>
      </c>
      <c r="O207" s="33" t="n">
        <f>9157</f>
        <v>9157.0</v>
      </c>
      <c r="P207" s="34" t="s">
        <v>302</v>
      </c>
      <c r="Q207" s="33" t="n">
        <f>9294</f>
        <v>9294.0</v>
      </c>
      <c r="R207" s="34" t="s">
        <v>51</v>
      </c>
      <c r="S207" s="35" t="n">
        <f>9261.25</f>
        <v>9261.25</v>
      </c>
      <c r="T207" s="32" t="n">
        <f>5245</f>
        <v>5245.0</v>
      </c>
      <c r="U207" s="32" t="str">
        <f>"－"</f>
        <v>－</v>
      </c>
      <c r="V207" s="32" t="n">
        <f>48628370</f>
        <v>4.862837E7</v>
      </c>
      <c r="W207" s="32" t="str">
        <f>"－"</f>
        <v>－</v>
      </c>
      <c r="X207" s="36" t="n">
        <f>8</f>
        <v>8.0</v>
      </c>
    </row>
    <row r="208">
      <c r="A208" s="27" t="s">
        <v>42</v>
      </c>
      <c r="B208" s="27" t="s">
        <v>669</v>
      </c>
      <c r="C208" s="27" t="s">
        <v>670</v>
      </c>
      <c r="D208" s="27" t="s">
        <v>671</v>
      </c>
      <c r="E208" s="28" t="s">
        <v>46</v>
      </c>
      <c r="F208" s="29" t="s">
        <v>46</v>
      </c>
      <c r="G208" s="30" t="s">
        <v>46</v>
      </c>
      <c r="H208" s="31"/>
      <c r="I208" s="31" t="s">
        <v>598</v>
      </c>
      <c r="J208" s="32" t="n">
        <v>1.0</v>
      </c>
      <c r="K208" s="33" t="n">
        <f>9804</f>
        <v>9804.0</v>
      </c>
      <c r="L208" s="34" t="s">
        <v>48</v>
      </c>
      <c r="M208" s="33" t="n">
        <f>10040</f>
        <v>10040.0</v>
      </c>
      <c r="N208" s="34" t="s">
        <v>49</v>
      </c>
      <c r="O208" s="33" t="n">
        <f>9450</f>
        <v>9450.0</v>
      </c>
      <c r="P208" s="34" t="s">
        <v>50</v>
      </c>
      <c r="Q208" s="33" t="n">
        <f>10040</f>
        <v>10040.0</v>
      </c>
      <c r="R208" s="34" t="s">
        <v>51</v>
      </c>
      <c r="S208" s="35" t="n">
        <f>9768.88</f>
        <v>9768.88</v>
      </c>
      <c r="T208" s="32" t="n">
        <f>7217</f>
        <v>7217.0</v>
      </c>
      <c r="U208" s="32" t="str">
        <f>"－"</f>
        <v>－</v>
      </c>
      <c r="V208" s="32" t="n">
        <f>70915564</f>
        <v>7.0915564E7</v>
      </c>
      <c r="W208" s="32" t="str">
        <f>"－"</f>
        <v>－</v>
      </c>
      <c r="X208" s="36" t="n">
        <f>17</f>
        <v>17.0</v>
      </c>
    </row>
    <row r="209">
      <c r="A209" s="27" t="s">
        <v>42</v>
      </c>
      <c r="B209" s="27" t="s">
        <v>672</v>
      </c>
      <c r="C209" s="27" t="s">
        <v>673</v>
      </c>
      <c r="D209" s="27" t="s">
        <v>674</v>
      </c>
      <c r="E209" s="28" t="s">
        <v>46</v>
      </c>
      <c r="F209" s="29" t="s">
        <v>46</v>
      </c>
      <c r="G209" s="30" t="s">
        <v>46</v>
      </c>
      <c r="H209" s="31"/>
      <c r="I209" s="31" t="s">
        <v>598</v>
      </c>
      <c r="J209" s="32" t="n">
        <v>1.0</v>
      </c>
      <c r="K209" s="33" t="n">
        <f>9278</f>
        <v>9278.0</v>
      </c>
      <c r="L209" s="34" t="s">
        <v>641</v>
      </c>
      <c r="M209" s="33" t="n">
        <f>9332</f>
        <v>9332.0</v>
      </c>
      <c r="N209" s="34" t="s">
        <v>125</v>
      </c>
      <c r="O209" s="33" t="n">
        <f>9143</f>
        <v>9143.0</v>
      </c>
      <c r="P209" s="34" t="s">
        <v>277</v>
      </c>
      <c r="Q209" s="33" t="n">
        <f>9301</f>
        <v>9301.0</v>
      </c>
      <c r="R209" s="34" t="s">
        <v>49</v>
      </c>
      <c r="S209" s="35" t="n">
        <f>9265.17</f>
        <v>9265.17</v>
      </c>
      <c r="T209" s="32" t="n">
        <f>6392</f>
        <v>6392.0</v>
      </c>
      <c r="U209" s="32" t="str">
        <f>"－"</f>
        <v>－</v>
      </c>
      <c r="V209" s="32" t="n">
        <f>59124084</f>
        <v>5.9124084E7</v>
      </c>
      <c r="W209" s="32" t="str">
        <f>"－"</f>
        <v>－</v>
      </c>
      <c r="X209" s="36" t="n">
        <f>6</f>
        <v>6.0</v>
      </c>
    </row>
    <row r="210">
      <c r="A210" s="27" t="s">
        <v>42</v>
      </c>
      <c r="B210" s="27" t="s">
        <v>675</v>
      </c>
      <c r="C210" s="27" t="s">
        <v>676</v>
      </c>
      <c r="D210" s="27" t="s">
        <v>677</v>
      </c>
      <c r="E210" s="28" t="s">
        <v>46</v>
      </c>
      <c r="F210" s="29" t="s">
        <v>46</v>
      </c>
      <c r="G210" s="30" t="s">
        <v>46</v>
      </c>
      <c r="H210" s="31"/>
      <c r="I210" s="31" t="s">
        <v>598</v>
      </c>
      <c r="J210" s="32" t="n">
        <v>1.0</v>
      </c>
      <c r="K210" s="33" t="n">
        <f>10050</f>
        <v>10050.0</v>
      </c>
      <c r="L210" s="34" t="s">
        <v>48</v>
      </c>
      <c r="M210" s="33" t="n">
        <f>10050</f>
        <v>10050.0</v>
      </c>
      <c r="N210" s="34" t="s">
        <v>48</v>
      </c>
      <c r="O210" s="33" t="n">
        <f>9810</f>
        <v>9810.0</v>
      </c>
      <c r="P210" s="34" t="s">
        <v>74</v>
      </c>
      <c r="Q210" s="33" t="n">
        <f>10020</f>
        <v>10020.0</v>
      </c>
      <c r="R210" s="34" t="s">
        <v>51</v>
      </c>
      <c r="S210" s="35" t="n">
        <f>9955.8</f>
        <v>9955.8</v>
      </c>
      <c r="T210" s="32" t="n">
        <f>139</f>
        <v>139.0</v>
      </c>
      <c r="U210" s="32" t="str">
        <f>"－"</f>
        <v>－</v>
      </c>
      <c r="V210" s="32" t="n">
        <f>1368696</f>
        <v>1368696.0</v>
      </c>
      <c r="W210" s="32" t="str">
        <f>"－"</f>
        <v>－</v>
      </c>
      <c r="X210" s="36" t="n">
        <f>5</f>
        <v>5.0</v>
      </c>
    </row>
    <row r="211">
      <c r="A211" s="27" t="s">
        <v>42</v>
      </c>
      <c r="B211" s="27" t="s">
        <v>678</v>
      </c>
      <c r="C211" s="27" t="s">
        <v>679</v>
      </c>
      <c r="D211" s="27" t="s">
        <v>680</v>
      </c>
      <c r="E211" s="28" t="s">
        <v>46</v>
      </c>
      <c r="F211" s="29" t="s">
        <v>46</v>
      </c>
      <c r="G211" s="30" t="s">
        <v>46</v>
      </c>
      <c r="H211" s="31"/>
      <c r="I211" s="31" t="s">
        <v>47</v>
      </c>
      <c r="J211" s="32" t="n">
        <v>10.0</v>
      </c>
      <c r="K211" s="33" t="n">
        <f>973.4</f>
        <v>973.4</v>
      </c>
      <c r="L211" s="34" t="s">
        <v>48</v>
      </c>
      <c r="M211" s="33" t="n">
        <f>975</f>
        <v>975.0</v>
      </c>
      <c r="N211" s="34" t="s">
        <v>277</v>
      </c>
      <c r="O211" s="33" t="n">
        <f>967.5</f>
        <v>967.5</v>
      </c>
      <c r="P211" s="34" t="s">
        <v>91</v>
      </c>
      <c r="Q211" s="33" t="n">
        <f>970.9</f>
        <v>970.9</v>
      </c>
      <c r="R211" s="34" t="s">
        <v>51</v>
      </c>
      <c r="S211" s="35" t="n">
        <f>971.02</f>
        <v>971.02</v>
      </c>
      <c r="T211" s="32" t="n">
        <f>1729700</f>
        <v>1729700.0</v>
      </c>
      <c r="U211" s="32" t="n">
        <f>767830</f>
        <v>767830.0</v>
      </c>
      <c r="V211" s="32" t="n">
        <f>1680997404</f>
        <v>1.680997404E9</v>
      </c>
      <c r="W211" s="32" t="n">
        <f>746049577</f>
        <v>7.46049577E8</v>
      </c>
      <c r="X211" s="36" t="n">
        <f>19</f>
        <v>19.0</v>
      </c>
    </row>
    <row r="212">
      <c r="A212" s="27" t="s">
        <v>42</v>
      </c>
      <c r="B212" s="27" t="s">
        <v>681</v>
      </c>
      <c r="C212" s="27" t="s">
        <v>682</v>
      </c>
      <c r="D212" s="27" t="s">
        <v>683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10.0</v>
      </c>
      <c r="K212" s="33" t="n">
        <f>1017.5</f>
        <v>1017.5</v>
      </c>
      <c r="L212" s="34" t="s">
        <v>48</v>
      </c>
      <c r="M212" s="33" t="n">
        <f>1017.5</f>
        <v>1017.5</v>
      </c>
      <c r="N212" s="34" t="s">
        <v>48</v>
      </c>
      <c r="O212" s="33" t="n">
        <f>990.1</f>
        <v>990.1</v>
      </c>
      <c r="P212" s="34" t="s">
        <v>69</v>
      </c>
      <c r="Q212" s="33" t="n">
        <f>1000.5</f>
        <v>1000.5</v>
      </c>
      <c r="R212" s="34" t="s">
        <v>51</v>
      </c>
      <c r="S212" s="35" t="n">
        <f>1000.01</f>
        <v>1000.01</v>
      </c>
      <c r="T212" s="32" t="n">
        <f>1000850</f>
        <v>1000850.0</v>
      </c>
      <c r="U212" s="32" t="n">
        <f>383800</f>
        <v>383800.0</v>
      </c>
      <c r="V212" s="32" t="n">
        <f>1002839888</f>
        <v>1.002839888E9</v>
      </c>
      <c r="W212" s="32" t="n">
        <f>385685384</f>
        <v>3.85685384E8</v>
      </c>
      <c r="X212" s="36" t="n">
        <f>19</f>
        <v>19.0</v>
      </c>
    </row>
    <row r="213">
      <c r="A213" s="27" t="s">
        <v>42</v>
      </c>
      <c r="B213" s="27" t="s">
        <v>684</v>
      </c>
      <c r="C213" s="27" t="s">
        <v>685</v>
      </c>
      <c r="D213" s="27" t="s">
        <v>686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920</f>
        <v>920.0</v>
      </c>
      <c r="L213" s="34" t="s">
        <v>48</v>
      </c>
      <c r="M213" s="33" t="n">
        <f>922</f>
        <v>922.0</v>
      </c>
      <c r="N213" s="34" t="s">
        <v>74</v>
      </c>
      <c r="O213" s="33" t="n">
        <f>899.9</f>
        <v>899.9</v>
      </c>
      <c r="P213" s="34" t="s">
        <v>225</v>
      </c>
      <c r="Q213" s="33" t="n">
        <f>909.6</f>
        <v>909.6</v>
      </c>
      <c r="R213" s="34" t="s">
        <v>51</v>
      </c>
      <c r="S213" s="35" t="n">
        <f>912.75</f>
        <v>912.75</v>
      </c>
      <c r="T213" s="32" t="n">
        <f>5939100</f>
        <v>5939100.0</v>
      </c>
      <c r="U213" s="32" t="n">
        <f>4028420</f>
        <v>4028420.0</v>
      </c>
      <c r="V213" s="32" t="n">
        <f>5410437505</f>
        <v>5.410437505E9</v>
      </c>
      <c r="W213" s="32" t="n">
        <f>3668894266</f>
        <v>3.668894266E9</v>
      </c>
      <c r="X213" s="36" t="n">
        <f>19</f>
        <v>19.0</v>
      </c>
    </row>
    <row r="214">
      <c r="A214" s="27" t="s">
        <v>42</v>
      </c>
      <c r="B214" s="27" t="s">
        <v>687</v>
      </c>
      <c r="C214" s="27" t="s">
        <v>688</v>
      </c>
      <c r="D214" s="27" t="s">
        <v>689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10.0</v>
      </c>
      <c r="K214" s="33" t="n">
        <f>1665</f>
        <v>1665.0</v>
      </c>
      <c r="L214" s="34" t="s">
        <v>48</v>
      </c>
      <c r="M214" s="33" t="n">
        <f>1666</f>
        <v>1666.0</v>
      </c>
      <c r="N214" s="34" t="s">
        <v>48</v>
      </c>
      <c r="O214" s="33" t="n">
        <f>1537</f>
        <v>1537.0</v>
      </c>
      <c r="P214" s="34" t="s">
        <v>69</v>
      </c>
      <c r="Q214" s="33" t="n">
        <f>1645</f>
        <v>1645.0</v>
      </c>
      <c r="R214" s="34" t="s">
        <v>51</v>
      </c>
      <c r="S214" s="35" t="n">
        <f>1591.76</f>
        <v>1591.76</v>
      </c>
      <c r="T214" s="32" t="n">
        <f>1014400</f>
        <v>1014400.0</v>
      </c>
      <c r="U214" s="32" t="n">
        <f>374060</f>
        <v>374060.0</v>
      </c>
      <c r="V214" s="32" t="n">
        <f>1613808221</f>
        <v>1.613808221E9</v>
      </c>
      <c r="W214" s="32" t="n">
        <f>597956991</f>
        <v>5.97956991E8</v>
      </c>
      <c r="X214" s="36" t="n">
        <f>19</f>
        <v>19.0</v>
      </c>
    </row>
    <row r="215">
      <c r="A215" s="27" t="s">
        <v>42</v>
      </c>
      <c r="B215" s="27" t="s">
        <v>690</v>
      </c>
      <c r="C215" s="27" t="s">
        <v>691</v>
      </c>
      <c r="D215" s="27" t="s">
        <v>692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10.0</v>
      </c>
      <c r="K215" s="33" t="n">
        <f>1406.5</f>
        <v>1406.5</v>
      </c>
      <c r="L215" s="34" t="s">
        <v>48</v>
      </c>
      <c r="M215" s="33" t="n">
        <f>1422.5</f>
        <v>1422.5</v>
      </c>
      <c r="N215" s="34" t="s">
        <v>48</v>
      </c>
      <c r="O215" s="33" t="n">
        <f>1313.5</f>
        <v>1313.5</v>
      </c>
      <c r="P215" s="34" t="s">
        <v>50</v>
      </c>
      <c r="Q215" s="33" t="n">
        <f>1404</f>
        <v>1404.0</v>
      </c>
      <c r="R215" s="34" t="s">
        <v>51</v>
      </c>
      <c r="S215" s="35" t="n">
        <f>1359.71</f>
        <v>1359.71</v>
      </c>
      <c r="T215" s="32" t="n">
        <f>304400</f>
        <v>304400.0</v>
      </c>
      <c r="U215" s="32" t="n">
        <f>102750</f>
        <v>102750.0</v>
      </c>
      <c r="V215" s="32" t="n">
        <f>411051968</f>
        <v>4.11051968E8</v>
      </c>
      <c r="W215" s="32" t="n">
        <f>139338773</f>
        <v>1.39338773E8</v>
      </c>
      <c r="X215" s="36" t="n">
        <f>19</f>
        <v>19.0</v>
      </c>
    </row>
    <row r="216">
      <c r="A216" s="27" t="s">
        <v>42</v>
      </c>
      <c r="B216" s="27" t="s">
        <v>693</v>
      </c>
      <c r="C216" s="27" t="s">
        <v>694</v>
      </c>
      <c r="D216" s="27" t="s">
        <v>695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1390</f>
        <v>1390.0</v>
      </c>
      <c r="L216" s="34" t="s">
        <v>48</v>
      </c>
      <c r="M216" s="33" t="n">
        <f>1395</f>
        <v>1395.0</v>
      </c>
      <c r="N216" s="34" t="s">
        <v>48</v>
      </c>
      <c r="O216" s="33" t="n">
        <f>1220</f>
        <v>1220.0</v>
      </c>
      <c r="P216" s="34" t="s">
        <v>162</v>
      </c>
      <c r="Q216" s="33" t="n">
        <f>1286</f>
        <v>1286.0</v>
      </c>
      <c r="R216" s="34" t="s">
        <v>51</v>
      </c>
      <c r="S216" s="35" t="n">
        <f>1262.26</f>
        <v>1262.26</v>
      </c>
      <c r="T216" s="32" t="n">
        <f>683360</f>
        <v>683360.0</v>
      </c>
      <c r="U216" s="32" t="n">
        <f>56370</f>
        <v>56370.0</v>
      </c>
      <c r="V216" s="32" t="n">
        <f>870555814</f>
        <v>8.70555814E8</v>
      </c>
      <c r="W216" s="32" t="n">
        <f>70377554</f>
        <v>7.0377554E7</v>
      </c>
      <c r="X216" s="36" t="n">
        <f>19</f>
        <v>19.0</v>
      </c>
    </row>
    <row r="217">
      <c r="A217" s="27" t="s">
        <v>42</v>
      </c>
      <c r="B217" s="27" t="s">
        <v>696</v>
      </c>
      <c r="C217" s="27" t="s">
        <v>697</v>
      </c>
      <c r="D217" s="27" t="s">
        <v>698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529</f>
        <v>529.0</v>
      </c>
      <c r="L217" s="34" t="s">
        <v>48</v>
      </c>
      <c r="M217" s="33" t="n">
        <f>537.3</f>
        <v>537.3</v>
      </c>
      <c r="N217" s="34" t="s">
        <v>48</v>
      </c>
      <c r="O217" s="33" t="n">
        <f>478.6</f>
        <v>478.6</v>
      </c>
      <c r="P217" s="34" t="s">
        <v>50</v>
      </c>
      <c r="Q217" s="33" t="n">
        <f>517.9</f>
        <v>517.9</v>
      </c>
      <c r="R217" s="34" t="s">
        <v>51</v>
      </c>
      <c r="S217" s="35" t="n">
        <f>506.49</f>
        <v>506.49</v>
      </c>
      <c r="T217" s="32" t="n">
        <f>57192110</f>
        <v>5.719211E7</v>
      </c>
      <c r="U217" s="32" t="n">
        <f>17860</f>
        <v>17860.0</v>
      </c>
      <c r="V217" s="32" t="n">
        <f>28906387739</f>
        <v>2.8906387739E10</v>
      </c>
      <c r="W217" s="32" t="n">
        <f>9155667</f>
        <v>9155667.0</v>
      </c>
      <c r="X217" s="36" t="n">
        <f>19</f>
        <v>19.0</v>
      </c>
    </row>
    <row r="218">
      <c r="A218" s="27" t="s">
        <v>42</v>
      </c>
      <c r="B218" s="27" t="s">
        <v>699</v>
      </c>
      <c r="C218" s="27" t="s">
        <v>700</v>
      </c>
      <c r="D218" s="27" t="s">
        <v>701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1161.5</f>
        <v>1161.5</v>
      </c>
      <c r="L218" s="34" t="s">
        <v>48</v>
      </c>
      <c r="M218" s="33" t="n">
        <f>1182.5</f>
        <v>1182.5</v>
      </c>
      <c r="N218" s="34" t="s">
        <v>48</v>
      </c>
      <c r="O218" s="33" t="n">
        <f>1115.5</f>
        <v>1115.5</v>
      </c>
      <c r="P218" s="34" t="s">
        <v>50</v>
      </c>
      <c r="Q218" s="33" t="n">
        <f>1177</f>
        <v>1177.0</v>
      </c>
      <c r="R218" s="34" t="s">
        <v>51</v>
      </c>
      <c r="S218" s="35" t="n">
        <f>1160.68</f>
        <v>1160.68</v>
      </c>
      <c r="T218" s="32" t="n">
        <f>113380</f>
        <v>113380.0</v>
      </c>
      <c r="U218" s="32" t="n">
        <f>20</f>
        <v>20.0</v>
      </c>
      <c r="V218" s="32" t="n">
        <f>130910140</f>
        <v>1.3091014E8</v>
      </c>
      <c r="W218" s="32" t="n">
        <f>23235</f>
        <v>23235.0</v>
      </c>
      <c r="X218" s="36" t="n">
        <f>19</f>
        <v>19.0</v>
      </c>
    </row>
    <row r="219">
      <c r="A219" s="27" t="s">
        <v>42</v>
      </c>
      <c r="B219" s="27" t="s">
        <v>702</v>
      </c>
      <c r="C219" s="27" t="s">
        <v>703</v>
      </c>
      <c r="D219" s="27" t="s">
        <v>704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1.0</v>
      </c>
      <c r="K219" s="33" t="n">
        <f>1085</f>
        <v>1085.0</v>
      </c>
      <c r="L219" s="34" t="s">
        <v>48</v>
      </c>
      <c r="M219" s="33" t="n">
        <f>1090</f>
        <v>1090.0</v>
      </c>
      <c r="N219" s="34" t="s">
        <v>49</v>
      </c>
      <c r="O219" s="33" t="n">
        <f>1032</f>
        <v>1032.0</v>
      </c>
      <c r="P219" s="34" t="s">
        <v>50</v>
      </c>
      <c r="Q219" s="33" t="n">
        <f>1084</f>
        <v>1084.0</v>
      </c>
      <c r="R219" s="34" t="s">
        <v>51</v>
      </c>
      <c r="S219" s="35" t="n">
        <f>1063.47</f>
        <v>1063.47</v>
      </c>
      <c r="T219" s="32" t="n">
        <f>34058</f>
        <v>34058.0</v>
      </c>
      <c r="U219" s="32" t="str">
        <f>"－"</f>
        <v>－</v>
      </c>
      <c r="V219" s="32" t="n">
        <f>35984015</f>
        <v>3.5984015E7</v>
      </c>
      <c r="W219" s="32" t="str">
        <f>"－"</f>
        <v>－</v>
      </c>
      <c r="X219" s="36" t="n">
        <f>19</f>
        <v>19.0</v>
      </c>
    </row>
    <row r="220">
      <c r="A220" s="27" t="s">
        <v>42</v>
      </c>
      <c r="B220" s="27" t="s">
        <v>705</v>
      </c>
      <c r="C220" s="27" t="s">
        <v>706</v>
      </c>
      <c r="D220" s="27" t="s">
        <v>707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940</f>
        <v>940.0</v>
      </c>
      <c r="L220" s="34" t="s">
        <v>48</v>
      </c>
      <c r="M220" s="33" t="n">
        <f>940</f>
        <v>940.0</v>
      </c>
      <c r="N220" s="34" t="s">
        <v>48</v>
      </c>
      <c r="O220" s="33" t="n">
        <f>891.1</f>
        <v>891.1</v>
      </c>
      <c r="P220" s="34" t="s">
        <v>125</v>
      </c>
      <c r="Q220" s="33" t="n">
        <f>913.4</f>
        <v>913.4</v>
      </c>
      <c r="R220" s="34" t="s">
        <v>51</v>
      </c>
      <c r="S220" s="35" t="n">
        <f>911.8</f>
        <v>911.8</v>
      </c>
      <c r="T220" s="32" t="n">
        <f>35900</f>
        <v>35900.0</v>
      </c>
      <c r="U220" s="32" t="str">
        <f>"－"</f>
        <v>－</v>
      </c>
      <c r="V220" s="32" t="n">
        <f>32770111</f>
        <v>3.2770111E7</v>
      </c>
      <c r="W220" s="32" t="str">
        <f>"－"</f>
        <v>－</v>
      </c>
      <c r="X220" s="36" t="n">
        <f>19</f>
        <v>19.0</v>
      </c>
    </row>
    <row r="221">
      <c r="A221" s="27" t="s">
        <v>42</v>
      </c>
      <c r="B221" s="27" t="s">
        <v>708</v>
      </c>
      <c r="C221" s="27" t="s">
        <v>709</v>
      </c>
      <c r="D221" s="27" t="s">
        <v>710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1183</f>
        <v>1183.0</v>
      </c>
      <c r="L221" s="34" t="s">
        <v>48</v>
      </c>
      <c r="M221" s="33" t="n">
        <f>1227</f>
        <v>1227.0</v>
      </c>
      <c r="N221" s="34" t="s">
        <v>73</v>
      </c>
      <c r="O221" s="33" t="n">
        <f>1104</f>
        <v>1104.0</v>
      </c>
      <c r="P221" s="34" t="s">
        <v>162</v>
      </c>
      <c r="Q221" s="33" t="n">
        <f>1197</f>
        <v>1197.0</v>
      </c>
      <c r="R221" s="34" t="s">
        <v>51</v>
      </c>
      <c r="S221" s="35" t="n">
        <f>1146.66</f>
        <v>1146.66</v>
      </c>
      <c r="T221" s="32" t="n">
        <f>157300</f>
        <v>157300.0</v>
      </c>
      <c r="U221" s="32" t="str">
        <f>"－"</f>
        <v>－</v>
      </c>
      <c r="V221" s="32" t="n">
        <f>179733660</f>
        <v>1.7973366E8</v>
      </c>
      <c r="W221" s="32" t="str">
        <f>"－"</f>
        <v>－</v>
      </c>
      <c r="X221" s="36" t="n">
        <f>19</f>
        <v>19.0</v>
      </c>
    </row>
    <row r="222">
      <c r="A222" s="27" t="s">
        <v>42</v>
      </c>
      <c r="B222" s="27" t="s">
        <v>711</v>
      </c>
      <c r="C222" s="27" t="s">
        <v>712</v>
      </c>
      <c r="D222" s="27" t="s">
        <v>713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1437</f>
        <v>1437.0</v>
      </c>
      <c r="L222" s="34" t="s">
        <v>48</v>
      </c>
      <c r="M222" s="33" t="n">
        <f>1454</f>
        <v>1454.0</v>
      </c>
      <c r="N222" s="34" t="s">
        <v>49</v>
      </c>
      <c r="O222" s="33" t="n">
        <f>1354</f>
        <v>1354.0</v>
      </c>
      <c r="P222" s="34" t="s">
        <v>69</v>
      </c>
      <c r="Q222" s="33" t="n">
        <f>1444</f>
        <v>1444.0</v>
      </c>
      <c r="R222" s="34" t="s">
        <v>51</v>
      </c>
      <c r="S222" s="35" t="n">
        <f>1396.5</f>
        <v>1396.5</v>
      </c>
      <c r="T222" s="32" t="n">
        <f>15809630</f>
        <v>1.580963E7</v>
      </c>
      <c r="U222" s="32" t="n">
        <f>5413020</f>
        <v>5413020.0</v>
      </c>
      <c r="V222" s="32" t="n">
        <f>22137687324</f>
        <v>2.2137687324E10</v>
      </c>
      <c r="W222" s="32" t="n">
        <f>7615672729</f>
        <v>7.615672729E9</v>
      </c>
      <c r="X222" s="36" t="n">
        <f>19</f>
        <v>19.0</v>
      </c>
    </row>
    <row r="223">
      <c r="A223" s="27" t="s">
        <v>42</v>
      </c>
      <c r="B223" s="27" t="s">
        <v>714</v>
      </c>
      <c r="C223" s="27" t="s">
        <v>715</v>
      </c>
      <c r="D223" s="27" t="s">
        <v>716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1.0</v>
      </c>
      <c r="K223" s="33" t="n">
        <f>3455</f>
        <v>3455.0</v>
      </c>
      <c r="L223" s="34" t="s">
        <v>48</v>
      </c>
      <c r="M223" s="33" t="n">
        <f>3610</f>
        <v>3610.0</v>
      </c>
      <c r="N223" s="34" t="s">
        <v>48</v>
      </c>
      <c r="O223" s="33" t="n">
        <f>3245</f>
        <v>3245.0</v>
      </c>
      <c r="P223" s="34" t="s">
        <v>50</v>
      </c>
      <c r="Q223" s="33" t="n">
        <f>3555</f>
        <v>3555.0</v>
      </c>
      <c r="R223" s="34" t="s">
        <v>51</v>
      </c>
      <c r="S223" s="35" t="n">
        <f>3405.26</f>
        <v>3405.26</v>
      </c>
      <c r="T223" s="32" t="n">
        <f>47423</f>
        <v>47423.0</v>
      </c>
      <c r="U223" s="32" t="str">
        <f>"－"</f>
        <v>－</v>
      </c>
      <c r="V223" s="32" t="n">
        <f>161044055</f>
        <v>1.61044055E8</v>
      </c>
      <c r="W223" s="32" t="str">
        <f>"－"</f>
        <v>－</v>
      </c>
      <c r="X223" s="36" t="n">
        <f>19</f>
        <v>19.0</v>
      </c>
    </row>
    <row r="224">
      <c r="A224" s="27" t="s">
        <v>42</v>
      </c>
      <c r="B224" s="27" t="s">
        <v>717</v>
      </c>
      <c r="C224" s="27" t="s">
        <v>718</v>
      </c>
      <c r="D224" s="27" t="s">
        <v>719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1592.5</f>
        <v>1592.5</v>
      </c>
      <c r="L224" s="34" t="s">
        <v>48</v>
      </c>
      <c r="M224" s="33" t="n">
        <f>1680</f>
        <v>1680.0</v>
      </c>
      <c r="N224" s="34" t="s">
        <v>49</v>
      </c>
      <c r="O224" s="33" t="n">
        <f>1523</f>
        <v>1523.0</v>
      </c>
      <c r="P224" s="34" t="s">
        <v>91</v>
      </c>
      <c r="Q224" s="33" t="n">
        <f>1585</f>
        <v>1585.0</v>
      </c>
      <c r="R224" s="34" t="s">
        <v>51</v>
      </c>
      <c r="S224" s="35" t="n">
        <f>1576.16</f>
        <v>1576.16</v>
      </c>
      <c r="T224" s="32" t="n">
        <f>4680</f>
        <v>4680.0</v>
      </c>
      <c r="U224" s="32" t="str">
        <f>"－"</f>
        <v>－</v>
      </c>
      <c r="V224" s="32" t="n">
        <f>7378640</f>
        <v>7378640.0</v>
      </c>
      <c r="W224" s="32" t="str">
        <f>"－"</f>
        <v>－</v>
      </c>
      <c r="X224" s="36" t="n">
        <f>16</f>
        <v>16.0</v>
      </c>
    </row>
    <row r="225">
      <c r="A225" s="27" t="s">
        <v>42</v>
      </c>
      <c r="B225" s="27" t="s">
        <v>720</v>
      </c>
      <c r="C225" s="27" t="s">
        <v>721</v>
      </c>
      <c r="D225" s="27" t="s">
        <v>722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1944</f>
        <v>1944.0</v>
      </c>
      <c r="L225" s="34" t="s">
        <v>48</v>
      </c>
      <c r="M225" s="33" t="n">
        <f>1984</f>
        <v>1984.0</v>
      </c>
      <c r="N225" s="34" t="s">
        <v>48</v>
      </c>
      <c r="O225" s="33" t="n">
        <f>1887</f>
        <v>1887.0</v>
      </c>
      <c r="P225" s="34" t="s">
        <v>50</v>
      </c>
      <c r="Q225" s="33" t="n">
        <f>1966</f>
        <v>1966.0</v>
      </c>
      <c r="R225" s="34" t="s">
        <v>51</v>
      </c>
      <c r="S225" s="35" t="n">
        <f>1921.14</f>
        <v>1921.14</v>
      </c>
      <c r="T225" s="32" t="n">
        <f>136400</f>
        <v>136400.0</v>
      </c>
      <c r="U225" s="32" t="str">
        <f>"－"</f>
        <v>－</v>
      </c>
      <c r="V225" s="32" t="n">
        <f>260602625</f>
        <v>2.60602625E8</v>
      </c>
      <c r="W225" s="32" t="str">
        <f>"－"</f>
        <v>－</v>
      </c>
      <c r="X225" s="36" t="n">
        <f>11</f>
        <v>11.0</v>
      </c>
    </row>
    <row r="226">
      <c r="A226" s="27" t="s">
        <v>42</v>
      </c>
      <c r="B226" s="27" t="s">
        <v>723</v>
      </c>
      <c r="C226" s="27" t="s">
        <v>724</v>
      </c>
      <c r="D226" s="27" t="s">
        <v>725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27260</f>
        <v>27260.0</v>
      </c>
      <c r="L226" s="34" t="s">
        <v>48</v>
      </c>
      <c r="M226" s="33" t="n">
        <f>27890</f>
        <v>27890.0</v>
      </c>
      <c r="N226" s="34" t="s">
        <v>51</v>
      </c>
      <c r="O226" s="33" t="n">
        <f>26260</f>
        <v>26260.0</v>
      </c>
      <c r="P226" s="34" t="s">
        <v>50</v>
      </c>
      <c r="Q226" s="33" t="n">
        <f>27750</f>
        <v>27750.0</v>
      </c>
      <c r="R226" s="34" t="s">
        <v>51</v>
      </c>
      <c r="S226" s="35" t="n">
        <f>27060</f>
        <v>27060.0</v>
      </c>
      <c r="T226" s="32" t="n">
        <f>21568</f>
        <v>21568.0</v>
      </c>
      <c r="U226" s="32" t="n">
        <f>10800</f>
        <v>10800.0</v>
      </c>
      <c r="V226" s="32" t="n">
        <f>598592820</f>
        <v>5.9859282E8</v>
      </c>
      <c r="W226" s="32" t="n">
        <f>300207600</f>
        <v>3.002076E8</v>
      </c>
      <c r="X226" s="36" t="n">
        <f>16</f>
        <v>16.0</v>
      </c>
    </row>
    <row r="227">
      <c r="A227" s="27" t="s">
        <v>42</v>
      </c>
      <c r="B227" s="27" t="s">
        <v>726</v>
      </c>
      <c r="C227" s="27" t="s">
        <v>727</v>
      </c>
      <c r="D227" s="27" t="s">
        <v>728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17430</f>
        <v>17430.0</v>
      </c>
      <c r="L227" s="34" t="s">
        <v>48</v>
      </c>
      <c r="M227" s="33" t="n">
        <f>17710</f>
        <v>17710.0</v>
      </c>
      <c r="N227" s="34" t="s">
        <v>49</v>
      </c>
      <c r="O227" s="33" t="n">
        <f>17225</f>
        <v>17225.0</v>
      </c>
      <c r="P227" s="34" t="s">
        <v>188</v>
      </c>
      <c r="Q227" s="33" t="n">
        <f>17710</f>
        <v>17710.0</v>
      </c>
      <c r="R227" s="34" t="s">
        <v>49</v>
      </c>
      <c r="S227" s="35" t="n">
        <f>17391.25</f>
        <v>17391.25</v>
      </c>
      <c r="T227" s="32" t="n">
        <f>6</f>
        <v>6.0</v>
      </c>
      <c r="U227" s="32" t="str">
        <f>"－"</f>
        <v>－</v>
      </c>
      <c r="V227" s="32" t="n">
        <f>104515</f>
        <v>104515.0</v>
      </c>
      <c r="W227" s="32" t="str">
        <f>"－"</f>
        <v>－</v>
      </c>
      <c r="X227" s="36" t="n">
        <f>4</f>
        <v>4.0</v>
      </c>
    </row>
    <row r="228">
      <c r="A228" s="27" t="s">
        <v>42</v>
      </c>
      <c r="B228" s="27" t="s">
        <v>729</v>
      </c>
      <c r="C228" s="27" t="s">
        <v>730</v>
      </c>
      <c r="D228" s="27" t="s">
        <v>731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1178</f>
        <v>1178.0</v>
      </c>
      <c r="L228" s="34" t="s">
        <v>73</v>
      </c>
      <c r="M228" s="33" t="n">
        <f>1192</f>
        <v>1192.0</v>
      </c>
      <c r="N228" s="34" t="s">
        <v>51</v>
      </c>
      <c r="O228" s="33" t="n">
        <f>1152</f>
        <v>1152.0</v>
      </c>
      <c r="P228" s="34" t="s">
        <v>91</v>
      </c>
      <c r="Q228" s="33" t="n">
        <f>1192</f>
        <v>1192.0</v>
      </c>
      <c r="R228" s="34" t="s">
        <v>51</v>
      </c>
      <c r="S228" s="35" t="n">
        <f>1174.85</f>
        <v>1174.85</v>
      </c>
      <c r="T228" s="32" t="n">
        <f>227460</f>
        <v>227460.0</v>
      </c>
      <c r="U228" s="32" t="n">
        <f>50000</f>
        <v>50000.0</v>
      </c>
      <c r="V228" s="32" t="n">
        <f>267051520</f>
        <v>2.6705152E8</v>
      </c>
      <c r="W228" s="32" t="n">
        <f>58605500</f>
        <v>5.86055E7</v>
      </c>
      <c r="X228" s="36" t="n">
        <f>13</f>
        <v>13.0</v>
      </c>
    </row>
    <row r="229">
      <c r="A229" s="27" t="s">
        <v>42</v>
      </c>
      <c r="B229" s="27" t="s">
        <v>732</v>
      </c>
      <c r="C229" s="27" t="s">
        <v>733</v>
      </c>
      <c r="D229" s="27" t="s">
        <v>734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1145</f>
        <v>1145.0</v>
      </c>
      <c r="L229" s="34" t="s">
        <v>48</v>
      </c>
      <c r="M229" s="33" t="n">
        <f>1177</f>
        <v>1177.0</v>
      </c>
      <c r="N229" s="34" t="s">
        <v>51</v>
      </c>
      <c r="O229" s="33" t="n">
        <f>1131</f>
        <v>1131.0</v>
      </c>
      <c r="P229" s="34" t="s">
        <v>50</v>
      </c>
      <c r="Q229" s="33" t="n">
        <f>1177</f>
        <v>1177.0</v>
      </c>
      <c r="R229" s="34" t="s">
        <v>51</v>
      </c>
      <c r="S229" s="35" t="n">
        <f>1161.58</f>
        <v>1161.58</v>
      </c>
      <c r="T229" s="32" t="n">
        <f>11260</f>
        <v>11260.0</v>
      </c>
      <c r="U229" s="32" t="str">
        <f>"－"</f>
        <v>－</v>
      </c>
      <c r="V229" s="32" t="n">
        <f>13015625</f>
        <v>1.3015625E7</v>
      </c>
      <c r="W229" s="32" t="str">
        <f>"－"</f>
        <v>－</v>
      </c>
      <c r="X229" s="36" t="n">
        <f>19</f>
        <v>19.0</v>
      </c>
    </row>
    <row r="230">
      <c r="A230" s="27" t="s">
        <v>42</v>
      </c>
      <c r="B230" s="27" t="s">
        <v>735</v>
      </c>
      <c r="C230" s="27" t="s">
        <v>736</v>
      </c>
      <c r="D230" s="27" t="s">
        <v>737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1190</f>
        <v>1190.0</v>
      </c>
      <c r="L230" s="34" t="s">
        <v>48</v>
      </c>
      <c r="M230" s="33" t="n">
        <f>1213</f>
        <v>1213.0</v>
      </c>
      <c r="N230" s="34" t="s">
        <v>49</v>
      </c>
      <c r="O230" s="33" t="n">
        <f>1150</f>
        <v>1150.0</v>
      </c>
      <c r="P230" s="34" t="s">
        <v>48</v>
      </c>
      <c r="Q230" s="33" t="n">
        <f>1205</f>
        <v>1205.0</v>
      </c>
      <c r="R230" s="34" t="s">
        <v>51</v>
      </c>
      <c r="S230" s="35" t="n">
        <f>1185.74</f>
        <v>1185.74</v>
      </c>
      <c r="T230" s="32" t="n">
        <f>30898</f>
        <v>30898.0</v>
      </c>
      <c r="U230" s="32" t="n">
        <f>11</f>
        <v>11.0</v>
      </c>
      <c r="V230" s="32" t="n">
        <f>36638338</f>
        <v>3.6638338E7</v>
      </c>
      <c r="W230" s="32" t="n">
        <f>12468</f>
        <v>12468.0</v>
      </c>
      <c r="X230" s="36" t="n">
        <f>19</f>
        <v>19.0</v>
      </c>
    </row>
    <row r="231">
      <c r="A231" s="27" t="s">
        <v>42</v>
      </c>
      <c r="B231" s="27" t="s">
        <v>738</v>
      </c>
      <c r="C231" s="27" t="s">
        <v>739</v>
      </c>
      <c r="D231" s="27" t="s">
        <v>740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13065</f>
        <v>13065.0</v>
      </c>
      <c r="L231" s="34" t="s">
        <v>48</v>
      </c>
      <c r="M231" s="33" t="n">
        <f>13200</f>
        <v>13200.0</v>
      </c>
      <c r="N231" s="34" t="s">
        <v>73</v>
      </c>
      <c r="O231" s="33" t="n">
        <f>12500</f>
        <v>12500.0</v>
      </c>
      <c r="P231" s="34" t="s">
        <v>91</v>
      </c>
      <c r="Q231" s="33" t="n">
        <f>13050</f>
        <v>13050.0</v>
      </c>
      <c r="R231" s="34" t="s">
        <v>51</v>
      </c>
      <c r="S231" s="35" t="n">
        <f>12866.47</f>
        <v>12866.47</v>
      </c>
      <c r="T231" s="32" t="n">
        <f>688</f>
        <v>688.0</v>
      </c>
      <c r="U231" s="32" t="str">
        <f>"－"</f>
        <v>－</v>
      </c>
      <c r="V231" s="32" t="n">
        <f>8820495</f>
        <v>8820495.0</v>
      </c>
      <c r="W231" s="32" t="str">
        <f>"－"</f>
        <v>－</v>
      </c>
      <c r="X231" s="36" t="n">
        <f>17</f>
        <v>17.0</v>
      </c>
    </row>
    <row r="232">
      <c r="A232" s="27" t="s">
        <v>42</v>
      </c>
      <c r="B232" s="27" t="s">
        <v>741</v>
      </c>
      <c r="C232" s="27" t="s">
        <v>742</v>
      </c>
      <c r="D232" s="27" t="s">
        <v>743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2144</f>
        <v>2144.0</v>
      </c>
      <c r="L232" s="34" t="s">
        <v>48</v>
      </c>
      <c r="M232" s="33" t="n">
        <f>2144</f>
        <v>2144.0</v>
      </c>
      <c r="N232" s="34" t="s">
        <v>48</v>
      </c>
      <c r="O232" s="33" t="n">
        <f>2020</f>
        <v>2020.0</v>
      </c>
      <c r="P232" s="34" t="s">
        <v>91</v>
      </c>
      <c r="Q232" s="33" t="n">
        <f>2141</f>
        <v>2141.0</v>
      </c>
      <c r="R232" s="34" t="s">
        <v>51</v>
      </c>
      <c r="S232" s="35" t="n">
        <f>2113.16</f>
        <v>2113.16</v>
      </c>
      <c r="T232" s="32" t="n">
        <f>259883</f>
        <v>259883.0</v>
      </c>
      <c r="U232" s="32" t="n">
        <f>250000</f>
        <v>250000.0</v>
      </c>
      <c r="V232" s="32" t="n">
        <f>547754792</f>
        <v>5.47754792E8</v>
      </c>
      <c r="W232" s="32" t="n">
        <f>526878000</f>
        <v>5.26878E8</v>
      </c>
      <c r="X232" s="36" t="n">
        <f>19</f>
        <v>19.0</v>
      </c>
    </row>
    <row r="233">
      <c r="A233" s="27" t="s">
        <v>42</v>
      </c>
      <c r="B233" s="27" t="s">
        <v>744</v>
      </c>
      <c r="C233" s="27" t="s">
        <v>745</v>
      </c>
      <c r="D233" s="27" t="s">
        <v>746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1418</f>
        <v>1418.0</v>
      </c>
      <c r="L233" s="34" t="s">
        <v>48</v>
      </c>
      <c r="M233" s="33" t="n">
        <f>1530</f>
        <v>1530.0</v>
      </c>
      <c r="N233" s="34" t="s">
        <v>51</v>
      </c>
      <c r="O233" s="33" t="n">
        <f>1418</f>
        <v>1418.0</v>
      </c>
      <c r="P233" s="34" t="s">
        <v>48</v>
      </c>
      <c r="Q233" s="33" t="n">
        <f>1530</f>
        <v>1530.0</v>
      </c>
      <c r="R233" s="34" t="s">
        <v>51</v>
      </c>
      <c r="S233" s="35" t="n">
        <f>1476.46</f>
        <v>1476.46</v>
      </c>
      <c r="T233" s="32" t="n">
        <f>2500</f>
        <v>2500.0</v>
      </c>
      <c r="U233" s="32" t="str">
        <f>"－"</f>
        <v>－</v>
      </c>
      <c r="V233" s="32" t="n">
        <f>3693225</f>
        <v>3693225.0</v>
      </c>
      <c r="W233" s="32" t="str">
        <f>"－"</f>
        <v>－</v>
      </c>
      <c r="X233" s="36" t="n">
        <f>13</f>
        <v>13.0</v>
      </c>
    </row>
    <row r="234">
      <c r="A234" s="27" t="s">
        <v>42</v>
      </c>
      <c r="B234" s="27" t="s">
        <v>747</v>
      </c>
      <c r="C234" s="27" t="s">
        <v>748</v>
      </c>
      <c r="D234" s="27" t="s">
        <v>749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901</f>
        <v>901.0</v>
      </c>
      <c r="L234" s="34" t="s">
        <v>48</v>
      </c>
      <c r="M234" s="33" t="n">
        <f>914.1</f>
        <v>914.1</v>
      </c>
      <c r="N234" s="34" t="s">
        <v>49</v>
      </c>
      <c r="O234" s="33" t="n">
        <f>894.4</f>
        <v>894.4</v>
      </c>
      <c r="P234" s="34" t="s">
        <v>225</v>
      </c>
      <c r="Q234" s="33" t="n">
        <f>908.6</f>
        <v>908.6</v>
      </c>
      <c r="R234" s="34" t="s">
        <v>51</v>
      </c>
      <c r="S234" s="35" t="n">
        <f>902.13</f>
        <v>902.13</v>
      </c>
      <c r="T234" s="32" t="n">
        <f>250450</f>
        <v>250450.0</v>
      </c>
      <c r="U234" s="32" t="n">
        <f>145780</f>
        <v>145780.0</v>
      </c>
      <c r="V234" s="32" t="n">
        <f>225620416</f>
        <v>2.25620416E8</v>
      </c>
      <c r="W234" s="32" t="n">
        <f>131359367</f>
        <v>1.31359367E8</v>
      </c>
      <c r="X234" s="36" t="n">
        <f>19</f>
        <v>19.0</v>
      </c>
    </row>
    <row r="235">
      <c r="A235" s="27" t="s">
        <v>42</v>
      </c>
      <c r="B235" s="27" t="s">
        <v>750</v>
      </c>
      <c r="C235" s="27" t="s">
        <v>751</v>
      </c>
      <c r="D235" s="27" t="s">
        <v>752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2055</f>
        <v>2055.0</v>
      </c>
      <c r="L235" s="34" t="s">
        <v>48</v>
      </c>
      <c r="M235" s="33" t="n">
        <f>2060</f>
        <v>2060.0</v>
      </c>
      <c r="N235" s="34" t="s">
        <v>62</v>
      </c>
      <c r="O235" s="33" t="n">
        <f>1966.5</f>
        <v>1966.5</v>
      </c>
      <c r="P235" s="34" t="s">
        <v>50</v>
      </c>
      <c r="Q235" s="33" t="n">
        <f>2048.5</f>
        <v>2048.5</v>
      </c>
      <c r="R235" s="34" t="s">
        <v>51</v>
      </c>
      <c r="S235" s="35" t="n">
        <f>2023.16</f>
        <v>2023.16</v>
      </c>
      <c r="T235" s="32" t="n">
        <f>36500</f>
        <v>36500.0</v>
      </c>
      <c r="U235" s="32" t="str">
        <f>"－"</f>
        <v>－</v>
      </c>
      <c r="V235" s="32" t="n">
        <f>73248270</f>
        <v>7.324827E7</v>
      </c>
      <c r="W235" s="32" t="str">
        <f>"－"</f>
        <v>－</v>
      </c>
      <c r="X235" s="36" t="n">
        <f>16</f>
        <v>16.0</v>
      </c>
    </row>
    <row r="236">
      <c r="A236" s="27" t="s">
        <v>42</v>
      </c>
      <c r="B236" s="27" t="s">
        <v>753</v>
      </c>
      <c r="C236" s="27" t="s">
        <v>754</v>
      </c>
      <c r="D236" s="27" t="s">
        <v>755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2028</f>
        <v>2028.0</v>
      </c>
      <c r="L236" s="34" t="s">
        <v>48</v>
      </c>
      <c r="M236" s="33" t="n">
        <f>2047</f>
        <v>2047.0</v>
      </c>
      <c r="N236" s="34" t="s">
        <v>51</v>
      </c>
      <c r="O236" s="33" t="n">
        <f>1966</f>
        <v>1966.0</v>
      </c>
      <c r="P236" s="34" t="s">
        <v>50</v>
      </c>
      <c r="Q236" s="33" t="n">
        <f>2047</f>
        <v>2047.0</v>
      </c>
      <c r="R236" s="34" t="s">
        <v>51</v>
      </c>
      <c r="S236" s="35" t="n">
        <f>2014.89</f>
        <v>2014.89</v>
      </c>
      <c r="T236" s="32" t="n">
        <f>417830</f>
        <v>417830.0</v>
      </c>
      <c r="U236" s="32" t="n">
        <f>167070</f>
        <v>167070.0</v>
      </c>
      <c r="V236" s="32" t="n">
        <f>841790290</f>
        <v>8.4179029E8</v>
      </c>
      <c r="W236" s="32" t="n">
        <f>337544490</f>
        <v>3.3754449E8</v>
      </c>
      <c r="X236" s="36" t="n">
        <f>19</f>
        <v>19.0</v>
      </c>
    </row>
    <row r="237">
      <c r="A237" s="27" t="s">
        <v>42</v>
      </c>
      <c r="B237" s="27" t="s">
        <v>756</v>
      </c>
      <c r="C237" s="27" t="s">
        <v>757</v>
      </c>
      <c r="D237" s="27" t="s">
        <v>758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1909.5</f>
        <v>1909.5</v>
      </c>
      <c r="L237" s="34" t="s">
        <v>48</v>
      </c>
      <c r="M237" s="33" t="n">
        <f>1924.5</f>
        <v>1924.5</v>
      </c>
      <c r="N237" s="34" t="s">
        <v>73</v>
      </c>
      <c r="O237" s="33" t="n">
        <f>1843.5</f>
        <v>1843.5</v>
      </c>
      <c r="P237" s="34" t="s">
        <v>50</v>
      </c>
      <c r="Q237" s="33" t="n">
        <f>1907</f>
        <v>1907.0</v>
      </c>
      <c r="R237" s="34" t="s">
        <v>125</v>
      </c>
      <c r="S237" s="35" t="n">
        <f>1881.91</f>
        <v>1881.91</v>
      </c>
      <c r="T237" s="32" t="n">
        <f>49060</f>
        <v>49060.0</v>
      </c>
      <c r="U237" s="32" t="str">
        <f>"－"</f>
        <v>－</v>
      </c>
      <c r="V237" s="32" t="n">
        <f>91558095</f>
        <v>9.1558095E7</v>
      </c>
      <c r="W237" s="32" t="str">
        <f>"－"</f>
        <v>－</v>
      </c>
      <c r="X237" s="36" t="n">
        <f>11</f>
        <v>11.0</v>
      </c>
    </row>
    <row r="238">
      <c r="A238" s="27" t="s">
        <v>42</v>
      </c>
      <c r="B238" s="27" t="s">
        <v>759</v>
      </c>
      <c r="C238" s="27" t="s">
        <v>760</v>
      </c>
      <c r="D238" s="27" t="s">
        <v>761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15470</f>
        <v>15470.0</v>
      </c>
      <c r="L238" s="34" t="s">
        <v>48</v>
      </c>
      <c r="M238" s="33" t="n">
        <f>15605</f>
        <v>15605.0</v>
      </c>
      <c r="N238" s="34" t="s">
        <v>73</v>
      </c>
      <c r="O238" s="33" t="n">
        <f>14375</f>
        <v>14375.0</v>
      </c>
      <c r="P238" s="34" t="s">
        <v>125</v>
      </c>
      <c r="Q238" s="33" t="n">
        <f>15340</f>
        <v>15340.0</v>
      </c>
      <c r="R238" s="34" t="s">
        <v>51</v>
      </c>
      <c r="S238" s="35" t="n">
        <f>14919.47</f>
        <v>14919.47</v>
      </c>
      <c r="T238" s="32" t="n">
        <f>1477192</f>
        <v>1477192.0</v>
      </c>
      <c r="U238" s="32" t="n">
        <f>300419</f>
        <v>300419.0</v>
      </c>
      <c r="V238" s="32" t="n">
        <f>22010945386</f>
        <v>2.2010945386E10</v>
      </c>
      <c r="W238" s="32" t="n">
        <f>4530113421</f>
        <v>4.530113421E9</v>
      </c>
      <c r="X238" s="36" t="n">
        <f>19</f>
        <v>19.0</v>
      </c>
    </row>
    <row r="239">
      <c r="A239" s="27" t="s">
        <v>42</v>
      </c>
      <c r="B239" s="27" t="s">
        <v>762</v>
      </c>
      <c r="C239" s="27" t="s">
        <v>763</v>
      </c>
      <c r="D239" s="27" t="s">
        <v>764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14085</f>
        <v>14085.0</v>
      </c>
      <c r="L239" s="34" t="s">
        <v>48</v>
      </c>
      <c r="M239" s="33" t="n">
        <f>14175</f>
        <v>14175.0</v>
      </c>
      <c r="N239" s="34" t="s">
        <v>48</v>
      </c>
      <c r="O239" s="33" t="n">
        <f>13195</f>
        <v>13195.0</v>
      </c>
      <c r="P239" s="34" t="s">
        <v>277</v>
      </c>
      <c r="Q239" s="33" t="n">
        <f>13885</f>
        <v>13885.0</v>
      </c>
      <c r="R239" s="34" t="s">
        <v>51</v>
      </c>
      <c r="S239" s="35" t="n">
        <f>13585</f>
        <v>13585.0</v>
      </c>
      <c r="T239" s="32" t="n">
        <f>200243</f>
        <v>200243.0</v>
      </c>
      <c r="U239" s="32" t="n">
        <f>7</f>
        <v>7.0</v>
      </c>
      <c r="V239" s="32" t="n">
        <f>2717679190</f>
        <v>2.71767919E9</v>
      </c>
      <c r="W239" s="32" t="n">
        <f>97760</f>
        <v>97760.0</v>
      </c>
      <c r="X239" s="36" t="n">
        <f>19</f>
        <v>19.0</v>
      </c>
    </row>
    <row r="240">
      <c r="A240" s="27" t="s">
        <v>42</v>
      </c>
      <c r="B240" s="27" t="s">
        <v>765</v>
      </c>
      <c r="C240" s="27" t="s">
        <v>766</v>
      </c>
      <c r="D240" s="27" t="s">
        <v>767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25540</f>
        <v>25540.0</v>
      </c>
      <c r="L240" s="34" t="s">
        <v>48</v>
      </c>
      <c r="M240" s="33" t="n">
        <f>25585</f>
        <v>25585.0</v>
      </c>
      <c r="N240" s="34" t="s">
        <v>49</v>
      </c>
      <c r="O240" s="33" t="n">
        <f>24400</f>
        <v>24400.0</v>
      </c>
      <c r="P240" s="34" t="s">
        <v>50</v>
      </c>
      <c r="Q240" s="33" t="n">
        <f>25585</f>
        <v>25585.0</v>
      </c>
      <c r="R240" s="34" t="s">
        <v>49</v>
      </c>
      <c r="S240" s="35" t="n">
        <f>25000</f>
        <v>25000.0</v>
      </c>
      <c r="T240" s="32" t="n">
        <f>12</f>
        <v>12.0</v>
      </c>
      <c r="U240" s="32" t="str">
        <f>"－"</f>
        <v>－</v>
      </c>
      <c r="V240" s="32" t="n">
        <f>298925</f>
        <v>298925.0</v>
      </c>
      <c r="W240" s="32" t="str">
        <f>"－"</f>
        <v>－</v>
      </c>
      <c r="X240" s="36" t="n">
        <f>6</f>
        <v>6.0</v>
      </c>
    </row>
    <row r="241">
      <c r="A241" s="27" t="s">
        <v>42</v>
      </c>
      <c r="B241" s="27" t="s">
        <v>768</v>
      </c>
      <c r="C241" s="27" t="s">
        <v>769</v>
      </c>
      <c r="D241" s="27" t="s">
        <v>770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2634</f>
        <v>2634.0</v>
      </c>
      <c r="L241" s="34" t="s">
        <v>48</v>
      </c>
      <c r="M241" s="33" t="n">
        <f>2637</f>
        <v>2637.0</v>
      </c>
      <c r="N241" s="34" t="s">
        <v>277</v>
      </c>
      <c r="O241" s="33" t="n">
        <f>2611</f>
        <v>2611.0</v>
      </c>
      <c r="P241" s="34" t="s">
        <v>50</v>
      </c>
      <c r="Q241" s="33" t="n">
        <f>2620</f>
        <v>2620.0</v>
      </c>
      <c r="R241" s="34" t="s">
        <v>51</v>
      </c>
      <c r="S241" s="35" t="n">
        <f>2620.63</f>
        <v>2620.63</v>
      </c>
      <c r="T241" s="32" t="n">
        <f>8367146</f>
        <v>8367146.0</v>
      </c>
      <c r="U241" s="32" t="n">
        <f>8064747</f>
        <v>8064747.0</v>
      </c>
      <c r="V241" s="32" t="n">
        <f>21984910523</f>
        <v>2.1984910523E10</v>
      </c>
      <c r="W241" s="32" t="n">
        <f>21192001310</f>
        <v>2.119200131E10</v>
      </c>
      <c r="X241" s="36" t="n">
        <f>19</f>
        <v>19.0</v>
      </c>
    </row>
    <row r="242">
      <c r="A242" s="27" t="s">
        <v>42</v>
      </c>
      <c r="B242" s="27" t="s">
        <v>771</v>
      </c>
      <c r="C242" s="27" t="s">
        <v>772</v>
      </c>
      <c r="D242" s="27" t="s">
        <v>773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2848.5</f>
        <v>2848.5</v>
      </c>
      <c r="L242" s="34" t="s">
        <v>48</v>
      </c>
      <c r="M242" s="33" t="n">
        <f>2893</f>
        <v>2893.0</v>
      </c>
      <c r="N242" s="34" t="s">
        <v>48</v>
      </c>
      <c r="O242" s="33" t="n">
        <f>2700</f>
        <v>2700.0</v>
      </c>
      <c r="P242" s="34" t="s">
        <v>188</v>
      </c>
      <c r="Q242" s="33" t="n">
        <f>2870</f>
        <v>2870.0</v>
      </c>
      <c r="R242" s="34" t="s">
        <v>51</v>
      </c>
      <c r="S242" s="35" t="n">
        <f>2787.32</f>
        <v>2787.32</v>
      </c>
      <c r="T242" s="32" t="n">
        <f>2180260</f>
        <v>2180260.0</v>
      </c>
      <c r="U242" s="32" t="n">
        <f>1076320</f>
        <v>1076320.0</v>
      </c>
      <c r="V242" s="32" t="n">
        <f>6084615074</f>
        <v>6.084615074E9</v>
      </c>
      <c r="W242" s="32" t="n">
        <f>3018425434</f>
        <v>3.018425434E9</v>
      </c>
      <c r="X242" s="36" t="n">
        <f>19</f>
        <v>19.0</v>
      </c>
    </row>
    <row r="243">
      <c r="A243" s="27" t="s">
        <v>42</v>
      </c>
      <c r="B243" s="27" t="s">
        <v>774</v>
      </c>
      <c r="C243" s="27" t="s">
        <v>775</v>
      </c>
      <c r="D243" s="27" t="s">
        <v>776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268.5</f>
        <v>268.5</v>
      </c>
      <c r="L243" s="34" t="s">
        <v>48</v>
      </c>
      <c r="M243" s="33" t="n">
        <f>271.6</f>
        <v>271.6</v>
      </c>
      <c r="N243" s="34" t="s">
        <v>49</v>
      </c>
      <c r="O243" s="33" t="n">
        <f>252.7</f>
        <v>252.7</v>
      </c>
      <c r="P243" s="34" t="s">
        <v>69</v>
      </c>
      <c r="Q243" s="33" t="n">
        <f>269.7</f>
        <v>269.7</v>
      </c>
      <c r="R243" s="34" t="s">
        <v>51</v>
      </c>
      <c r="S243" s="35" t="n">
        <f>260.65</f>
        <v>260.65</v>
      </c>
      <c r="T243" s="32" t="n">
        <f>44024190</f>
        <v>4.402419E7</v>
      </c>
      <c r="U243" s="32" t="n">
        <f>5193450</f>
        <v>5193450.0</v>
      </c>
      <c r="V243" s="32" t="n">
        <f>11455779908</f>
        <v>1.1455779908E10</v>
      </c>
      <c r="W243" s="32" t="n">
        <f>1376797717</f>
        <v>1.376797717E9</v>
      </c>
      <c r="X243" s="36" t="n">
        <f>19</f>
        <v>19.0</v>
      </c>
    </row>
    <row r="244">
      <c r="A244" s="27" t="s">
        <v>42</v>
      </c>
      <c r="B244" s="27" t="s">
        <v>777</v>
      </c>
      <c r="C244" s="27" t="s">
        <v>778</v>
      </c>
      <c r="D244" s="27" t="s">
        <v>779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1977</f>
        <v>1977.0</v>
      </c>
      <c r="L244" s="34" t="s">
        <v>48</v>
      </c>
      <c r="M244" s="33" t="n">
        <f>2012</f>
        <v>2012.0</v>
      </c>
      <c r="N244" s="34" t="s">
        <v>175</v>
      </c>
      <c r="O244" s="33" t="n">
        <f>1934</f>
        <v>1934.0</v>
      </c>
      <c r="P244" s="34" t="s">
        <v>162</v>
      </c>
      <c r="Q244" s="33" t="n">
        <f>1975</f>
        <v>1975.0</v>
      </c>
      <c r="R244" s="34" t="s">
        <v>51</v>
      </c>
      <c r="S244" s="35" t="n">
        <f>1979.32</f>
        <v>1979.32</v>
      </c>
      <c r="T244" s="32" t="n">
        <f>58582</f>
        <v>58582.0</v>
      </c>
      <c r="U244" s="32" t="n">
        <f>8</f>
        <v>8.0</v>
      </c>
      <c r="V244" s="32" t="n">
        <f>115734288</f>
        <v>1.15734288E8</v>
      </c>
      <c r="W244" s="32" t="n">
        <f>15828</f>
        <v>15828.0</v>
      </c>
      <c r="X244" s="36" t="n">
        <f>19</f>
        <v>19.0</v>
      </c>
    </row>
    <row r="245">
      <c r="A245" s="27" t="s">
        <v>42</v>
      </c>
      <c r="B245" s="27" t="s">
        <v>780</v>
      </c>
      <c r="C245" s="27" t="s">
        <v>781</v>
      </c>
      <c r="D245" s="27" t="s">
        <v>782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1122</f>
        <v>1122.0</v>
      </c>
      <c r="L245" s="34" t="s">
        <v>48</v>
      </c>
      <c r="M245" s="33" t="n">
        <f>1144</f>
        <v>1144.0</v>
      </c>
      <c r="N245" s="34" t="s">
        <v>48</v>
      </c>
      <c r="O245" s="33" t="n">
        <f>1089</f>
        <v>1089.0</v>
      </c>
      <c r="P245" s="34" t="s">
        <v>50</v>
      </c>
      <c r="Q245" s="33" t="n">
        <f>1129</f>
        <v>1129.0</v>
      </c>
      <c r="R245" s="34" t="s">
        <v>51</v>
      </c>
      <c r="S245" s="35" t="n">
        <f>1118.42</f>
        <v>1118.42</v>
      </c>
      <c r="T245" s="32" t="n">
        <f>175330</f>
        <v>175330.0</v>
      </c>
      <c r="U245" s="32" t="n">
        <f>9</f>
        <v>9.0</v>
      </c>
      <c r="V245" s="32" t="n">
        <f>194128413</f>
        <v>1.94128413E8</v>
      </c>
      <c r="W245" s="32" t="n">
        <f>10086</f>
        <v>10086.0</v>
      </c>
      <c r="X245" s="36" t="n">
        <f>19</f>
        <v>19.0</v>
      </c>
    </row>
    <row r="246">
      <c r="A246" s="27" t="s">
        <v>42</v>
      </c>
      <c r="B246" s="27" t="s">
        <v>783</v>
      </c>
      <c r="C246" s="27" t="s">
        <v>784</v>
      </c>
      <c r="D246" s="27" t="s">
        <v>785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1131.5</f>
        <v>1131.5</v>
      </c>
      <c r="L246" s="34" t="s">
        <v>48</v>
      </c>
      <c r="M246" s="33" t="n">
        <f>1133</f>
        <v>1133.0</v>
      </c>
      <c r="N246" s="34" t="s">
        <v>74</v>
      </c>
      <c r="O246" s="33" t="n">
        <f>1093.5</f>
        <v>1093.5</v>
      </c>
      <c r="P246" s="34" t="s">
        <v>162</v>
      </c>
      <c r="Q246" s="33" t="n">
        <f>1122</f>
        <v>1122.0</v>
      </c>
      <c r="R246" s="34" t="s">
        <v>51</v>
      </c>
      <c r="S246" s="35" t="n">
        <f>1119.06</f>
        <v>1119.06</v>
      </c>
      <c r="T246" s="32" t="n">
        <f>963540</f>
        <v>963540.0</v>
      </c>
      <c r="U246" s="32" t="n">
        <f>900000</f>
        <v>900000.0</v>
      </c>
      <c r="V246" s="32" t="n">
        <f>1068900020</f>
        <v>1.06890002E9</v>
      </c>
      <c r="W246" s="32" t="n">
        <f>998330000</f>
        <v>9.9833E8</v>
      </c>
      <c r="X246" s="36" t="n">
        <f>18</f>
        <v>18.0</v>
      </c>
    </row>
    <row r="247">
      <c r="A247" s="27" t="s">
        <v>42</v>
      </c>
      <c r="B247" s="27" t="s">
        <v>786</v>
      </c>
      <c r="C247" s="27" t="s">
        <v>787</v>
      </c>
      <c r="D247" s="27" t="s">
        <v>788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236</f>
        <v>236.0</v>
      </c>
      <c r="L247" s="34" t="s">
        <v>48</v>
      </c>
      <c r="M247" s="33" t="n">
        <f>239</f>
        <v>239.0</v>
      </c>
      <c r="N247" s="34" t="s">
        <v>51</v>
      </c>
      <c r="O247" s="33" t="n">
        <f>230.9</f>
        <v>230.9</v>
      </c>
      <c r="P247" s="34" t="s">
        <v>50</v>
      </c>
      <c r="Q247" s="33" t="n">
        <f>236.1</f>
        <v>236.1</v>
      </c>
      <c r="R247" s="34" t="s">
        <v>51</v>
      </c>
      <c r="S247" s="35" t="n">
        <f>233.81</f>
        <v>233.81</v>
      </c>
      <c r="T247" s="32" t="n">
        <f>30890</f>
        <v>30890.0</v>
      </c>
      <c r="U247" s="32" t="str">
        <f>"－"</f>
        <v>－</v>
      </c>
      <c r="V247" s="32" t="n">
        <f>7256443</f>
        <v>7256443.0</v>
      </c>
      <c r="W247" s="32" t="str">
        <f>"－"</f>
        <v>－</v>
      </c>
      <c r="X247" s="36" t="n">
        <f>19</f>
        <v>19.0</v>
      </c>
    </row>
    <row r="248">
      <c r="A248" s="27" t="s">
        <v>42</v>
      </c>
      <c r="B248" s="27" t="s">
        <v>789</v>
      </c>
      <c r="C248" s="27" t="s">
        <v>790</v>
      </c>
      <c r="D248" s="27" t="s">
        <v>791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2880</f>
        <v>2880.0</v>
      </c>
      <c r="L248" s="34" t="s">
        <v>48</v>
      </c>
      <c r="M248" s="33" t="n">
        <f>2910</f>
        <v>2910.0</v>
      </c>
      <c r="N248" s="34" t="s">
        <v>48</v>
      </c>
      <c r="O248" s="33" t="n">
        <f>2577</f>
        <v>2577.0</v>
      </c>
      <c r="P248" s="34" t="s">
        <v>277</v>
      </c>
      <c r="Q248" s="33" t="n">
        <f>2808.5</f>
        <v>2808.5</v>
      </c>
      <c r="R248" s="34" t="s">
        <v>51</v>
      </c>
      <c r="S248" s="35" t="n">
        <f>2728.5</f>
        <v>2728.5</v>
      </c>
      <c r="T248" s="32" t="n">
        <f>10299990</f>
        <v>1.029999E7</v>
      </c>
      <c r="U248" s="32" t="n">
        <f>20</f>
        <v>20.0</v>
      </c>
      <c r="V248" s="32" t="n">
        <f>27946001925</f>
        <v>2.7946001925E10</v>
      </c>
      <c r="W248" s="32" t="n">
        <f>53210</f>
        <v>53210.0</v>
      </c>
      <c r="X248" s="36" t="n">
        <f>19</f>
        <v>19.0</v>
      </c>
    </row>
    <row r="249">
      <c r="A249" s="27" t="s">
        <v>42</v>
      </c>
      <c r="B249" s="27" t="s">
        <v>792</v>
      </c>
      <c r="C249" s="27" t="s">
        <v>793</v>
      </c>
      <c r="D249" s="27" t="s">
        <v>794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2310.5</f>
        <v>2310.5</v>
      </c>
      <c r="L249" s="34" t="s">
        <v>48</v>
      </c>
      <c r="M249" s="33" t="n">
        <f>2315</f>
        <v>2315.0</v>
      </c>
      <c r="N249" s="34" t="s">
        <v>48</v>
      </c>
      <c r="O249" s="33" t="n">
        <f>2107.5</f>
        <v>2107.5</v>
      </c>
      <c r="P249" s="34" t="s">
        <v>277</v>
      </c>
      <c r="Q249" s="33" t="n">
        <f>2273.5</f>
        <v>2273.5</v>
      </c>
      <c r="R249" s="34" t="s">
        <v>51</v>
      </c>
      <c r="S249" s="35" t="n">
        <f>2195.32</f>
        <v>2195.32</v>
      </c>
      <c r="T249" s="32" t="n">
        <f>7251870</f>
        <v>7251870.0</v>
      </c>
      <c r="U249" s="32" t="n">
        <f>1508000</f>
        <v>1508000.0</v>
      </c>
      <c r="V249" s="32" t="n">
        <f>15970155433</f>
        <v>1.5970155433E10</v>
      </c>
      <c r="W249" s="32" t="n">
        <f>3317667648</f>
        <v>3.317667648E9</v>
      </c>
      <c r="X249" s="36" t="n">
        <f>19</f>
        <v>19.0</v>
      </c>
    </row>
    <row r="250">
      <c r="A250" s="27" t="s">
        <v>42</v>
      </c>
      <c r="B250" s="27" t="s">
        <v>795</v>
      </c>
      <c r="C250" s="27" t="s">
        <v>796</v>
      </c>
      <c r="D250" s="27" t="s">
        <v>797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2948</f>
        <v>2948.0</v>
      </c>
      <c r="L250" s="34" t="s">
        <v>48</v>
      </c>
      <c r="M250" s="33" t="n">
        <f>2958</f>
        <v>2958.0</v>
      </c>
      <c r="N250" s="34" t="s">
        <v>225</v>
      </c>
      <c r="O250" s="33" t="n">
        <f>2875</f>
        <v>2875.0</v>
      </c>
      <c r="P250" s="34" t="s">
        <v>277</v>
      </c>
      <c r="Q250" s="33" t="n">
        <f>2902</f>
        <v>2902.0</v>
      </c>
      <c r="R250" s="34" t="s">
        <v>51</v>
      </c>
      <c r="S250" s="35" t="n">
        <f>2914.21</f>
        <v>2914.21</v>
      </c>
      <c r="T250" s="32" t="n">
        <f>1252951</f>
        <v>1252951.0</v>
      </c>
      <c r="U250" s="32" t="n">
        <f>306300</f>
        <v>306300.0</v>
      </c>
      <c r="V250" s="32" t="n">
        <f>3648101405</f>
        <v>3.648101405E9</v>
      </c>
      <c r="W250" s="32" t="n">
        <f>899786290</f>
        <v>8.9978629E8</v>
      </c>
      <c r="X250" s="36" t="n">
        <f>19</f>
        <v>19.0</v>
      </c>
    </row>
    <row r="251">
      <c r="A251" s="27" t="s">
        <v>42</v>
      </c>
      <c r="B251" s="27" t="s">
        <v>798</v>
      </c>
      <c r="C251" s="27" t="s">
        <v>799</v>
      </c>
      <c r="D251" s="27" t="s">
        <v>800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1783</f>
        <v>1783.0</v>
      </c>
      <c r="L251" s="34" t="s">
        <v>48</v>
      </c>
      <c r="M251" s="33" t="n">
        <f>1790</f>
        <v>1790.0</v>
      </c>
      <c r="N251" s="34" t="s">
        <v>302</v>
      </c>
      <c r="O251" s="33" t="n">
        <f>1685</f>
        <v>1685.0</v>
      </c>
      <c r="P251" s="34" t="s">
        <v>225</v>
      </c>
      <c r="Q251" s="33" t="n">
        <f>1754</f>
        <v>1754.0</v>
      </c>
      <c r="R251" s="34" t="s">
        <v>51</v>
      </c>
      <c r="S251" s="35" t="n">
        <f>1746.21</f>
        <v>1746.21</v>
      </c>
      <c r="T251" s="32" t="n">
        <f>1445306</f>
        <v>1445306.0</v>
      </c>
      <c r="U251" s="32" t="n">
        <f>1</f>
        <v>1.0</v>
      </c>
      <c r="V251" s="32" t="n">
        <f>2511941187</f>
        <v>2.511941187E9</v>
      </c>
      <c r="W251" s="32" t="n">
        <f>1751</f>
        <v>1751.0</v>
      </c>
      <c r="X251" s="36" t="n">
        <f>19</f>
        <v>19.0</v>
      </c>
    </row>
    <row r="252">
      <c r="A252" s="27" t="s">
        <v>42</v>
      </c>
      <c r="B252" s="27" t="s">
        <v>801</v>
      </c>
      <c r="C252" s="27" t="s">
        <v>802</v>
      </c>
      <c r="D252" s="27" t="s">
        <v>803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2046</f>
        <v>2046.0</v>
      </c>
      <c r="L252" s="34" t="s">
        <v>48</v>
      </c>
      <c r="M252" s="33" t="n">
        <f>2051</f>
        <v>2051.0</v>
      </c>
      <c r="N252" s="34" t="s">
        <v>49</v>
      </c>
      <c r="O252" s="33" t="n">
        <f>1972</f>
        <v>1972.0</v>
      </c>
      <c r="P252" s="34" t="s">
        <v>69</v>
      </c>
      <c r="Q252" s="33" t="n">
        <f>2046</f>
        <v>2046.0</v>
      </c>
      <c r="R252" s="34" t="s">
        <v>51</v>
      </c>
      <c r="S252" s="35" t="n">
        <f>2003.32</f>
        <v>2003.32</v>
      </c>
      <c r="T252" s="32" t="n">
        <f>11979</f>
        <v>11979.0</v>
      </c>
      <c r="U252" s="32" t="str">
        <f>"－"</f>
        <v>－</v>
      </c>
      <c r="V252" s="32" t="n">
        <f>24064378</f>
        <v>2.4064378E7</v>
      </c>
      <c r="W252" s="32" t="str">
        <f>"－"</f>
        <v>－</v>
      </c>
      <c r="X252" s="36" t="n">
        <f>19</f>
        <v>19.0</v>
      </c>
    </row>
    <row r="253">
      <c r="A253" s="27" t="s">
        <v>42</v>
      </c>
      <c r="B253" s="27" t="s">
        <v>804</v>
      </c>
      <c r="C253" s="27" t="s">
        <v>805</v>
      </c>
      <c r="D253" s="27" t="s">
        <v>806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2313</f>
        <v>2313.0</v>
      </c>
      <c r="L253" s="34" t="s">
        <v>48</v>
      </c>
      <c r="M253" s="33" t="n">
        <f>2313</f>
        <v>2313.0</v>
      </c>
      <c r="N253" s="34" t="s">
        <v>48</v>
      </c>
      <c r="O253" s="33" t="n">
        <f>2259</f>
        <v>2259.0</v>
      </c>
      <c r="P253" s="34" t="s">
        <v>225</v>
      </c>
      <c r="Q253" s="33" t="n">
        <f>2279</f>
        <v>2279.0</v>
      </c>
      <c r="R253" s="34" t="s">
        <v>51</v>
      </c>
      <c r="S253" s="35" t="n">
        <f>2279.06</f>
        <v>2279.06</v>
      </c>
      <c r="T253" s="32" t="n">
        <f>9366</f>
        <v>9366.0</v>
      </c>
      <c r="U253" s="32" t="str">
        <f>"－"</f>
        <v>－</v>
      </c>
      <c r="V253" s="32" t="n">
        <f>21379698</f>
        <v>2.1379698E7</v>
      </c>
      <c r="W253" s="32" t="str">
        <f>"－"</f>
        <v>－</v>
      </c>
      <c r="X253" s="36" t="n">
        <f>16</f>
        <v>16.0</v>
      </c>
    </row>
    <row r="254">
      <c r="A254" s="27" t="s">
        <v>42</v>
      </c>
      <c r="B254" s="27" t="s">
        <v>807</v>
      </c>
      <c r="C254" s="27" t="s">
        <v>808</v>
      </c>
      <c r="D254" s="27" t="s">
        <v>809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2681</f>
        <v>2681.0</v>
      </c>
      <c r="L254" s="34" t="s">
        <v>48</v>
      </c>
      <c r="M254" s="33" t="n">
        <f>2753</f>
        <v>2753.0</v>
      </c>
      <c r="N254" s="34" t="s">
        <v>51</v>
      </c>
      <c r="O254" s="33" t="n">
        <f>2577</f>
        <v>2577.0</v>
      </c>
      <c r="P254" s="34" t="s">
        <v>50</v>
      </c>
      <c r="Q254" s="33" t="n">
        <f>2735</f>
        <v>2735.0</v>
      </c>
      <c r="R254" s="34" t="s">
        <v>51</v>
      </c>
      <c r="S254" s="35" t="n">
        <f>2673.21</f>
        <v>2673.21</v>
      </c>
      <c r="T254" s="32" t="n">
        <f>588234</f>
        <v>588234.0</v>
      </c>
      <c r="U254" s="32" t="n">
        <f>362393</f>
        <v>362393.0</v>
      </c>
      <c r="V254" s="32" t="n">
        <f>1576276093</f>
        <v>1.576276093E9</v>
      </c>
      <c r="W254" s="32" t="n">
        <f>976279374</f>
        <v>9.76279374E8</v>
      </c>
      <c r="X254" s="36" t="n">
        <f>19</f>
        <v>19.0</v>
      </c>
    </row>
    <row r="255">
      <c r="A255" s="27" t="s">
        <v>42</v>
      </c>
      <c r="B255" s="27" t="s">
        <v>810</v>
      </c>
      <c r="C255" s="27" t="s">
        <v>811</v>
      </c>
      <c r="D255" s="27" t="s">
        <v>812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1903</f>
        <v>1903.0</v>
      </c>
      <c r="L255" s="34" t="s">
        <v>48</v>
      </c>
      <c r="M255" s="33" t="n">
        <f>1929</f>
        <v>1929.0</v>
      </c>
      <c r="N255" s="34" t="s">
        <v>51</v>
      </c>
      <c r="O255" s="33" t="n">
        <f>1830</f>
        <v>1830.0</v>
      </c>
      <c r="P255" s="34" t="s">
        <v>50</v>
      </c>
      <c r="Q255" s="33" t="n">
        <f>1915</f>
        <v>1915.0</v>
      </c>
      <c r="R255" s="34" t="s">
        <v>51</v>
      </c>
      <c r="S255" s="35" t="n">
        <f>1882.05</f>
        <v>1882.05</v>
      </c>
      <c r="T255" s="32" t="n">
        <f>279823</f>
        <v>279823.0</v>
      </c>
      <c r="U255" s="32" t="str">
        <f>"－"</f>
        <v>－</v>
      </c>
      <c r="V255" s="32" t="n">
        <f>530674515</f>
        <v>5.30674515E8</v>
      </c>
      <c r="W255" s="32" t="str">
        <f>"－"</f>
        <v>－</v>
      </c>
      <c r="X255" s="36" t="n">
        <f>19</f>
        <v>19.0</v>
      </c>
    </row>
    <row r="256">
      <c r="A256" s="27" t="s">
        <v>42</v>
      </c>
      <c r="B256" s="27" t="s">
        <v>813</v>
      </c>
      <c r="C256" s="27" t="s">
        <v>814</v>
      </c>
      <c r="D256" s="27" t="s">
        <v>815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1932</f>
        <v>1932.0</v>
      </c>
      <c r="L256" s="34" t="s">
        <v>48</v>
      </c>
      <c r="M256" s="33" t="n">
        <f>1932</f>
        <v>1932.0</v>
      </c>
      <c r="N256" s="34" t="s">
        <v>48</v>
      </c>
      <c r="O256" s="33" t="n">
        <f>1816</f>
        <v>1816.0</v>
      </c>
      <c r="P256" s="34" t="s">
        <v>162</v>
      </c>
      <c r="Q256" s="33" t="n">
        <f>1922</f>
        <v>1922.0</v>
      </c>
      <c r="R256" s="34" t="s">
        <v>51</v>
      </c>
      <c r="S256" s="35" t="n">
        <f>1890.53</f>
        <v>1890.53</v>
      </c>
      <c r="T256" s="32" t="n">
        <f>14334</f>
        <v>14334.0</v>
      </c>
      <c r="U256" s="32" t="str">
        <f>"－"</f>
        <v>－</v>
      </c>
      <c r="V256" s="32" t="n">
        <f>26984854</f>
        <v>2.6984854E7</v>
      </c>
      <c r="W256" s="32" t="str">
        <f>"－"</f>
        <v>－</v>
      </c>
      <c r="X256" s="36" t="n">
        <f>19</f>
        <v>19.0</v>
      </c>
    </row>
    <row r="257">
      <c r="A257" s="27" t="s">
        <v>42</v>
      </c>
      <c r="B257" s="27" t="s">
        <v>816</v>
      </c>
      <c r="C257" s="27" t="s">
        <v>817</v>
      </c>
      <c r="D257" s="27" t="s">
        <v>818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1620</f>
        <v>1620.0</v>
      </c>
      <c r="L257" s="34" t="s">
        <v>48</v>
      </c>
      <c r="M257" s="33" t="n">
        <f>1620</f>
        <v>1620.0</v>
      </c>
      <c r="N257" s="34" t="s">
        <v>48</v>
      </c>
      <c r="O257" s="33" t="n">
        <f>1438</f>
        <v>1438.0</v>
      </c>
      <c r="P257" s="34" t="s">
        <v>50</v>
      </c>
      <c r="Q257" s="33" t="n">
        <f>1482</f>
        <v>1482.0</v>
      </c>
      <c r="R257" s="34" t="s">
        <v>51</v>
      </c>
      <c r="S257" s="35" t="n">
        <f>1491.53</f>
        <v>1491.53</v>
      </c>
      <c r="T257" s="32" t="n">
        <f>154148</f>
        <v>154148.0</v>
      </c>
      <c r="U257" s="32" t="str">
        <f>"－"</f>
        <v>－</v>
      </c>
      <c r="V257" s="32" t="n">
        <f>231590659</f>
        <v>2.31590659E8</v>
      </c>
      <c r="W257" s="32" t="str">
        <f>"－"</f>
        <v>－</v>
      </c>
      <c r="X257" s="36" t="n">
        <f>19</f>
        <v>19.0</v>
      </c>
    </row>
    <row r="258">
      <c r="A258" s="27" t="s">
        <v>42</v>
      </c>
      <c r="B258" s="27" t="s">
        <v>819</v>
      </c>
      <c r="C258" s="27" t="s">
        <v>820</v>
      </c>
      <c r="D258" s="27" t="s">
        <v>821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1861</f>
        <v>1861.0</v>
      </c>
      <c r="L258" s="34" t="s">
        <v>48</v>
      </c>
      <c r="M258" s="33" t="n">
        <f>2078</f>
        <v>2078.0</v>
      </c>
      <c r="N258" s="34" t="s">
        <v>125</v>
      </c>
      <c r="O258" s="33" t="n">
        <f>1838</f>
        <v>1838.0</v>
      </c>
      <c r="P258" s="34" t="s">
        <v>62</v>
      </c>
      <c r="Q258" s="33" t="n">
        <f>2010</f>
        <v>2010.0</v>
      </c>
      <c r="R258" s="34" t="s">
        <v>51</v>
      </c>
      <c r="S258" s="35" t="n">
        <f>1953.79</f>
        <v>1953.79</v>
      </c>
      <c r="T258" s="32" t="n">
        <f>20026</f>
        <v>20026.0</v>
      </c>
      <c r="U258" s="32" t="str">
        <f>"－"</f>
        <v>－</v>
      </c>
      <c r="V258" s="32" t="n">
        <f>39196359</f>
        <v>3.9196359E7</v>
      </c>
      <c r="W258" s="32" t="str">
        <f>"－"</f>
        <v>－</v>
      </c>
      <c r="X258" s="36" t="n">
        <f>19</f>
        <v>19.0</v>
      </c>
    </row>
    <row r="259">
      <c r="A259" s="27" t="s">
        <v>42</v>
      </c>
      <c r="B259" s="27" t="s">
        <v>822</v>
      </c>
      <c r="C259" s="27" t="s">
        <v>823</v>
      </c>
      <c r="D259" s="27" t="s">
        <v>824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2350</f>
        <v>2350.0</v>
      </c>
      <c r="L259" s="34" t="s">
        <v>48</v>
      </c>
      <c r="M259" s="33" t="n">
        <f>2428</f>
        <v>2428.0</v>
      </c>
      <c r="N259" s="34" t="s">
        <v>125</v>
      </c>
      <c r="O259" s="33" t="n">
        <f>2250</f>
        <v>2250.0</v>
      </c>
      <c r="P259" s="34" t="s">
        <v>62</v>
      </c>
      <c r="Q259" s="33" t="n">
        <f>2421</f>
        <v>2421.0</v>
      </c>
      <c r="R259" s="34" t="s">
        <v>51</v>
      </c>
      <c r="S259" s="35" t="n">
        <f>2349</f>
        <v>2349.0</v>
      </c>
      <c r="T259" s="32" t="n">
        <f>3578</f>
        <v>3578.0</v>
      </c>
      <c r="U259" s="32" t="str">
        <f>"－"</f>
        <v>－</v>
      </c>
      <c r="V259" s="32" t="n">
        <f>8371259</f>
        <v>8371259.0</v>
      </c>
      <c r="W259" s="32" t="str">
        <f>"－"</f>
        <v>－</v>
      </c>
      <c r="X259" s="36" t="n">
        <f>19</f>
        <v>19.0</v>
      </c>
    </row>
    <row r="260">
      <c r="A260" s="27" t="s">
        <v>42</v>
      </c>
      <c r="B260" s="27" t="s">
        <v>825</v>
      </c>
      <c r="C260" s="27" t="s">
        <v>826</v>
      </c>
      <c r="D260" s="27" t="s">
        <v>827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10670</f>
        <v>10670.0</v>
      </c>
      <c r="L260" s="34" t="s">
        <v>48</v>
      </c>
      <c r="M260" s="33" t="n">
        <f>10805</f>
        <v>10805.0</v>
      </c>
      <c r="N260" s="34" t="s">
        <v>49</v>
      </c>
      <c r="O260" s="33" t="n">
        <f>10055</f>
        <v>10055.0</v>
      </c>
      <c r="P260" s="34" t="s">
        <v>69</v>
      </c>
      <c r="Q260" s="33" t="n">
        <f>10735</f>
        <v>10735.0</v>
      </c>
      <c r="R260" s="34" t="s">
        <v>51</v>
      </c>
      <c r="S260" s="35" t="n">
        <f>10370.79</f>
        <v>10370.79</v>
      </c>
      <c r="T260" s="32" t="n">
        <f>540829</f>
        <v>540829.0</v>
      </c>
      <c r="U260" s="32" t="n">
        <f>307140</f>
        <v>307140.0</v>
      </c>
      <c r="V260" s="32" t="n">
        <f>5628811759</f>
        <v>5.628811759E9</v>
      </c>
      <c r="W260" s="32" t="n">
        <f>3192845999</f>
        <v>3.192845999E9</v>
      </c>
      <c r="X260" s="36" t="n">
        <f>19</f>
        <v>19.0</v>
      </c>
    </row>
    <row r="261">
      <c r="A261" s="27" t="s">
        <v>42</v>
      </c>
      <c r="B261" s="27" t="s">
        <v>828</v>
      </c>
      <c r="C261" s="27" t="s">
        <v>829</v>
      </c>
      <c r="D261" s="27" t="s">
        <v>830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12050</f>
        <v>12050.0</v>
      </c>
      <c r="L261" s="34" t="s">
        <v>48</v>
      </c>
      <c r="M261" s="33" t="n">
        <f>12160</f>
        <v>12160.0</v>
      </c>
      <c r="N261" s="34" t="s">
        <v>48</v>
      </c>
      <c r="O261" s="33" t="n">
        <f>10760</f>
        <v>10760.0</v>
      </c>
      <c r="P261" s="34" t="s">
        <v>277</v>
      </c>
      <c r="Q261" s="33" t="n">
        <f>11720</f>
        <v>11720.0</v>
      </c>
      <c r="R261" s="34" t="s">
        <v>51</v>
      </c>
      <c r="S261" s="35" t="n">
        <f>11395</f>
        <v>11395.0</v>
      </c>
      <c r="T261" s="32" t="n">
        <f>1967445</f>
        <v>1967445.0</v>
      </c>
      <c r="U261" s="32" t="n">
        <f>180011</f>
        <v>180011.0</v>
      </c>
      <c r="V261" s="32" t="n">
        <f>22312935970</f>
        <v>2.231293597E10</v>
      </c>
      <c r="W261" s="32" t="n">
        <f>2035130595</f>
        <v>2.035130595E9</v>
      </c>
      <c r="X261" s="36" t="n">
        <f>19</f>
        <v>19.0</v>
      </c>
    </row>
    <row r="262">
      <c r="A262" s="27" t="s">
        <v>42</v>
      </c>
      <c r="B262" s="27" t="s">
        <v>831</v>
      </c>
      <c r="C262" s="27" t="s">
        <v>832</v>
      </c>
      <c r="D262" s="27" t="s">
        <v>833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9641</f>
        <v>9641.0</v>
      </c>
      <c r="L262" s="34" t="s">
        <v>48</v>
      </c>
      <c r="M262" s="33" t="n">
        <f>9719</f>
        <v>9719.0</v>
      </c>
      <c r="N262" s="34" t="s">
        <v>48</v>
      </c>
      <c r="O262" s="33" t="n">
        <f>8848</f>
        <v>8848.0</v>
      </c>
      <c r="P262" s="34" t="s">
        <v>277</v>
      </c>
      <c r="Q262" s="33" t="n">
        <f>9542</f>
        <v>9542.0</v>
      </c>
      <c r="R262" s="34" t="s">
        <v>51</v>
      </c>
      <c r="S262" s="35" t="n">
        <f>9215.58</f>
        <v>9215.58</v>
      </c>
      <c r="T262" s="32" t="n">
        <f>1810399</f>
        <v>1810399.0</v>
      </c>
      <c r="U262" s="32" t="n">
        <f>160150</f>
        <v>160150.0</v>
      </c>
      <c r="V262" s="32" t="n">
        <f>16673267187</f>
        <v>1.6673267187E10</v>
      </c>
      <c r="W262" s="32" t="n">
        <f>1531606071</f>
        <v>1.531606071E9</v>
      </c>
      <c r="X262" s="36" t="n">
        <f>19</f>
        <v>19.0</v>
      </c>
    </row>
    <row r="263">
      <c r="A263" s="27" t="s">
        <v>42</v>
      </c>
      <c r="B263" s="27" t="s">
        <v>834</v>
      </c>
      <c r="C263" s="27" t="s">
        <v>835</v>
      </c>
      <c r="D263" s="27" t="s">
        <v>836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10.0</v>
      </c>
      <c r="K263" s="33" t="n">
        <f>2491.5</f>
        <v>2491.5</v>
      </c>
      <c r="L263" s="34" t="s">
        <v>48</v>
      </c>
      <c r="M263" s="33" t="n">
        <f>2518.5</f>
        <v>2518.5</v>
      </c>
      <c r="N263" s="34" t="s">
        <v>48</v>
      </c>
      <c r="O263" s="33" t="n">
        <f>2318</f>
        <v>2318.0</v>
      </c>
      <c r="P263" s="34" t="s">
        <v>69</v>
      </c>
      <c r="Q263" s="33" t="n">
        <f>2470</f>
        <v>2470.0</v>
      </c>
      <c r="R263" s="34" t="s">
        <v>51</v>
      </c>
      <c r="S263" s="35" t="n">
        <f>2403.47</f>
        <v>2403.47</v>
      </c>
      <c r="T263" s="32" t="n">
        <f>934710</f>
        <v>934710.0</v>
      </c>
      <c r="U263" s="32" t="str">
        <f>"－"</f>
        <v>－</v>
      </c>
      <c r="V263" s="32" t="n">
        <f>2242103030</f>
        <v>2.24210303E9</v>
      </c>
      <c r="W263" s="32" t="str">
        <f>"－"</f>
        <v>－</v>
      </c>
      <c r="X263" s="36" t="n">
        <f>19</f>
        <v>19.0</v>
      </c>
    </row>
    <row r="264">
      <c r="A264" s="27" t="s">
        <v>42</v>
      </c>
      <c r="B264" s="27" t="s">
        <v>837</v>
      </c>
      <c r="C264" s="27" t="s">
        <v>838</v>
      </c>
      <c r="D264" s="27" t="s">
        <v>839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2110.5</f>
        <v>2110.5</v>
      </c>
      <c r="L264" s="34" t="s">
        <v>48</v>
      </c>
      <c r="M264" s="33" t="n">
        <f>2165</f>
        <v>2165.0</v>
      </c>
      <c r="N264" s="34" t="s">
        <v>48</v>
      </c>
      <c r="O264" s="33" t="n">
        <f>1967.5</f>
        <v>1967.5</v>
      </c>
      <c r="P264" s="34" t="s">
        <v>69</v>
      </c>
      <c r="Q264" s="33" t="n">
        <f>2099</f>
        <v>2099.0</v>
      </c>
      <c r="R264" s="34" t="s">
        <v>51</v>
      </c>
      <c r="S264" s="35" t="n">
        <f>2029.34</f>
        <v>2029.34</v>
      </c>
      <c r="T264" s="32" t="n">
        <f>5083900</f>
        <v>5083900.0</v>
      </c>
      <c r="U264" s="32" t="n">
        <f>2355100</f>
        <v>2355100.0</v>
      </c>
      <c r="V264" s="32" t="n">
        <f>10343880346</f>
        <v>1.0343880346E10</v>
      </c>
      <c r="W264" s="32" t="n">
        <f>4779908831</f>
        <v>4.779908831E9</v>
      </c>
      <c r="X264" s="36" t="n">
        <f>19</f>
        <v>19.0</v>
      </c>
    </row>
    <row r="265">
      <c r="A265" s="27" t="s">
        <v>42</v>
      </c>
      <c r="B265" s="27" t="s">
        <v>840</v>
      </c>
      <c r="C265" s="27" t="s">
        <v>841</v>
      </c>
      <c r="D265" s="27" t="s">
        <v>842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2504</f>
        <v>2504.0</v>
      </c>
      <c r="L265" s="34" t="s">
        <v>48</v>
      </c>
      <c r="M265" s="33" t="n">
        <f>2571</f>
        <v>2571.0</v>
      </c>
      <c r="N265" s="34" t="s">
        <v>48</v>
      </c>
      <c r="O265" s="33" t="n">
        <f>2373</f>
        <v>2373.0</v>
      </c>
      <c r="P265" s="34" t="s">
        <v>188</v>
      </c>
      <c r="Q265" s="33" t="n">
        <f>2533.5</f>
        <v>2533.5</v>
      </c>
      <c r="R265" s="34" t="s">
        <v>51</v>
      </c>
      <c r="S265" s="35" t="n">
        <f>2463.74</f>
        <v>2463.74</v>
      </c>
      <c r="T265" s="32" t="n">
        <f>167600</f>
        <v>167600.0</v>
      </c>
      <c r="U265" s="32" t="n">
        <f>80000</f>
        <v>80000.0</v>
      </c>
      <c r="V265" s="32" t="n">
        <f>418178675</f>
        <v>4.18178675E8</v>
      </c>
      <c r="W265" s="32" t="n">
        <f>198048000</f>
        <v>1.98048E8</v>
      </c>
      <c r="X265" s="36" t="n">
        <f>19</f>
        <v>19.0</v>
      </c>
    </row>
    <row r="266">
      <c r="A266" s="27" t="s">
        <v>42</v>
      </c>
      <c r="B266" s="27" t="s">
        <v>843</v>
      </c>
      <c r="C266" s="27" t="s">
        <v>844</v>
      </c>
      <c r="D266" s="27" t="s">
        <v>845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2511</f>
        <v>2511.0</v>
      </c>
      <c r="L266" s="34" t="s">
        <v>48</v>
      </c>
      <c r="M266" s="33" t="n">
        <f>2556</f>
        <v>2556.0</v>
      </c>
      <c r="N266" s="34" t="s">
        <v>49</v>
      </c>
      <c r="O266" s="33" t="n">
        <f>2392</f>
        <v>2392.0</v>
      </c>
      <c r="P266" s="34" t="s">
        <v>62</v>
      </c>
      <c r="Q266" s="33" t="n">
        <f>2555</f>
        <v>2555.0</v>
      </c>
      <c r="R266" s="34" t="s">
        <v>51</v>
      </c>
      <c r="S266" s="35" t="n">
        <f>2476.89</f>
        <v>2476.89</v>
      </c>
      <c r="T266" s="32" t="n">
        <f>1165</f>
        <v>1165.0</v>
      </c>
      <c r="U266" s="32" t="str">
        <f>"－"</f>
        <v>－</v>
      </c>
      <c r="V266" s="32" t="n">
        <f>2889125</f>
        <v>2889125.0</v>
      </c>
      <c r="W266" s="32" t="str">
        <f>"－"</f>
        <v>－</v>
      </c>
      <c r="X266" s="36" t="n">
        <f>19</f>
        <v>19.0</v>
      </c>
    </row>
    <row r="267">
      <c r="A267" s="27" t="s">
        <v>42</v>
      </c>
      <c r="B267" s="27" t="s">
        <v>846</v>
      </c>
      <c r="C267" s="27" t="s">
        <v>847</v>
      </c>
      <c r="D267" s="27" t="s">
        <v>848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1491</f>
        <v>1491.0</v>
      </c>
      <c r="L267" s="34" t="s">
        <v>48</v>
      </c>
      <c r="M267" s="33" t="n">
        <f>1526</f>
        <v>1526.0</v>
      </c>
      <c r="N267" s="34" t="s">
        <v>51</v>
      </c>
      <c r="O267" s="33" t="n">
        <f>1439</f>
        <v>1439.0</v>
      </c>
      <c r="P267" s="34" t="s">
        <v>62</v>
      </c>
      <c r="Q267" s="33" t="n">
        <f>1516</f>
        <v>1516.0</v>
      </c>
      <c r="R267" s="34" t="s">
        <v>51</v>
      </c>
      <c r="S267" s="35" t="n">
        <f>1485.16</f>
        <v>1485.16</v>
      </c>
      <c r="T267" s="32" t="n">
        <f>121992</f>
        <v>121992.0</v>
      </c>
      <c r="U267" s="32" t="str">
        <f>"－"</f>
        <v>－</v>
      </c>
      <c r="V267" s="32" t="n">
        <f>179749199</f>
        <v>1.79749199E8</v>
      </c>
      <c r="W267" s="32" t="str">
        <f>"－"</f>
        <v>－</v>
      </c>
      <c r="X267" s="36" t="n">
        <f>19</f>
        <v>19.0</v>
      </c>
    </row>
    <row r="268">
      <c r="A268" s="27" t="s">
        <v>42</v>
      </c>
      <c r="B268" s="27" t="s">
        <v>849</v>
      </c>
      <c r="C268" s="27" t="s">
        <v>850</v>
      </c>
      <c r="D268" s="27" t="s">
        <v>851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1907</f>
        <v>1907.0</v>
      </c>
      <c r="L268" s="34" t="s">
        <v>48</v>
      </c>
      <c r="M268" s="33" t="n">
        <f>1918</f>
        <v>1918.0</v>
      </c>
      <c r="N268" s="34" t="s">
        <v>49</v>
      </c>
      <c r="O268" s="33" t="n">
        <f>1756</f>
        <v>1756.0</v>
      </c>
      <c r="P268" s="34" t="s">
        <v>50</v>
      </c>
      <c r="Q268" s="33" t="n">
        <f>1905</f>
        <v>1905.0</v>
      </c>
      <c r="R268" s="34" t="s">
        <v>51</v>
      </c>
      <c r="S268" s="35" t="n">
        <f>1856.47</f>
        <v>1856.47</v>
      </c>
      <c r="T268" s="32" t="n">
        <f>338614</f>
        <v>338614.0</v>
      </c>
      <c r="U268" s="32" t="str">
        <f>"－"</f>
        <v>－</v>
      </c>
      <c r="V268" s="32" t="n">
        <f>612434866</f>
        <v>6.12434866E8</v>
      </c>
      <c r="W268" s="32" t="str">
        <f>"－"</f>
        <v>－</v>
      </c>
      <c r="X268" s="36" t="n">
        <f>19</f>
        <v>19.0</v>
      </c>
    </row>
    <row r="269">
      <c r="A269" s="27" t="s">
        <v>42</v>
      </c>
      <c r="B269" s="27" t="s">
        <v>852</v>
      </c>
      <c r="C269" s="27" t="s">
        <v>853</v>
      </c>
      <c r="D269" s="27" t="s">
        <v>854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1619</f>
        <v>1619.0</v>
      </c>
      <c r="L269" s="34" t="s">
        <v>48</v>
      </c>
      <c r="M269" s="33" t="n">
        <f>1619</f>
        <v>1619.0</v>
      </c>
      <c r="N269" s="34" t="s">
        <v>48</v>
      </c>
      <c r="O269" s="33" t="n">
        <f>1544</f>
        <v>1544.0</v>
      </c>
      <c r="P269" s="34" t="s">
        <v>62</v>
      </c>
      <c r="Q269" s="33" t="n">
        <f>1584</f>
        <v>1584.0</v>
      </c>
      <c r="R269" s="34" t="s">
        <v>51</v>
      </c>
      <c r="S269" s="35" t="n">
        <f>1579.47</f>
        <v>1579.47</v>
      </c>
      <c r="T269" s="32" t="n">
        <f>68742</f>
        <v>68742.0</v>
      </c>
      <c r="U269" s="32" t="str">
        <f>"－"</f>
        <v>－</v>
      </c>
      <c r="V269" s="32" t="n">
        <f>107931061</f>
        <v>1.07931061E8</v>
      </c>
      <c r="W269" s="32" t="str">
        <f>"－"</f>
        <v>－</v>
      </c>
      <c r="X269" s="36" t="n">
        <f>19</f>
        <v>19.0</v>
      </c>
    </row>
    <row r="270">
      <c r="A270" s="27" t="s">
        <v>42</v>
      </c>
      <c r="B270" s="27" t="s">
        <v>855</v>
      </c>
      <c r="C270" s="27" t="s">
        <v>856</v>
      </c>
      <c r="D270" s="27" t="s">
        <v>857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2611</f>
        <v>2611.0</v>
      </c>
      <c r="L270" s="34" t="s">
        <v>48</v>
      </c>
      <c r="M270" s="33" t="n">
        <f>2792</f>
        <v>2792.0</v>
      </c>
      <c r="N270" s="34" t="s">
        <v>51</v>
      </c>
      <c r="O270" s="33" t="n">
        <f>2493</f>
        <v>2493.0</v>
      </c>
      <c r="P270" s="34" t="s">
        <v>62</v>
      </c>
      <c r="Q270" s="33" t="n">
        <f>2777</f>
        <v>2777.0</v>
      </c>
      <c r="R270" s="34" t="s">
        <v>51</v>
      </c>
      <c r="S270" s="35" t="n">
        <f>2659.16</f>
        <v>2659.16</v>
      </c>
      <c r="T270" s="32" t="n">
        <f>57222</f>
        <v>57222.0</v>
      </c>
      <c r="U270" s="32" t="str">
        <f>"－"</f>
        <v>－</v>
      </c>
      <c r="V270" s="32" t="n">
        <f>147933412</f>
        <v>1.47933412E8</v>
      </c>
      <c r="W270" s="32" t="str">
        <f>"－"</f>
        <v>－</v>
      </c>
      <c r="X270" s="36" t="n">
        <f>19</f>
        <v>19.0</v>
      </c>
    </row>
    <row r="271">
      <c r="A271" s="27" t="s">
        <v>42</v>
      </c>
      <c r="B271" s="27" t="s">
        <v>858</v>
      </c>
      <c r="C271" s="27" t="s">
        <v>859</v>
      </c>
      <c r="D271" s="27" t="s">
        <v>860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2060</f>
        <v>2060.0</v>
      </c>
      <c r="L271" s="34" t="s">
        <v>48</v>
      </c>
      <c r="M271" s="33" t="n">
        <f>2078</f>
        <v>2078.0</v>
      </c>
      <c r="N271" s="34" t="s">
        <v>51</v>
      </c>
      <c r="O271" s="33" t="n">
        <f>1957</f>
        <v>1957.0</v>
      </c>
      <c r="P271" s="34" t="s">
        <v>50</v>
      </c>
      <c r="Q271" s="33" t="n">
        <f>2068</f>
        <v>2068.0</v>
      </c>
      <c r="R271" s="34" t="s">
        <v>51</v>
      </c>
      <c r="S271" s="35" t="n">
        <f>2023</f>
        <v>2023.0</v>
      </c>
      <c r="T271" s="32" t="n">
        <f>204488</f>
        <v>204488.0</v>
      </c>
      <c r="U271" s="32" t="str">
        <f>"－"</f>
        <v>－</v>
      </c>
      <c r="V271" s="32" t="n">
        <f>408574872</f>
        <v>4.08574872E8</v>
      </c>
      <c r="W271" s="32" t="str">
        <f>"－"</f>
        <v>－</v>
      </c>
      <c r="X271" s="36" t="n">
        <f>19</f>
        <v>19.0</v>
      </c>
    </row>
    <row r="272">
      <c r="A272" s="27" t="s">
        <v>42</v>
      </c>
      <c r="B272" s="27" t="s">
        <v>861</v>
      </c>
      <c r="C272" s="27" t="s">
        <v>862</v>
      </c>
      <c r="D272" s="27" t="s">
        <v>863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25370</f>
        <v>25370.0</v>
      </c>
      <c r="L272" s="34" t="s">
        <v>48</v>
      </c>
      <c r="M272" s="33" t="n">
        <f>25675</f>
        <v>25675.0</v>
      </c>
      <c r="N272" s="34" t="s">
        <v>49</v>
      </c>
      <c r="O272" s="33" t="n">
        <f>24475</f>
        <v>24475.0</v>
      </c>
      <c r="P272" s="34" t="s">
        <v>50</v>
      </c>
      <c r="Q272" s="33" t="n">
        <f>25500</f>
        <v>25500.0</v>
      </c>
      <c r="R272" s="34" t="s">
        <v>51</v>
      </c>
      <c r="S272" s="35" t="n">
        <f>25069.29</f>
        <v>25069.29</v>
      </c>
      <c r="T272" s="32" t="n">
        <f>65</f>
        <v>65.0</v>
      </c>
      <c r="U272" s="32" t="str">
        <f>"－"</f>
        <v>－</v>
      </c>
      <c r="V272" s="32" t="n">
        <f>1627310</f>
        <v>1627310.0</v>
      </c>
      <c r="W272" s="32" t="str">
        <f>"－"</f>
        <v>－</v>
      </c>
      <c r="X272" s="36" t="n">
        <f>14</f>
        <v>14.0</v>
      </c>
    </row>
    <row r="273">
      <c r="A273" s="27" t="s">
        <v>42</v>
      </c>
      <c r="B273" s="27" t="s">
        <v>864</v>
      </c>
      <c r="C273" s="27" t="s">
        <v>865</v>
      </c>
      <c r="D273" s="27" t="s">
        <v>866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1919</f>
        <v>1919.0</v>
      </c>
      <c r="L273" s="34" t="s">
        <v>48</v>
      </c>
      <c r="M273" s="33" t="n">
        <f>2022</f>
        <v>2022.0</v>
      </c>
      <c r="N273" s="34" t="s">
        <v>51</v>
      </c>
      <c r="O273" s="33" t="n">
        <f>1904</f>
        <v>1904.0</v>
      </c>
      <c r="P273" s="34" t="s">
        <v>50</v>
      </c>
      <c r="Q273" s="33" t="n">
        <f>2015</f>
        <v>2015.0</v>
      </c>
      <c r="R273" s="34" t="s">
        <v>51</v>
      </c>
      <c r="S273" s="35" t="n">
        <f>1970.74</f>
        <v>1970.74</v>
      </c>
      <c r="T273" s="32" t="n">
        <f>2706</f>
        <v>2706.0</v>
      </c>
      <c r="U273" s="32" t="str">
        <f>"－"</f>
        <v>－</v>
      </c>
      <c r="V273" s="32" t="n">
        <f>5324875</f>
        <v>5324875.0</v>
      </c>
      <c r="W273" s="32" t="str">
        <f>"－"</f>
        <v>－</v>
      </c>
      <c r="X273" s="36" t="n">
        <f>19</f>
        <v>19.0</v>
      </c>
    </row>
    <row r="274">
      <c r="A274" s="27" t="s">
        <v>42</v>
      </c>
      <c r="B274" s="27" t="s">
        <v>867</v>
      </c>
      <c r="C274" s="27" t="s">
        <v>868</v>
      </c>
      <c r="D274" s="27" t="s">
        <v>869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2127</f>
        <v>2127.0</v>
      </c>
      <c r="L274" s="34" t="s">
        <v>48</v>
      </c>
      <c r="M274" s="33" t="n">
        <f>2273</f>
        <v>2273.0</v>
      </c>
      <c r="N274" s="34" t="s">
        <v>49</v>
      </c>
      <c r="O274" s="33" t="n">
        <f>2018</f>
        <v>2018.0</v>
      </c>
      <c r="P274" s="34" t="s">
        <v>62</v>
      </c>
      <c r="Q274" s="33" t="n">
        <f>2236</f>
        <v>2236.0</v>
      </c>
      <c r="R274" s="34" t="s">
        <v>51</v>
      </c>
      <c r="S274" s="35" t="n">
        <f>2145.74</f>
        <v>2145.74</v>
      </c>
      <c r="T274" s="32" t="n">
        <f>429658</f>
        <v>429658.0</v>
      </c>
      <c r="U274" s="32" t="n">
        <f>80000</f>
        <v>80000.0</v>
      </c>
      <c r="V274" s="32" t="n">
        <f>938862739</f>
        <v>9.38862739E8</v>
      </c>
      <c r="W274" s="32" t="n">
        <f>179720000</f>
        <v>1.7972E8</v>
      </c>
      <c r="X274" s="36" t="n">
        <f>19</f>
        <v>19.0</v>
      </c>
    </row>
    <row r="275">
      <c r="A275" s="27" t="s">
        <v>42</v>
      </c>
      <c r="B275" s="27" t="s">
        <v>870</v>
      </c>
      <c r="C275" s="27" t="s">
        <v>871</v>
      </c>
      <c r="D275" s="27" t="s">
        <v>872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1873</f>
        <v>1873.0</v>
      </c>
      <c r="L275" s="34" t="s">
        <v>48</v>
      </c>
      <c r="M275" s="33" t="n">
        <f>1873</f>
        <v>1873.0</v>
      </c>
      <c r="N275" s="34" t="s">
        <v>48</v>
      </c>
      <c r="O275" s="33" t="n">
        <f>1738</f>
        <v>1738.0</v>
      </c>
      <c r="P275" s="34" t="s">
        <v>50</v>
      </c>
      <c r="Q275" s="33" t="n">
        <f>1817</f>
        <v>1817.0</v>
      </c>
      <c r="R275" s="34" t="s">
        <v>51</v>
      </c>
      <c r="S275" s="35" t="n">
        <f>1797.58</f>
        <v>1797.58</v>
      </c>
      <c r="T275" s="32" t="n">
        <f>53328</f>
        <v>53328.0</v>
      </c>
      <c r="U275" s="32" t="str">
        <f>"－"</f>
        <v>－</v>
      </c>
      <c r="V275" s="32" t="n">
        <f>96456731</f>
        <v>9.6456731E7</v>
      </c>
      <c r="W275" s="32" t="str">
        <f>"－"</f>
        <v>－</v>
      </c>
      <c r="X275" s="36" t="n">
        <f>19</f>
        <v>19.0</v>
      </c>
    </row>
    <row r="276">
      <c r="A276" s="27" t="s">
        <v>42</v>
      </c>
      <c r="B276" s="27" t="s">
        <v>873</v>
      </c>
      <c r="C276" s="27" t="s">
        <v>874</v>
      </c>
      <c r="D276" s="27" t="s">
        <v>875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1408</f>
        <v>1408.0</v>
      </c>
      <c r="L276" s="34" t="s">
        <v>48</v>
      </c>
      <c r="M276" s="33" t="n">
        <f>1442</f>
        <v>1442.0</v>
      </c>
      <c r="N276" s="34" t="s">
        <v>73</v>
      </c>
      <c r="O276" s="33" t="n">
        <f>1330</f>
        <v>1330.0</v>
      </c>
      <c r="P276" s="34" t="s">
        <v>91</v>
      </c>
      <c r="Q276" s="33" t="n">
        <f>1400</f>
        <v>1400.0</v>
      </c>
      <c r="R276" s="34" t="s">
        <v>51</v>
      </c>
      <c r="S276" s="35" t="n">
        <f>1376.47</f>
        <v>1376.47</v>
      </c>
      <c r="T276" s="32" t="n">
        <f>15081</f>
        <v>15081.0</v>
      </c>
      <c r="U276" s="32" t="str">
        <f>"－"</f>
        <v>－</v>
      </c>
      <c r="V276" s="32" t="n">
        <f>20671043</f>
        <v>2.0671043E7</v>
      </c>
      <c r="W276" s="32" t="str">
        <f>"－"</f>
        <v>－</v>
      </c>
      <c r="X276" s="36" t="n">
        <f>19</f>
        <v>19.0</v>
      </c>
    </row>
    <row r="277">
      <c r="A277" s="27" t="s">
        <v>42</v>
      </c>
      <c r="B277" s="27" t="s">
        <v>876</v>
      </c>
      <c r="C277" s="27" t="s">
        <v>877</v>
      </c>
      <c r="D277" s="27" t="s">
        <v>878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5152</f>
        <v>5152.0</v>
      </c>
      <c r="L277" s="34" t="s">
        <v>48</v>
      </c>
      <c r="M277" s="33" t="n">
        <f>5156</f>
        <v>5156.0</v>
      </c>
      <c r="N277" s="34" t="s">
        <v>50</v>
      </c>
      <c r="O277" s="33" t="n">
        <f>5091</f>
        <v>5091.0</v>
      </c>
      <c r="P277" s="34" t="s">
        <v>125</v>
      </c>
      <c r="Q277" s="33" t="n">
        <f>5123</f>
        <v>5123.0</v>
      </c>
      <c r="R277" s="34" t="s">
        <v>51</v>
      </c>
      <c r="S277" s="35" t="n">
        <f>5120.4</f>
        <v>5120.4</v>
      </c>
      <c r="T277" s="32" t="n">
        <f>189390</f>
        <v>189390.0</v>
      </c>
      <c r="U277" s="32" t="n">
        <f>90730</f>
        <v>90730.0</v>
      </c>
      <c r="V277" s="32" t="n">
        <f>970886927</f>
        <v>9.70886927E8</v>
      </c>
      <c r="W277" s="32" t="n">
        <f>463932317</f>
        <v>4.63932317E8</v>
      </c>
      <c r="X277" s="36" t="n">
        <f>15</f>
        <v>15.0</v>
      </c>
    </row>
    <row r="278">
      <c r="A278" s="27" t="s">
        <v>42</v>
      </c>
      <c r="B278" s="27" t="s">
        <v>879</v>
      </c>
      <c r="C278" s="27" t="s">
        <v>880</v>
      </c>
      <c r="D278" s="27" t="s">
        <v>881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4405</f>
        <v>4405.0</v>
      </c>
      <c r="L278" s="34" t="s">
        <v>73</v>
      </c>
      <c r="M278" s="33" t="n">
        <f>4503</f>
        <v>4503.0</v>
      </c>
      <c r="N278" s="34" t="s">
        <v>51</v>
      </c>
      <c r="O278" s="33" t="n">
        <f>4391</f>
        <v>4391.0</v>
      </c>
      <c r="P278" s="34" t="s">
        <v>225</v>
      </c>
      <c r="Q278" s="33" t="n">
        <f>4503</f>
        <v>4503.0</v>
      </c>
      <c r="R278" s="34" t="s">
        <v>51</v>
      </c>
      <c r="S278" s="35" t="n">
        <f>4438</f>
        <v>4438.0</v>
      </c>
      <c r="T278" s="32" t="n">
        <f>1032510</f>
        <v>1032510.0</v>
      </c>
      <c r="U278" s="32" t="n">
        <f>1002400</f>
        <v>1002400.0</v>
      </c>
      <c r="V278" s="32" t="n">
        <f>4639441140</f>
        <v>4.63944114E9</v>
      </c>
      <c r="W278" s="32" t="n">
        <f>4503866040</f>
        <v>4.50386604E9</v>
      </c>
      <c r="X278" s="36" t="n">
        <f>5</f>
        <v>5.0</v>
      </c>
    </row>
    <row r="279">
      <c r="A279" s="27" t="s">
        <v>42</v>
      </c>
      <c r="B279" s="27" t="s">
        <v>882</v>
      </c>
      <c r="C279" s="27" t="s">
        <v>883</v>
      </c>
      <c r="D279" s="27" t="s">
        <v>884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10.0</v>
      </c>
      <c r="K279" s="33" t="n">
        <f>746.9</f>
        <v>746.9</v>
      </c>
      <c r="L279" s="34" t="s">
        <v>48</v>
      </c>
      <c r="M279" s="33" t="n">
        <f>754.1</f>
        <v>754.1</v>
      </c>
      <c r="N279" s="34" t="s">
        <v>277</v>
      </c>
      <c r="O279" s="33" t="n">
        <f>737.3</f>
        <v>737.3</v>
      </c>
      <c r="P279" s="34" t="s">
        <v>225</v>
      </c>
      <c r="Q279" s="33" t="n">
        <f>752.3</f>
        <v>752.3</v>
      </c>
      <c r="R279" s="34" t="s">
        <v>49</v>
      </c>
      <c r="S279" s="35" t="n">
        <f>746.26</f>
        <v>746.26</v>
      </c>
      <c r="T279" s="32" t="n">
        <f>96870</f>
        <v>96870.0</v>
      </c>
      <c r="U279" s="32" t="str">
        <f>"－"</f>
        <v>－</v>
      </c>
      <c r="V279" s="32" t="n">
        <f>72796958</f>
        <v>7.2796958E7</v>
      </c>
      <c r="W279" s="32" t="str">
        <f>"－"</f>
        <v>－</v>
      </c>
      <c r="X279" s="36" t="n">
        <f>16</f>
        <v>16.0</v>
      </c>
    </row>
    <row r="280">
      <c r="A280" s="27" t="s">
        <v>42</v>
      </c>
      <c r="B280" s="27" t="s">
        <v>885</v>
      </c>
      <c r="C280" s="27" t="s">
        <v>886</v>
      </c>
      <c r="D280" s="27" t="s">
        <v>887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2115</f>
        <v>2115.0</v>
      </c>
      <c r="L280" s="34" t="s">
        <v>48</v>
      </c>
      <c r="M280" s="33" t="n">
        <f>2135</f>
        <v>2135.0</v>
      </c>
      <c r="N280" s="34" t="s">
        <v>48</v>
      </c>
      <c r="O280" s="33" t="n">
        <f>1893</f>
        <v>1893.0</v>
      </c>
      <c r="P280" s="34" t="s">
        <v>69</v>
      </c>
      <c r="Q280" s="33" t="n">
        <f>2022</f>
        <v>2022.0</v>
      </c>
      <c r="R280" s="34" t="s">
        <v>51</v>
      </c>
      <c r="S280" s="35" t="n">
        <f>1992.05</f>
        <v>1992.05</v>
      </c>
      <c r="T280" s="32" t="n">
        <f>21632</f>
        <v>21632.0</v>
      </c>
      <c r="U280" s="32" t="n">
        <f>7500</f>
        <v>7500.0</v>
      </c>
      <c r="V280" s="32" t="n">
        <f>42655266</f>
        <v>4.2655266E7</v>
      </c>
      <c r="W280" s="32" t="n">
        <f>14838750</f>
        <v>1.483875E7</v>
      </c>
      <c r="X280" s="36" t="n">
        <f>19</f>
        <v>19.0</v>
      </c>
    </row>
    <row r="281">
      <c r="A281" s="27" t="s">
        <v>42</v>
      </c>
      <c r="B281" s="27" t="s">
        <v>888</v>
      </c>
      <c r="C281" s="27" t="s">
        <v>889</v>
      </c>
      <c r="D281" s="27" t="s">
        <v>890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1846</f>
        <v>1846.0</v>
      </c>
      <c r="L281" s="34" t="s">
        <v>48</v>
      </c>
      <c r="M281" s="33" t="n">
        <f>1872</f>
        <v>1872.0</v>
      </c>
      <c r="N281" s="34" t="s">
        <v>175</v>
      </c>
      <c r="O281" s="33" t="n">
        <f>1750</f>
        <v>1750.0</v>
      </c>
      <c r="P281" s="34" t="s">
        <v>50</v>
      </c>
      <c r="Q281" s="33" t="n">
        <f>1835</f>
        <v>1835.0</v>
      </c>
      <c r="R281" s="34" t="s">
        <v>51</v>
      </c>
      <c r="S281" s="35" t="n">
        <f>1805.32</f>
        <v>1805.32</v>
      </c>
      <c r="T281" s="32" t="n">
        <f>43130</f>
        <v>43130.0</v>
      </c>
      <c r="U281" s="32" t="str">
        <f>"－"</f>
        <v>－</v>
      </c>
      <c r="V281" s="32" t="n">
        <f>77755668</f>
        <v>7.7755668E7</v>
      </c>
      <c r="W281" s="32" t="str">
        <f>"－"</f>
        <v>－</v>
      </c>
      <c r="X281" s="36" t="n">
        <f>19</f>
        <v>19.0</v>
      </c>
    </row>
    <row r="282">
      <c r="A282" s="27" t="s">
        <v>42</v>
      </c>
      <c r="B282" s="27" t="s">
        <v>891</v>
      </c>
      <c r="C282" s="27" t="s">
        <v>892</v>
      </c>
      <c r="D282" s="27" t="s">
        <v>893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7688</f>
        <v>7688.0</v>
      </c>
      <c r="L282" s="34" t="s">
        <v>48</v>
      </c>
      <c r="M282" s="33" t="n">
        <f>7692</f>
        <v>7692.0</v>
      </c>
      <c r="N282" s="34" t="s">
        <v>73</v>
      </c>
      <c r="O282" s="33" t="n">
        <f>7578</f>
        <v>7578.0</v>
      </c>
      <c r="P282" s="34" t="s">
        <v>125</v>
      </c>
      <c r="Q282" s="33" t="n">
        <f>7626</f>
        <v>7626.0</v>
      </c>
      <c r="R282" s="34" t="s">
        <v>51</v>
      </c>
      <c r="S282" s="35" t="n">
        <f>7621.26</f>
        <v>7621.26</v>
      </c>
      <c r="T282" s="32" t="n">
        <f>129384</f>
        <v>129384.0</v>
      </c>
      <c r="U282" s="32" t="n">
        <f>23110</f>
        <v>23110.0</v>
      </c>
      <c r="V282" s="32" t="n">
        <f>986766922</f>
        <v>9.86766922E8</v>
      </c>
      <c r="W282" s="32" t="n">
        <f>177000245</f>
        <v>1.77000245E8</v>
      </c>
      <c r="X282" s="36" t="n">
        <f>19</f>
        <v>19.0</v>
      </c>
    </row>
    <row r="283">
      <c r="A283" s="27" t="s">
        <v>42</v>
      </c>
      <c r="B283" s="27" t="s">
        <v>894</v>
      </c>
      <c r="C283" s="27" t="s">
        <v>895</v>
      </c>
      <c r="D283" s="27" t="s">
        <v>896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6637</f>
        <v>6637.0</v>
      </c>
      <c r="L283" s="34" t="s">
        <v>48</v>
      </c>
      <c r="M283" s="33" t="n">
        <f>6800</f>
        <v>6800.0</v>
      </c>
      <c r="N283" s="34" t="s">
        <v>49</v>
      </c>
      <c r="O283" s="33" t="n">
        <f>6515</f>
        <v>6515.0</v>
      </c>
      <c r="P283" s="34" t="s">
        <v>225</v>
      </c>
      <c r="Q283" s="33" t="n">
        <f>6702</f>
        <v>6702.0</v>
      </c>
      <c r="R283" s="34" t="s">
        <v>51</v>
      </c>
      <c r="S283" s="35" t="n">
        <f>6670.33</f>
        <v>6670.33</v>
      </c>
      <c r="T283" s="32" t="n">
        <f>6318</f>
        <v>6318.0</v>
      </c>
      <c r="U283" s="32" t="str">
        <f>"－"</f>
        <v>－</v>
      </c>
      <c r="V283" s="32" t="n">
        <f>41912495</f>
        <v>4.1912495E7</v>
      </c>
      <c r="W283" s="32" t="str">
        <f>"－"</f>
        <v>－</v>
      </c>
      <c r="X283" s="36" t="n">
        <f>12</f>
        <v>12.0</v>
      </c>
    </row>
    <row r="284">
      <c r="A284" s="27" t="s">
        <v>42</v>
      </c>
      <c r="B284" s="27" t="s">
        <v>897</v>
      </c>
      <c r="C284" s="27" t="s">
        <v>898</v>
      </c>
      <c r="D284" s="27" t="s">
        <v>899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15750</f>
        <v>15750.0</v>
      </c>
      <c r="L284" s="34" t="s">
        <v>48</v>
      </c>
      <c r="M284" s="33" t="n">
        <f>15895</f>
        <v>15895.0</v>
      </c>
      <c r="N284" s="34" t="s">
        <v>48</v>
      </c>
      <c r="O284" s="33" t="n">
        <f>14090</f>
        <v>14090.0</v>
      </c>
      <c r="P284" s="34" t="s">
        <v>277</v>
      </c>
      <c r="Q284" s="33" t="n">
        <f>15350</f>
        <v>15350.0</v>
      </c>
      <c r="R284" s="34" t="s">
        <v>51</v>
      </c>
      <c r="S284" s="35" t="n">
        <f>14913.95</f>
        <v>14913.95</v>
      </c>
      <c r="T284" s="32" t="n">
        <f>306536</f>
        <v>306536.0</v>
      </c>
      <c r="U284" s="32" t="n">
        <f>67847</f>
        <v>67847.0</v>
      </c>
      <c r="V284" s="32" t="n">
        <f>4564962761</f>
        <v>4.564962761E9</v>
      </c>
      <c r="W284" s="32" t="n">
        <f>998723641</f>
        <v>9.98723641E8</v>
      </c>
      <c r="X284" s="36" t="n">
        <f>19</f>
        <v>19.0</v>
      </c>
    </row>
    <row r="285">
      <c r="A285" s="27" t="s">
        <v>42</v>
      </c>
      <c r="B285" s="27" t="s">
        <v>900</v>
      </c>
      <c r="C285" s="27" t="s">
        <v>901</v>
      </c>
      <c r="D285" s="27" t="s">
        <v>902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9169</f>
        <v>9169.0</v>
      </c>
      <c r="L285" s="34" t="s">
        <v>48</v>
      </c>
      <c r="M285" s="33" t="n">
        <f>9169</f>
        <v>9169.0</v>
      </c>
      <c r="N285" s="34" t="s">
        <v>48</v>
      </c>
      <c r="O285" s="33" t="n">
        <f>8309</f>
        <v>8309.0</v>
      </c>
      <c r="P285" s="34" t="s">
        <v>277</v>
      </c>
      <c r="Q285" s="33" t="n">
        <f>8962</f>
        <v>8962.0</v>
      </c>
      <c r="R285" s="34" t="s">
        <v>51</v>
      </c>
      <c r="S285" s="35" t="n">
        <f>8650.26</f>
        <v>8650.26</v>
      </c>
      <c r="T285" s="32" t="n">
        <f>230103</f>
        <v>230103.0</v>
      </c>
      <c r="U285" s="32" t="str">
        <f>"－"</f>
        <v>－</v>
      </c>
      <c r="V285" s="32" t="n">
        <f>1986541390</f>
        <v>1.98654139E9</v>
      </c>
      <c r="W285" s="32" t="str">
        <f>"－"</f>
        <v>－</v>
      </c>
      <c r="X285" s="36" t="n">
        <f>19</f>
        <v>19.0</v>
      </c>
    </row>
    <row r="286">
      <c r="A286" s="27" t="s">
        <v>42</v>
      </c>
      <c r="B286" s="27" t="s">
        <v>903</v>
      </c>
      <c r="C286" s="27" t="s">
        <v>904</v>
      </c>
      <c r="D286" s="27" t="s">
        <v>905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30470</f>
        <v>30470.0</v>
      </c>
      <c r="L286" s="34" t="s">
        <v>48</v>
      </c>
      <c r="M286" s="33" t="n">
        <f>32400</f>
        <v>32400.0</v>
      </c>
      <c r="N286" s="34" t="s">
        <v>277</v>
      </c>
      <c r="O286" s="33" t="n">
        <f>29575</f>
        <v>29575.0</v>
      </c>
      <c r="P286" s="34" t="s">
        <v>49</v>
      </c>
      <c r="Q286" s="33" t="n">
        <f>29870</f>
        <v>29870.0</v>
      </c>
      <c r="R286" s="34" t="s">
        <v>51</v>
      </c>
      <c r="S286" s="35" t="n">
        <f>31212.89</f>
        <v>31212.89</v>
      </c>
      <c r="T286" s="32" t="n">
        <f>247677</f>
        <v>247677.0</v>
      </c>
      <c r="U286" s="32" t="n">
        <f>3</f>
        <v>3.0</v>
      </c>
      <c r="V286" s="32" t="n">
        <f>7723074195</f>
        <v>7.723074195E9</v>
      </c>
      <c r="W286" s="32" t="n">
        <f>96870</f>
        <v>96870.0</v>
      </c>
      <c r="X286" s="36" t="n">
        <f>19</f>
        <v>19.0</v>
      </c>
    </row>
    <row r="287">
      <c r="A287" s="27" t="s">
        <v>42</v>
      </c>
      <c r="B287" s="27" t="s">
        <v>906</v>
      </c>
      <c r="C287" s="27" t="s">
        <v>907</v>
      </c>
      <c r="D287" s="27" t="s">
        <v>908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10.0</v>
      </c>
      <c r="K287" s="33" t="n">
        <f>4593</f>
        <v>4593.0</v>
      </c>
      <c r="L287" s="34" t="s">
        <v>48</v>
      </c>
      <c r="M287" s="33" t="n">
        <f>4593</f>
        <v>4593.0</v>
      </c>
      <c r="N287" s="34" t="s">
        <v>48</v>
      </c>
      <c r="O287" s="33" t="n">
        <f>4475</f>
        <v>4475.0</v>
      </c>
      <c r="P287" s="34" t="s">
        <v>225</v>
      </c>
      <c r="Q287" s="33" t="n">
        <f>4550</f>
        <v>4550.0</v>
      </c>
      <c r="R287" s="34" t="s">
        <v>51</v>
      </c>
      <c r="S287" s="35" t="n">
        <f>4536.73</f>
        <v>4536.73</v>
      </c>
      <c r="T287" s="32" t="n">
        <f>273140</f>
        <v>273140.0</v>
      </c>
      <c r="U287" s="32" t="n">
        <f>100000</f>
        <v>100000.0</v>
      </c>
      <c r="V287" s="32" t="n">
        <f>1243368640</f>
        <v>1.24336864E9</v>
      </c>
      <c r="W287" s="32" t="n">
        <f>457295000</f>
        <v>4.57295E8</v>
      </c>
      <c r="X287" s="36" t="n">
        <f>15</f>
        <v>15.0</v>
      </c>
    </row>
    <row r="288">
      <c r="A288" s="27" t="s">
        <v>42</v>
      </c>
      <c r="B288" s="27" t="s">
        <v>909</v>
      </c>
      <c r="C288" s="27" t="s">
        <v>910</v>
      </c>
      <c r="D288" s="27" t="s">
        <v>911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10.0</v>
      </c>
      <c r="K288" s="33" t="n">
        <f>5136</f>
        <v>5136.0</v>
      </c>
      <c r="L288" s="34" t="s">
        <v>48</v>
      </c>
      <c r="M288" s="33" t="n">
        <f>5136</f>
        <v>5136.0</v>
      </c>
      <c r="N288" s="34" t="s">
        <v>48</v>
      </c>
      <c r="O288" s="33" t="n">
        <f>4883</f>
        <v>4883.0</v>
      </c>
      <c r="P288" s="34" t="s">
        <v>50</v>
      </c>
      <c r="Q288" s="33" t="n">
        <f>5075</f>
        <v>5075.0</v>
      </c>
      <c r="R288" s="34" t="s">
        <v>51</v>
      </c>
      <c r="S288" s="35" t="n">
        <f>4988.25</f>
        <v>4988.25</v>
      </c>
      <c r="T288" s="32" t="n">
        <f>172300</f>
        <v>172300.0</v>
      </c>
      <c r="U288" s="32" t="n">
        <f>51940</f>
        <v>51940.0</v>
      </c>
      <c r="V288" s="32" t="n">
        <f>862683871</f>
        <v>8.62683871E8</v>
      </c>
      <c r="W288" s="32" t="n">
        <f>262249441</f>
        <v>2.62249441E8</v>
      </c>
      <c r="X288" s="36" t="n">
        <f>16</f>
        <v>16.0</v>
      </c>
    </row>
    <row r="289">
      <c r="A289" s="27" t="s">
        <v>42</v>
      </c>
      <c r="B289" s="27" t="s">
        <v>912</v>
      </c>
      <c r="C289" s="27" t="s">
        <v>913</v>
      </c>
      <c r="D289" s="27" t="s">
        <v>914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1924</f>
        <v>1924.0</v>
      </c>
      <c r="L289" s="34" t="s">
        <v>48</v>
      </c>
      <c r="M289" s="33" t="n">
        <f>1966</f>
        <v>1966.0</v>
      </c>
      <c r="N289" s="34" t="s">
        <v>48</v>
      </c>
      <c r="O289" s="33" t="n">
        <f>1731</f>
        <v>1731.0</v>
      </c>
      <c r="P289" s="34" t="s">
        <v>277</v>
      </c>
      <c r="Q289" s="33" t="n">
        <f>1867</f>
        <v>1867.0</v>
      </c>
      <c r="R289" s="34" t="s">
        <v>51</v>
      </c>
      <c r="S289" s="35" t="n">
        <f>1802.97</f>
        <v>1802.97</v>
      </c>
      <c r="T289" s="32" t="n">
        <f>2174820</f>
        <v>2174820.0</v>
      </c>
      <c r="U289" s="32" t="str">
        <f>"－"</f>
        <v>－</v>
      </c>
      <c r="V289" s="32" t="n">
        <f>3907987160</f>
        <v>3.90798716E9</v>
      </c>
      <c r="W289" s="32" t="str">
        <f>"－"</f>
        <v>－</v>
      </c>
      <c r="X289" s="36" t="n">
        <f>19</f>
        <v>19.0</v>
      </c>
    </row>
    <row r="290">
      <c r="A290" s="27" t="s">
        <v>42</v>
      </c>
      <c r="B290" s="27" t="s">
        <v>915</v>
      </c>
      <c r="C290" s="27" t="s">
        <v>916</v>
      </c>
      <c r="D290" s="27" t="s">
        <v>917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1930</f>
        <v>1930.0</v>
      </c>
      <c r="L290" s="34" t="s">
        <v>48</v>
      </c>
      <c r="M290" s="33" t="n">
        <f>2236.5</f>
        <v>2236.5</v>
      </c>
      <c r="N290" s="34" t="s">
        <v>225</v>
      </c>
      <c r="O290" s="33" t="n">
        <f>1850.5</f>
        <v>1850.5</v>
      </c>
      <c r="P290" s="34" t="s">
        <v>69</v>
      </c>
      <c r="Q290" s="33" t="n">
        <f>1962</f>
        <v>1962.0</v>
      </c>
      <c r="R290" s="34" t="s">
        <v>51</v>
      </c>
      <c r="S290" s="35" t="n">
        <f>1904.82</f>
        <v>1904.82</v>
      </c>
      <c r="T290" s="32" t="n">
        <f>774750</f>
        <v>774750.0</v>
      </c>
      <c r="U290" s="32" t="n">
        <f>520000</f>
        <v>520000.0</v>
      </c>
      <c r="V290" s="32" t="n">
        <f>1473996673</f>
        <v>1.473996673E9</v>
      </c>
      <c r="W290" s="32" t="n">
        <f>990630053</f>
        <v>9.90630053E8</v>
      </c>
      <c r="X290" s="36" t="n">
        <f>19</f>
        <v>19.0</v>
      </c>
    </row>
    <row r="291">
      <c r="A291" s="27" t="s">
        <v>42</v>
      </c>
      <c r="B291" s="27" t="s">
        <v>918</v>
      </c>
      <c r="C291" s="27" t="s">
        <v>919</v>
      </c>
      <c r="D291" s="27" t="s">
        <v>920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1496</f>
        <v>1496.0</v>
      </c>
      <c r="L291" s="34" t="s">
        <v>48</v>
      </c>
      <c r="M291" s="33" t="n">
        <f>1561</f>
        <v>1561.0</v>
      </c>
      <c r="N291" s="34" t="s">
        <v>175</v>
      </c>
      <c r="O291" s="33" t="n">
        <f>1463</f>
        <v>1463.0</v>
      </c>
      <c r="P291" s="34" t="s">
        <v>62</v>
      </c>
      <c r="Q291" s="33" t="n">
        <f>1531</f>
        <v>1531.0</v>
      </c>
      <c r="R291" s="34" t="s">
        <v>51</v>
      </c>
      <c r="S291" s="35" t="n">
        <f>1502.33</f>
        <v>1502.33</v>
      </c>
      <c r="T291" s="32" t="n">
        <f>4096</f>
        <v>4096.0</v>
      </c>
      <c r="U291" s="32" t="str">
        <f>"－"</f>
        <v>－</v>
      </c>
      <c r="V291" s="32" t="n">
        <f>6124305</f>
        <v>6124305.0</v>
      </c>
      <c r="W291" s="32" t="str">
        <f>"－"</f>
        <v>－</v>
      </c>
      <c r="X291" s="36" t="n">
        <f>18</f>
        <v>18.0</v>
      </c>
    </row>
    <row r="292">
      <c r="A292" s="27" t="s">
        <v>42</v>
      </c>
      <c r="B292" s="27" t="s">
        <v>921</v>
      </c>
      <c r="C292" s="27" t="s">
        <v>922</v>
      </c>
      <c r="D292" s="27" t="s">
        <v>923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1513</f>
        <v>1513.0</v>
      </c>
      <c r="L292" s="34" t="s">
        <v>73</v>
      </c>
      <c r="M292" s="33" t="n">
        <f>1536</f>
        <v>1536.0</v>
      </c>
      <c r="N292" s="34" t="s">
        <v>49</v>
      </c>
      <c r="O292" s="33" t="n">
        <f>1450</f>
        <v>1450.0</v>
      </c>
      <c r="P292" s="34" t="s">
        <v>50</v>
      </c>
      <c r="Q292" s="33" t="n">
        <f>1528</f>
        <v>1528.0</v>
      </c>
      <c r="R292" s="34" t="s">
        <v>51</v>
      </c>
      <c r="S292" s="35" t="n">
        <f>1495.83</f>
        <v>1495.83</v>
      </c>
      <c r="T292" s="32" t="n">
        <f>4586</f>
        <v>4586.0</v>
      </c>
      <c r="U292" s="32" t="str">
        <f>"－"</f>
        <v>－</v>
      </c>
      <c r="V292" s="32" t="n">
        <f>6756077</f>
        <v>6756077.0</v>
      </c>
      <c r="W292" s="32" t="str">
        <f>"－"</f>
        <v>－</v>
      </c>
      <c r="X292" s="36" t="n">
        <f>18</f>
        <v>18.0</v>
      </c>
    </row>
    <row r="293">
      <c r="A293" s="27" t="s">
        <v>42</v>
      </c>
      <c r="B293" s="27" t="s">
        <v>924</v>
      </c>
      <c r="C293" s="27" t="s">
        <v>925</v>
      </c>
      <c r="D293" s="27" t="s">
        <v>926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2984</f>
        <v>2984.0</v>
      </c>
      <c r="L293" s="34" t="s">
        <v>48</v>
      </c>
      <c r="M293" s="33" t="n">
        <f>3110</f>
        <v>3110.0</v>
      </c>
      <c r="N293" s="34" t="s">
        <v>125</v>
      </c>
      <c r="O293" s="33" t="n">
        <f>2960</f>
        <v>2960.0</v>
      </c>
      <c r="P293" s="34" t="s">
        <v>50</v>
      </c>
      <c r="Q293" s="33" t="n">
        <f>3075</f>
        <v>3075.0</v>
      </c>
      <c r="R293" s="34" t="s">
        <v>51</v>
      </c>
      <c r="S293" s="35" t="n">
        <f>3048.47</f>
        <v>3048.47</v>
      </c>
      <c r="T293" s="32" t="n">
        <f>2089</f>
        <v>2089.0</v>
      </c>
      <c r="U293" s="32" t="str">
        <f>"－"</f>
        <v>－</v>
      </c>
      <c r="V293" s="32" t="n">
        <f>6328211</f>
        <v>6328211.0</v>
      </c>
      <c r="W293" s="32" t="str">
        <f>"－"</f>
        <v>－</v>
      </c>
      <c r="X293" s="36" t="n">
        <f>19</f>
        <v>19.0</v>
      </c>
    </row>
    <row r="294">
      <c r="A294" s="27" t="s">
        <v>42</v>
      </c>
      <c r="B294" s="27" t="s">
        <v>927</v>
      </c>
      <c r="C294" s="27" t="s">
        <v>928</v>
      </c>
      <c r="D294" s="27" t="s">
        <v>929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10.0</v>
      </c>
      <c r="K294" s="33" t="n">
        <f>1934</f>
        <v>1934.0</v>
      </c>
      <c r="L294" s="34" t="s">
        <v>225</v>
      </c>
      <c r="M294" s="33" t="n">
        <f>1982.5</f>
        <v>1982.5</v>
      </c>
      <c r="N294" s="34" t="s">
        <v>49</v>
      </c>
      <c r="O294" s="33" t="n">
        <f>1872</f>
        <v>1872.0</v>
      </c>
      <c r="P294" s="34" t="s">
        <v>50</v>
      </c>
      <c r="Q294" s="33" t="n">
        <f>1980</f>
        <v>1980.0</v>
      </c>
      <c r="R294" s="34" t="s">
        <v>49</v>
      </c>
      <c r="S294" s="35" t="n">
        <f>1927.62</f>
        <v>1927.62</v>
      </c>
      <c r="T294" s="32" t="n">
        <f>2620</f>
        <v>2620.0</v>
      </c>
      <c r="U294" s="32" t="str">
        <f>"－"</f>
        <v>－</v>
      </c>
      <c r="V294" s="32" t="n">
        <f>5052070</f>
        <v>5052070.0</v>
      </c>
      <c r="W294" s="32" t="str">
        <f>"－"</f>
        <v>－</v>
      </c>
      <c r="X294" s="36" t="n">
        <f>13</f>
        <v>13.0</v>
      </c>
    </row>
    <row r="295">
      <c r="A295" s="27" t="s">
        <v>42</v>
      </c>
      <c r="B295" s="27" t="s">
        <v>930</v>
      </c>
      <c r="C295" s="27" t="s">
        <v>931</v>
      </c>
      <c r="D295" s="27" t="s">
        <v>932</v>
      </c>
      <c r="E295" s="28" t="s">
        <v>933</v>
      </c>
      <c r="F295" s="29" t="s">
        <v>934</v>
      </c>
      <c r="G295" s="30" t="s">
        <v>935</v>
      </c>
      <c r="H295" s="31"/>
      <c r="I295" s="31" t="s">
        <v>47</v>
      </c>
      <c r="J295" s="32" t="n">
        <v>10.0</v>
      </c>
      <c r="K295" s="33" t="n">
        <f>200</f>
        <v>200.0</v>
      </c>
      <c r="L295" s="34" t="s">
        <v>277</v>
      </c>
      <c r="M295" s="33" t="n">
        <f>204</f>
        <v>204.0</v>
      </c>
      <c r="N295" s="34" t="s">
        <v>74</v>
      </c>
      <c r="O295" s="33" t="n">
        <f>200</f>
        <v>200.0</v>
      </c>
      <c r="P295" s="34" t="s">
        <v>277</v>
      </c>
      <c r="Q295" s="33" t="n">
        <f>202.9</f>
        <v>202.9</v>
      </c>
      <c r="R295" s="34" t="s">
        <v>51</v>
      </c>
      <c r="S295" s="35" t="n">
        <f>202.58</f>
        <v>202.58</v>
      </c>
      <c r="T295" s="32" t="n">
        <f>3083960</f>
        <v>3083960.0</v>
      </c>
      <c r="U295" s="32" t="n">
        <f>3067610</f>
        <v>3067610.0</v>
      </c>
      <c r="V295" s="32" t="n">
        <f>620002823</f>
        <v>6.20002823E8</v>
      </c>
      <c r="W295" s="32" t="n">
        <f>616687859</f>
        <v>6.16687859E8</v>
      </c>
      <c r="X295" s="36" t="n">
        <f>5</f>
        <v>5.0</v>
      </c>
    </row>
    <row r="296">
      <c r="A296" s="27" t="s">
        <v>42</v>
      </c>
      <c r="B296" s="27" t="s">
        <v>936</v>
      </c>
      <c r="C296" s="27" t="s">
        <v>937</v>
      </c>
      <c r="D296" s="27" t="s">
        <v>938</v>
      </c>
      <c r="E296" s="28" t="s">
        <v>933</v>
      </c>
      <c r="F296" s="29" t="s">
        <v>934</v>
      </c>
      <c r="G296" s="30" t="s">
        <v>935</v>
      </c>
      <c r="H296" s="31"/>
      <c r="I296" s="31" t="s">
        <v>47</v>
      </c>
      <c r="J296" s="32" t="n">
        <v>10.0</v>
      </c>
      <c r="K296" s="33" t="n">
        <f>818.9</f>
        <v>818.9</v>
      </c>
      <c r="L296" s="34" t="s">
        <v>277</v>
      </c>
      <c r="M296" s="33" t="n">
        <f>898</f>
        <v>898.0</v>
      </c>
      <c r="N296" s="34" t="s">
        <v>302</v>
      </c>
      <c r="O296" s="33" t="n">
        <f>798</f>
        <v>798.0</v>
      </c>
      <c r="P296" s="34" t="s">
        <v>51</v>
      </c>
      <c r="Q296" s="33" t="n">
        <f>798</f>
        <v>798.0</v>
      </c>
      <c r="R296" s="34" t="s">
        <v>51</v>
      </c>
      <c r="S296" s="35" t="n">
        <f>806.94</f>
        <v>806.94</v>
      </c>
      <c r="T296" s="32" t="n">
        <f>3771230</f>
        <v>3771230.0</v>
      </c>
      <c r="U296" s="32" t="n">
        <f>3769200</f>
        <v>3769200.0</v>
      </c>
      <c r="V296" s="32" t="n">
        <f>3029274115</f>
        <v>3.029274115E9</v>
      </c>
      <c r="W296" s="32" t="n">
        <f>3027585731</f>
        <v>3.027585731E9</v>
      </c>
      <c r="X296" s="36" t="n">
        <f>5</f>
        <v>5.0</v>
      </c>
    </row>
    <row r="297">
      <c r="A297" s="27" t="s">
        <v>42</v>
      </c>
      <c r="B297" s="27" t="s">
        <v>939</v>
      </c>
      <c r="C297" s="27" t="s">
        <v>940</v>
      </c>
      <c r="D297" s="27" t="s">
        <v>941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133900</f>
        <v>133900.0</v>
      </c>
      <c r="L297" s="34" t="s">
        <v>48</v>
      </c>
      <c r="M297" s="33" t="n">
        <f>135200</f>
        <v>135200.0</v>
      </c>
      <c r="N297" s="34" t="s">
        <v>49</v>
      </c>
      <c r="O297" s="33" t="n">
        <f>128100</f>
        <v>128100.0</v>
      </c>
      <c r="P297" s="34" t="s">
        <v>175</v>
      </c>
      <c r="Q297" s="33" t="n">
        <f>135100</f>
        <v>135100.0</v>
      </c>
      <c r="R297" s="34" t="s">
        <v>51</v>
      </c>
      <c r="S297" s="35" t="n">
        <f>132173.68</f>
        <v>132173.68</v>
      </c>
      <c r="T297" s="32" t="n">
        <f>27028</f>
        <v>27028.0</v>
      </c>
      <c r="U297" s="32" t="n">
        <f>9164</f>
        <v>9164.0</v>
      </c>
      <c r="V297" s="32" t="n">
        <f>3563421468</f>
        <v>3.563421468E9</v>
      </c>
      <c r="W297" s="32" t="n">
        <f>1204700668</f>
        <v>1.204700668E9</v>
      </c>
      <c r="X297" s="36" t="n">
        <f>19</f>
        <v>19.0</v>
      </c>
    </row>
    <row r="298">
      <c r="A298" s="27" t="s">
        <v>42</v>
      </c>
      <c r="B298" s="27" t="s">
        <v>942</v>
      </c>
      <c r="C298" s="27" t="s">
        <v>943</v>
      </c>
      <c r="D298" s="27" t="s">
        <v>944</v>
      </c>
      <c r="E298" s="28" t="s">
        <v>46</v>
      </c>
      <c r="F298" s="29" t="s">
        <v>46</v>
      </c>
      <c r="G298" s="30" t="s">
        <v>46</v>
      </c>
      <c r="H298" s="31"/>
      <c r="I298" s="31" t="s">
        <v>598</v>
      </c>
      <c r="J298" s="32" t="n">
        <v>1.0</v>
      </c>
      <c r="K298" s="33" t="n">
        <f>98500</f>
        <v>98500.0</v>
      </c>
      <c r="L298" s="34" t="s">
        <v>48</v>
      </c>
      <c r="M298" s="33" t="n">
        <f>98800</f>
        <v>98800.0</v>
      </c>
      <c r="N298" s="34" t="s">
        <v>48</v>
      </c>
      <c r="O298" s="33" t="n">
        <f>92700</f>
        <v>92700.0</v>
      </c>
      <c r="P298" s="34" t="s">
        <v>50</v>
      </c>
      <c r="Q298" s="33" t="n">
        <f>97500</f>
        <v>97500.0</v>
      </c>
      <c r="R298" s="34" t="s">
        <v>51</v>
      </c>
      <c r="S298" s="35" t="n">
        <f>95826.32</f>
        <v>95826.32</v>
      </c>
      <c r="T298" s="32" t="n">
        <f>75410</f>
        <v>75410.0</v>
      </c>
      <c r="U298" s="32" t="n">
        <f>10023</f>
        <v>10023.0</v>
      </c>
      <c r="V298" s="32" t="n">
        <f>7197570409</f>
        <v>7.197570409E9</v>
      </c>
      <c r="W298" s="32" t="n">
        <f>956602809</f>
        <v>9.56602809E8</v>
      </c>
      <c r="X298" s="36" t="n">
        <f>19</f>
        <v>19.0</v>
      </c>
    </row>
    <row r="299">
      <c r="A299" s="27" t="s">
        <v>42</v>
      </c>
      <c r="B299" s="27" t="s">
        <v>945</v>
      </c>
      <c r="C299" s="27" t="s">
        <v>946</v>
      </c>
      <c r="D299" s="27" t="s">
        <v>947</v>
      </c>
      <c r="E299" s="28" t="s">
        <v>46</v>
      </c>
      <c r="F299" s="29" t="s">
        <v>46</v>
      </c>
      <c r="G299" s="30" t="s">
        <v>46</v>
      </c>
      <c r="H299" s="31"/>
      <c r="I299" s="31" t="s">
        <v>598</v>
      </c>
      <c r="J299" s="32" t="n">
        <v>1.0</v>
      </c>
      <c r="K299" s="33" t="n">
        <f>159700</f>
        <v>159700.0</v>
      </c>
      <c r="L299" s="34" t="s">
        <v>48</v>
      </c>
      <c r="M299" s="33" t="n">
        <f>160900</f>
        <v>160900.0</v>
      </c>
      <c r="N299" s="34" t="s">
        <v>48</v>
      </c>
      <c r="O299" s="33" t="n">
        <f>150100</f>
        <v>150100.0</v>
      </c>
      <c r="P299" s="34" t="s">
        <v>50</v>
      </c>
      <c r="Q299" s="33" t="n">
        <f>154000</f>
        <v>154000.0</v>
      </c>
      <c r="R299" s="34" t="s">
        <v>51</v>
      </c>
      <c r="S299" s="35" t="n">
        <f>155547.37</f>
        <v>155547.37</v>
      </c>
      <c r="T299" s="32" t="n">
        <f>41910</f>
        <v>41910.0</v>
      </c>
      <c r="U299" s="32" t="n">
        <f>8185</f>
        <v>8185.0</v>
      </c>
      <c r="V299" s="32" t="n">
        <f>6522155901</f>
        <v>6.522155901E9</v>
      </c>
      <c r="W299" s="32" t="n">
        <f>1270272301</f>
        <v>1.270272301E9</v>
      </c>
      <c r="X299" s="36" t="n">
        <f>19</f>
        <v>19.0</v>
      </c>
    </row>
    <row r="300">
      <c r="A300" s="27" t="s">
        <v>42</v>
      </c>
      <c r="B300" s="27" t="s">
        <v>948</v>
      </c>
      <c r="C300" s="27" t="s">
        <v>949</v>
      </c>
      <c r="D300" s="27" t="s">
        <v>950</v>
      </c>
      <c r="E300" s="28" t="s">
        <v>46</v>
      </c>
      <c r="F300" s="29" t="s">
        <v>46</v>
      </c>
      <c r="G300" s="30" t="s">
        <v>46</v>
      </c>
      <c r="H300" s="31"/>
      <c r="I300" s="31" t="s">
        <v>598</v>
      </c>
      <c r="J300" s="32" t="n">
        <v>1.0</v>
      </c>
      <c r="K300" s="33" t="n">
        <f>115700</f>
        <v>115700.0</v>
      </c>
      <c r="L300" s="34" t="s">
        <v>48</v>
      </c>
      <c r="M300" s="33" t="n">
        <f>119900</f>
        <v>119900.0</v>
      </c>
      <c r="N300" s="34" t="s">
        <v>302</v>
      </c>
      <c r="O300" s="33" t="n">
        <f>113200</f>
        <v>113200.0</v>
      </c>
      <c r="P300" s="34" t="s">
        <v>50</v>
      </c>
      <c r="Q300" s="33" t="n">
        <f>119000</f>
        <v>119000.0</v>
      </c>
      <c r="R300" s="34" t="s">
        <v>51</v>
      </c>
      <c r="S300" s="35" t="n">
        <f>116684.21</f>
        <v>116684.21</v>
      </c>
      <c r="T300" s="32" t="n">
        <f>14883</f>
        <v>14883.0</v>
      </c>
      <c r="U300" s="32" t="n">
        <f>1290</f>
        <v>1290.0</v>
      </c>
      <c r="V300" s="32" t="n">
        <f>1739860153</f>
        <v>1.739860153E9</v>
      </c>
      <c r="W300" s="32" t="n">
        <f>150232853</f>
        <v>1.50232853E8</v>
      </c>
      <c r="X300" s="36" t="n">
        <f>19</f>
        <v>19.0</v>
      </c>
    </row>
    <row r="301">
      <c r="A301" s="27" t="s">
        <v>42</v>
      </c>
      <c r="B301" s="27" t="s">
        <v>951</v>
      </c>
      <c r="C301" s="27" t="s">
        <v>952</v>
      </c>
      <c r="D301" s="27" t="s">
        <v>953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629000</f>
        <v>629000.0</v>
      </c>
      <c r="L301" s="34" t="s">
        <v>48</v>
      </c>
      <c r="M301" s="33" t="n">
        <f>673000</f>
        <v>673000.0</v>
      </c>
      <c r="N301" s="34" t="s">
        <v>51</v>
      </c>
      <c r="O301" s="33" t="n">
        <f>627000</f>
        <v>627000.0</v>
      </c>
      <c r="P301" s="34" t="s">
        <v>48</v>
      </c>
      <c r="Q301" s="33" t="n">
        <f>670000</f>
        <v>670000.0</v>
      </c>
      <c r="R301" s="34" t="s">
        <v>51</v>
      </c>
      <c r="S301" s="35" t="n">
        <f>647210.53</f>
        <v>647210.53</v>
      </c>
      <c r="T301" s="32" t="n">
        <f>32649</f>
        <v>32649.0</v>
      </c>
      <c r="U301" s="32" t="n">
        <f>7206</f>
        <v>7206.0</v>
      </c>
      <c r="V301" s="32" t="n">
        <f>21159833129</f>
        <v>2.1159833129E10</v>
      </c>
      <c r="W301" s="32" t="n">
        <f>4661845129</f>
        <v>4.661845129E9</v>
      </c>
      <c r="X301" s="36" t="n">
        <f>19</f>
        <v>19.0</v>
      </c>
    </row>
    <row r="302">
      <c r="A302" s="27" t="s">
        <v>42</v>
      </c>
      <c r="B302" s="27" t="s">
        <v>954</v>
      </c>
      <c r="C302" s="27" t="s">
        <v>955</v>
      </c>
      <c r="D302" s="27" t="s">
        <v>956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147800</f>
        <v>147800.0</v>
      </c>
      <c r="L302" s="34" t="s">
        <v>48</v>
      </c>
      <c r="M302" s="33" t="n">
        <f>153200</f>
        <v>153200.0</v>
      </c>
      <c r="N302" s="34" t="s">
        <v>51</v>
      </c>
      <c r="O302" s="33" t="n">
        <f>145200</f>
        <v>145200.0</v>
      </c>
      <c r="P302" s="34" t="s">
        <v>91</v>
      </c>
      <c r="Q302" s="33" t="n">
        <f>152200</f>
        <v>152200.0</v>
      </c>
      <c r="R302" s="34" t="s">
        <v>51</v>
      </c>
      <c r="S302" s="35" t="n">
        <f>149184.21</f>
        <v>149184.21</v>
      </c>
      <c r="T302" s="32" t="n">
        <f>115502</f>
        <v>115502.0</v>
      </c>
      <c r="U302" s="32" t="n">
        <f>28520</f>
        <v>28520.0</v>
      </c>
      <c r="V302" s="32" t="n">
        <f>17246546272</f>
        <v>1.7246546272E10</v>
      </c>
      <c r="W302" s="32" t="n">
        <f>4268852972</f>
        <v>4.268852972E9</v>
      </c>
      <c r="X302" s="36" t="n">
        <f>19</f>
        <v>19.0</v>
      </c>
    </row>
    <row r="303">
      <c r="A303" s="27" t="s">
        <v>42</v>
      </c>
      <c r="B303" s="27" t="s">
        <v>957</v>
      </c>
      <c r="C303" s="27" t="s">
        <v>958</v>
      </c>
      <c r="D303" s="27" t="s">
        <v>959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184200</f>
        <v>184200.0</v>
      </c>
      <c r="L303" s="34" t="s">
        <v>48</v>
      </c>
      <c r="M303" s="33" t="n">
        <f>192100</f>
        <v>192100.0</v>
      </c>
      <c r="N303" s="34" t="s">
        <v>51</v>
      </c>
      <c r="O303" s="33" t="n">
        <f>181500</f>
        <v>181500.0</v>
      </c>
      <c r="P303" s="34" t="s">
        <v>48</v>
      </c>
      <c r="Q303" s="33" t="n">
        <f>190400</f>
        <v>190400.0</v>
      </c>
      <c r="R303" s="34" t="s">
        <v>51</v>
      </c>
      <c r="S303" s="35" t="n">
        <f>186526.32</f>
        <v>186526.32</v>
      </c>
      <c r="T303" s="32" t="n">
        <f>157814</f>
        <v>157814.0</v>
      </c>
      <c r="U303" s="32" t="n">
        <f>34885</f>
        <v>34885.0</v>
      </c>
      <c r="V303" s="32" t="n">
        <f>29482444030</f>
        <v>2.948244403E10</v>
      </c>
      <c r="W303" s="32" t="n">
        <f>6530116130</f>
        <v>6.53011613E9</v>
      </c>
      <c r="X303" s="36" t="n">
        <f>19</f>
        <v>19.0</v>
      </c>
    </row>
    <row r="304">
      <c r="A304" s="27" t="s">
        <v>42</v>
      </c>
      <c r="B304" s="27" t="s">
        <v>960</v>
      </c>
      <c r="C304" s="27" t="s">
        <v>961</v>
      </c>
      <c r="D304" s="27" t="s">
        <v>962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354500</f>
        <v>354500.0</v>
      </c>
      <c r="L304" s="34" t="s">
        <v>48</v>
      </c>
      <c r="M304" s="33" t="n">
        <f>363000</f>
        <v>363000.0</v>
      </c>
      <c r="N304" s="34" t="s">
        <v>48</v>
      </c>
      <c r="O304" s="33" t="n">
        <f>338500</f>
        <v>338500.0</v>
      </c>
      <c r="P304" s="34" t="s">
        <v>50</v>
      </c>
      <c r="Q304" s="33" t="n">
        <f>360500</f>
        <v>360500.0</v>
      </c>
      <c r="R304" s="34" t="s">
        <v>51</v>
      </c>
      <c r="S304" s="35" t="n">
        <f>349894.74</f>
        <v>349894.74</v>
      </c>
      <c r="T304" s="32" t="n">
        <f>103421</f>
        <v>103421.0</v>
      </c>
      <c r="U304" s="32" t="n">
        <f>26476</f>
        <v>26476.0</v>
      </c>
      <c r="V304" s="32" t="n">
        <f>36120827939</f>
        <v>3.6120827939E10</v>
      </c>
      <c r="W304" s="32" t="n">
        <f>9230485439</f>
        <v>9.230485439E9</v>
      </c>
      <c r="X304" s="36" t="n">
        <f>19</f>
        <v>19.0</v>
      </c>
    </row>
    <row r="305">
      <c r="A305" s="27" t="s">
        <v>42</v>
      </c>
      <c r="B305" s="27" t="s">
        <v>963</v>
      </c>
      <c r="C305" s="27" t="s">
        <v>964</v>
      </c>
      <c r="D305" s="27" t="s">
        <v>965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207700</f>
        <v>207700.0</v>
      </c>
      <c r="L305" s="34" t="s">
        <v>48</v>
      </c>
      <c r="M305" s="33" t="n">
        <f>214700</f>
        <v>214700.0</v>
      </c>
      <c r="N305" s="34" t="s">
        <v>51</v>
      </c>
      <c r="O305" s="33" t="n">
        <f>205300</f>
        <v>205300.0</v>
      </c>
      <c r="P305" s="34" t="s">
        <v>50</v>
      </c>
      <c r="Q305" s="33" t="n">
        <f>214100</f>
        <v>214100.0</v>
      </c>
      <c r="R305" s="34" t="s">
        <v>51</v>
      </c>
      <c r="S305" s="35" t="n">
        <f>210005.26</f>
        <v>210005.26</v>
      </c>
      <c r="T305" s="32" t="n">
        <f>57898</f>
        <v>57898.0</v>
      </c>
      <c r="U305" s="32" t="n">
        <f>14058</f>
        <v>14058.0</v>
      </c>
      <c r="V305" s="32" t="n">
        <f>12162288409</f>
        <v>1.2162288409E10</v>
      </c>
      <c r="W305" s="32" t="n">
        <f>2950330709</f>
        <v>2.950330709E9</v>
      </c>
      <c r="X305" s="36" t="n">
        <f>19</f>
        <v>19.0</v>
      </c>
    </row>
    <row r="306">
      <c r="A306" s="27" t="s">
        <v>42</v>
      </c>
      <c r="B306" s="27" t="s">
        <v>966</v>
      </c>
      <c r="C306" s="27" t="s">
        <v>967</v>
      </c>
      <c r="D306" s="27" t="s">
        <v>968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410000</f>
        <v>410000.0</v>
      </c>
      <c r="L306" s="34" t="s">
        <v>48</v>
      </c>
      <c r="M306" s="33" t="n">
        <f>424500</f>
        <v>424500.0</v>
      </c>
      <c r="N306" s="34" t="s">
        <v>302</v>
      </c>
      <c r="O306" s="33" t="n">
        <f>403500</f>
        <v>403500.0</v>
      </c>
      <c r="P306" s="34" t="s">
        <v>50</v>
      </c>
      <c r="Q306" s="33" t="n">
        <f>410500</f>
        <v>410500.0</v>
      </c>
      <c r="R306" s="34" t="s">
        <v>51</v>
      </c>
      <c r="S306" s="35" t="n">
        <f>415342.11</f>
        <v>415342.11</v>
      </c>
      <c r="T306" s="32" t="n">
        <f>61949</f>
        <v>61949.0</v>
      </c>
      <c r="U306" s="32" t="n">
        <f>11449</f>
        <v>11449.0</v>
      </c>
      <c r="V306" s="32" t="n">
        <f>25733235145</f>
        <v>2.5733235145E10</v>
      </c>
      <c r="W306" s="32" t="n">
        <f>4745310645</f>
        <v>4.745310645E9</v>
      </c>
      <c r="X306" s="36" t="n">
        <f>19</f>
        <v>19.0</v>
      </c>
    </row>
    <row r="307">
      <c r="A307" s="27" t="s">
        <v>42</v>
      </c>
      <c r="B307" s="27" t="s">
        <v>969</v>
      </c>
      <c r="C307" s="27" t="s">
        <v>970</v>
      </c>
      <c r="D307" s="27" t="s">
        <v>971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173100</f>
        <v>173100.0</v>
      </c>
      <c r="L307" s="34" t="s">
        <v>48</v>
      </c>
      <c r="M307" s="33" t="n">
        <f>177500</f>
        <v>177500.0</v>
      </c>
      <c r="N307" s="34" t="s">
        <v>48</v>
      </c>
      <c r="O307" s="33" t="n">
        <f>160200</f>
        <v>160200.0</v>
      </c>
      <c r="P307" s="34" t="s">
        <v>74</v>
      </c>
      <c r="Q307" s="33" t="n">
        <f>165700</f>
        <v>165700.0</v>
      </c>
      <c r="R307" s="34" t="s">
        <v>51</v>
      </c>
      <c r="S307" s="35" t="n">
        <f>168489.47</f>
        <v>168489.47</v>
      </c>
      <c r="T307" s="32" t="n">
        <f>386529</f>
        <v>386529.0</v>
      </c>
      <c r="U307" s="32" t="n">
        <f>97770</f>
        <v>97770.0</v>
      </c>
      <c r="V307" s="32" t="n">
        <f>65018123670</f>
        <v>6.501812367E10</v>
      </c>
      <c r="W307" s="32" t="n">
        <f>16404883070</f>
        <v>1.640488307E10</v>
      </c>
      <c r="X307" s="36" t="n">
        <f>19</f>
        <v>19.0</v>
      </c>
    </row>
    <row r="308">
      <c r="A308" s="27" t="s">
        <v>42</v>
      </c>
      <c r="B308" s="27" t="s">
        <v>972</v>
      </c>
      <c r="C308" s="27" t="s">
        <v>973</v>
      </c>
      <c r="D308" s="27" t="s">
        <v>974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320500</f>
        <v>320500.0</v>
      </c>
      <c r="L308" s="34" t="s">
        <v>48</v>
      </c>
      <c r="M308" s="33" t="n">
        <f>340000</f>
        <v>340000.0</v>
      </c>
      <c r="N308" s="34" t="s">
        <v>51</v>
      </c>
      <c r="O308" s="33" t="n">
        <f>320000</f>
        <v>320000.0</v>
      </c>
      <c r="P308" s="34" t="s">
        <v>48</v>
      </c>
      <c r="Q308" s="33" t="n">
        <f>339000</f>
        <v>339000.0</v>
      </c>
      <c r="R308" s="34" t="s">
        <v>51</v>
      </c>
      <c r="S308" s="35" t="n">
        <f>329684.21</f>
        <v>329684.21</v>
      </c>
      <c r="T308" s="32" t="n">
        <f>56939</f>
        <v>56939.0</v>
      </c>
      <c r="U308" s="32" t="n">
        <f>14718</f>
        <v>14718.0</v>
      </c>
      <c r="V308" s="32" t="n">
        <f>18833288282</f>
        <v>1.8833288282E10</v>
      </c>
      <c r="W308" s="32" t="n">
        <f>4881262282</f>
        <v>4.881262282E9</v>
      </c>
      <c r="X308" s="36" t="n">
        <f>19</f>
        <v>19.0</v>
      </c>
    </row>
    <row r="309">
      <c r="A309" s="27" t="s">
        <v>42</v>
      </c>
      <c r="B309" s="27" t="s">
        <v>975</v>
      </c>
      <c r="C309" s="27" t="s">
        <v>976</v>
      </c>
      <c r="D309" s="27" t="s">
        <v>977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354000</f>
        <v>354000.0</v>
      </c>
      <c r="L309" s="34" t="s">
        <v>48</v>
      </c>
      <c r="M309" s="33" t="n">
        <f>366500</f>
        <v>366500.0</v>
      </c>
      <c r="N309" s="34" t="s">
        <v>48</v>
      </c>
      <c r="O309" s="33" t="n">
        <f>337000</f>
        <v>337000.0</v>
      </c>
      <c r="P309" s="34" t="s">
        <v>50</v>
      </c>
      <c r="Q309" s="33" t="n">
        <f>343000</f>
        <v>343000.0</v>
      </c>
      <c r="R309" s="34" t="s">
        <v>51</v>
      </c>
      <c r="S309" s="35" t="n">
        <f>349368.42</f>
        <v>349368.42</v>
      </c>
      <c r="T309" s="32" t="n">
        <f>194687</f>
        <v>194687.0</v>
      </c>
      <c r="U309" s="32" t="n">
        <f>46407</f>
        <v>46407.0</v>
      </c>
      <c r="V309" s="32" t="n">
        <f>67883375365</f>
        <v>6.7883375365E10</v>
      </c>
      <c r="W309" s="32" t="n">
        <f>16154614865</f>
        <v>1.6154614865E10</v>
      </c>
      <c r="X309" s="36" t="n">
        <f>19</f>
        <v>19.0</v>
      </c>
    </row>
    <row r="310">
      <c r="A310" s="27" t="s">
        <v>42</v>
      </c>
      <c r="B310" s="27" t="s">
        <v>978</v>
      </c>
      <c r="C310" s="27" t="s">
        <v>979</v>
      </c>
      <c r="D310" s="27" t="s">
        <v>980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666000</f>
        <v>666000.0</v>
      </c>
      <c r="L310" s="34" t="s">
        <v>48</v>
      </c>
      <c r="M310" s="33" t="n">
        <f>708000</f>
        <v>708000.0</v>
      </c>
      <c r="N310" s="34" t="s">
        <v>49</v>
      </c>
      <c r="O310" s="33" t="n">
        <f>653000</f>
        <v>653000.0</v>
      </c>
      <c r="P310" s="34" t="s">
        <v>62</v>
      </c>
      <c r="Q310" s="33" t="n">
        <f>695000</f>
        <v>695000.0</v>
      </c>
      <c r="R310" s="34" t="s">
        <v>51</v>
      </c>
      <c r="S310" s="35" t="n">
        <f>681052.63</f>
        <v>681052.63</v>
      </c>
      <c r="T310" s="32" t="n">
        <f>23453</f>
        <v>23453.0</v>
      </c>
      <c r="U310" s="32" t="n">
        <f>3518</f>
        <v>3518.0</v>
      </c>
      <c r="V310" s="32" t="n">
        <f>15989859728</f>
        <v>1.5989859728E10</v>
      </c>
      <c r="W310" s="32" t="n">
        <f>2401700728</f>
        <v>2.401700728E9</v>
      </c>
      <c r="X310" s="36" t="n">
        <f>19</f>
        <v>19.0</v>
      </c>
    </row>
    <row r="311">
      <c r="A311" s="27" t="s">
        <v>42</v>
      </c>
      <c r="B311" s="27" t="s">
        <v>981</v>
      </c>
      <c r="C311" s="27" t="s">
        <v>982</v>
      </c>
      <c r="D311" s="27" t="s">
        <v>983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278300</f>
        <v>278300.0</v>
      </c>
      <c r="L311" s="34" t="s">
        <v>48</v>
      </c>
      <c r="M311" s="33" t="n">
        <f>281900</f>
        <v>281900.0</v>
      </c>
      <c r="N311" s="34" t="s">
        <v>49</v>
      </c>
      <c r="O311" s="33" t="n">
        <f>263600</f>
        <v>263600.0</v>
      </c>
      <c r="P311" s="34" t="s">
        <v>50</v>
      </c>
      <c r="Q311" s="33" t="n">
        <f>280900</f>
        <v>280900.0</v>
      </c>
      <c r="R311" s="34" t="s">
        <v>51</v>
      </c>
      <c r="S311" s="35" t="n">
        <f>275805.26</f>
        <v>275805.26</v>
      </c>
      <c r="T311" s="32" t="n">
        <f>23278</f>
        <v>23278.0</v>
      </c>
      <c r="U311" s="32" t="n">
        <f>4900</f>
        <v>4900.0</v>
      </c>
      <c r="V311" s="32" t="n">
        <f>6399066544</f>
        <v>6.399066544E9</v>
      </c>
      <c r="W311" s="32" t="n">
        <f>1347087544</f>
        <v>1.347087544E9</v>
      </c>
      <c r="X311" s="36" t="n">
        <f>19</f>
        <v>19.0</v>
      </c>
    </row>
    <row r="312">
      <c r="A312" s="27" t="s">
        <v>42</v>
      </c>
      <c r="B312" s="27" t="s">
        <v>984</v>
      </c>
      <c r="C312" s="27" t="s">
        <v>985</v>
      </c>
      <c r="D312" s="27" t="s">
        <v>986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148700</f>
        <v>148700.0</v>
      </c>
      <c r="L312" s="34" t="s">
        <v>48</v>
      </c>
      <c r="M312" s="33" t="n">
        <f>154700</f>
        <v>154700.0</v>
      </c>
      <c r="N312" s="34" t="s">
        <v>51</v>
      </c>
      <c r="O312" s="33" t="n">
        <f>145700</f>
        <v>145700.0</v>
      </c>
      <c r="P312" s="34" t="s">
        <v>50</v>
      </c>
      <c r="Q312" s="33" t="n">
        <f>154100</f>
        <v>154100.0</v>
      </c>
      <c r="R312" s="34" t="s">
        <v>51</v>
      </c>
      <c r="S312" s="35" t="n">
        <f>150536.84</f>
        <v>150536.84</v>
      </c>
      <c r="T312" s="32" t="n">
        <f>107065</f>
        <v>107065.0</v>
      </c>
      <c r="U312" s="32" t="n">
        <f>20786</f>
        <v>20786.0</v>
      </c>
      <c r="V312" s="32" t="n">
        <f>16112437403</f>
        <v>1.6112437403E10</v>
      </c>
      <c r="W312" s="32" t="n">
        <f>3122895303</f>
        <v>3.122895303E9</v>
      </c>
      <c r="X312" s="36" t="n">
        <f>19</f>
        <v>19.0</v>
      </c>
    </row>
    <row r="313">
      <c r="A313" s="27" t="s">
        <v>42</v>
      </c>
      <c r="B313" s="27" t="s">
        <v>987</v>
      </c>
      <c r="C313" s="27" t="s">
        <v>988</v>
      </c>
      <c r="D313" s="27" t="s">
        <v>989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160000</f>
        <v>160000.0</v>
      </c>
      <c r="L313" s="34" t="s">
        <v>48</v>
      </c>
      <c r="M313" s="33" t="n">
        <f>162600</f>
        <v>162600.0</v>
      </c>
      <c r="N313" s="34" t="s">
        <v>48</v>
      </c>
      <c r="O313" s="33" t="n">
        <f>153600</f>
        <v>153600.0</v>
      </c>
      <c r="P313" s="34" t="s">
        <v>50</v>
      </c>
      <c r="Q313" s="33" t="n">
        <f>162100</f>
        <v>162100.0</v>
      </c>
      <c r="R313" s="34" t="s">
        <v>51</v>
      </c>
      <c r="S313" s="35" t="n">
        <f>159715.79</f>
        <v>159715.79</v>
      </c>
      <c r="T313" s="32" t="n">
        <f>88387</f>
        <v>88387.0</v>
      </c>
      <c r="U313" s="32" t="n">
        <f>18587</f>
        <v>18587.0</v>
      </c>
      <c r="V313" s="32" t="n">
        <f>14081640299</f>
        <v>1.4081640299E10</v>
      </c>
      <c r="W313" s="32" t="n">
        <f>2961346099</f>
        <v>2.961346099E9</v>
      </c>
      <c r="X313" s="36" t="n">
        <f>19</f>
        <v>19.0</v>
      </c>
    </row>
    <row r="314">
      <c r="A314" s="27" t="s">
        <v>42</v>
      </c>
      <c r="B314" s="27" t="s">
        <v>990</v>
      </c>
      <c r="C314" s="27" t="s">
        <v>991</v>
      </c>
      <c r="D314" s="27" t="s">
        <v>992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372500</f>
        <v>372500.0</v>
      </c>
      <c r="L314" s="34" t="s">
        <v>48</v>
      </c>
      <c r="M314" s="33" t="n">
        <f>381000</f>
        <v>381000.0</v>
      </c>
      <c r="N314" s="34" t="s">
        <v>49</v>
      </c>
      <c r="O314" s="33" t="n">
        <f>358500</f>
        <v>358500.0</v>
      </c>
      <c r="P314" s="34" t="s">
        <v>50</v>
      </c>
      <c r="Q314" s="33" t="n">
        <f>380500</f>
        <v>380500.0</v>
      </c>
      <c r="R314" s="34" t="s">
        <v>51</v>
      </c>
      <c r="S314" s="35" t="n">
        <f>371421.05</f>
        <v>371421.05</v>
      </c>
      <c r="T314" s="32" t="n">
        <f>29034</f>
        <v>29034.0</v>
      </c>
      <c r="U314" s="32" t="n">
        <f>5409</f>
        <v>5409.0</v>
      </c>
      <c r="V314" s="32" t="n">
        <f>10776759716</f>
        <v>1.0776759716E10</v>
      </c>
      <c r="W314" s="32" t="n">
        <f>2007292216</f>
        <v>2.007292216E9</v>
      </c>
      <c r="X314" s="36" t="n">
        <f>19</f>
        <v>19.0</v>
      </c>
    </row>
    <row r="315">
      <c r="A315" s="27" t="s">
        <v>42</v>
      </c>
      <c r="B315" s="27" t="s">
        <v>993</v>
      </c>
      <c r="C315" s="27" t="s">
        <v>994</v>
      </c>
      <c r="D315" s="27" t="s">
        <v>995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75000</f>
        <v>75000.0</v>
      </c>
      <c r="L315" s="34" t="s">
        <v>48</v>
      </c>
      <c r="M315" s="33" t="n">
        <f>79900</f>
        <v>79900.0</v>
      </c>
      <c r="N315" s="34" t="s">
        <v>49</v>
      </c>
      <c r="O315" s="33" t="n">
        <f>74800</f>
        <v>74800.0</v>
      </c>
      <c r="P315" s="34" t="s">
        <v>48</v>
      </c>
      <c r="Q315" s="33" t="n">
        <f>79500</f>
        <v>79500.0</v>
      </c>
      <c r="R315" s="34" t="s">
        <v>51</v>
      </c>
      <c r="S315" s="35" t="n">
        <f>77731.58</f>
        <v>77731.58</v>
      </c>
      <c r="T315" s="32" t="n">
        <f>340405</f>
        <v>340405.0</v>
      </c>
      <c r="U315" s="32" t="n">
        <f>98199</f>
        <v>98199.0</v>
      </c>
      <c r="V315" s="32" t="n">
        <f>26537845348</f>
        <v>2.6537845348E10</v>
      </c>
      <c r="W315" s="32" t="n">
        <f>7671249248</f>
        <v>7.671249248E9</v>
      </c>
      <c r="X315" s="36" t="n">
        <f>19</f>
        <v>19.0</v>
      </c>
    </row>
    <row r="316">
      <c r="A316" s="27" t="s">
        <v>42</v>
      </c>
      <c r="B316" s="27" t="s">
        <v>996</v>
      </c>
      <c r="C316" s="27" t="s">
        <v>997</v>
      </c>
      <c r="D316" s="27" t="s">
        <v>998</v>
      </c>
      <c r="E316" s="28" t="s">
        <v>46</v>
      </c>
      <c r="F316" s="29" t="s">
        <v>46</v>
      </c>
      <c r="G316" s="30" t="s">
        <v>46</v>
      </c>
      <c r="H316" s="31"/>
      <c r="I316" s="31" t="s">
        <v>598</v>
      </c>
      <c r="J316" s="32" t="n">
        <v>1.0</v>
      </c>
      <c r="K316" s="33" t="n">
        <f>131500</f>
        <v>131500.0</v>
      </c>
      <c r="L316" s="34" t="s">
        <v>48</v>
      </c>
      <c r="M316" s="33" t="n">
        <f>134300</f>
        <v>134300.0</v>
      </c>
      <c r="N316" s="34" t="s">
        <v>51</v>
      </c>
      <c r="O316" s="33" t="n">
        <f>129400</f>
        <v>129400.0</v>
      </c>
      <c r="P316" s="34" t="s">
        <v>175</v>
      </c>
      <c r="Q316" s="33" t="n">
        <f>133200</f>
        <v>133200.0</v>
      </c>
      <c r="R316" s="34" t="s">
        <v>51</v>
      </c>
      <c r="S316" s="35" t="n">
        <f>132063.16</f>
        <v>132063.16</v>
      </c>
      <c r="T316" s="32" t="n">
        <f>22224</f>
        <v>22224.0</v>
      </c>
      <c r="U316" s="32" t="n">
        <f>2921</f>
        <v>2921.0</v>
      </c>
      <c r="V316" s="32" t="n">
        <f>2934650201</f>
        <v>2.934650201E9</v>
      </c>
      <c r="W316" s="32" t="n">
        <f>385927301</f>
        <v>3.85927301E8</v>
      </c>
      <c r="X316" s="36" t="n">
        <f>19</f>
        <v>19.0</v>
      </c>
    </row>
    <row r="317">
      <c r="A317" s="27" t="s">
        <v>42</v>
      </c>
      <c r="B317" s="27" t="s">
        <v>999</v>
      </c>
      <c r="C317" s="27" t="s">
        <v>1000</v>
      </c>
      <c r="D317" s="27" t="s">
        <v>1001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273800</f>
        <v>273800.0</v>
      </c>
      <c r="L317" s="34" t="s">
        <v>48</v>
      </c>
      <c r="M317" s="33" t="n">
        <f>278400</f>
        <v>278400.0</v>
      </c>
      <c r="N317" s="34" t="s">
        <v>51</v>
      </c>
      <c r="O317" s="33" t="n">
        <f>264400</f>
        <v>264400.0</v>
      </c>
      <c r="P317" s="34" t="s">
        <v>50</v>
      </c>
      <c r="Q317" s="33" t="n">
        <f>278100</f>
        <v>278100.0</v>
      </c>
      <c r="R317" s="34" t="s">
        <v>51</v>
      </c>
      <c r="S317" s="35" t="n">
        <f>272189.47</f>
        <v>272189.47</v>
      </c>
      <c r="T317" s="32" t="n">
        <f>60047</f>
        <v>60047.0</v>
      </c>
      <c r="U317" s="32" t="n">
        <f>11554</f>
        <v>11554.0</v>
      </c>
      <c r="V317" s="32" t="n">
        <f>16307082110</f>
        <v>1.630708211E10</v>
      </c>
      <c r="W317" s="32" t="n">
        <f>3140692810</f>
        <v>3.14069281E9</v>
      </c>
      <c r="X317" s="36" t="n">
        <f>19</f>
        <v>19.0</v>
      </c>
    </row>
    <row r="318">
      <c r="A318" s="27" t="s">
        <v>42</v>
      </c>
      <c r="B318" s="27" t="s">
        <v>1002</v>
      </c>
      <c r="C318" s="27" t="s">
        <v>1003</v>
      </c>
      <c r="D318" s="27" t="s">
        <v>1004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157800</f>
        <v>157800.0</v>
      </c>
      <c r="L318" s="34" t="s">
        <v>48</v>
      </c>
      <c r="M318" s="33" t="n">
        <f>165500</f>
        <v>165500.0</v>
      </c>
      <c r="N318" s="34" t="s">
        <v>302</v>
      </c>
      <c r="O318" s="33" t="n">
        <f>157100</f>
        <v>157100.0</v>
      </c>
      <c r="P318" s="34" t="s">
        <v>91</v>
      </c>
      <c r="Q318" s="33" t="n">
        <f>165300</f>
        <v>165300.0</v>
      </c>
      <c r="R318" s="34" t="s">
        <v>51</v>
      </c>
      <c r="S318" s="35" t="n">
        <f>161994.74</f>
        <v>161994.74</v>
      </c>
      <c r="T318" s="32" t="n">
        <f>17777</f>
        <v>17777.0</v>
      </c>
      <c r="U318" s="32" t="n">
        <f>3495</f>
        <v>3495.0</v>
      </c>
      <c r="V318" s="32" t="n">
        <f>2878977523</f>
        <v>2.878977523E9</v>
      </c>
      <c r="W318" s="32" t="n">
        <f>566522623</f>
        <v>5.66522623E8</v>
      </c>
      <c r="X318" s="36" t="n">
        <f>19</f>
        <v>19.0</v>
      </c>
    </row>
    <row r="319">
      <c r="A319" s="27" t="s">
        <v>42</v>
      </c>
      <c r="B319" s="27" t="s">
        <v>1005</v>
      </c>
      <c r="C319" s="27" t="s">
        <v>1006</v>
      </c>
      <c r="D319" s="27" t="s">
        <v>1007</v>
      </c>
      <c r="E319" s="28" t="s">
        <v>46</v>
      </c>
      <c r="F319" s="29" t="s">
        <v>46</v>
      </c>
      <c r="G319" s="30" t="s">
        <v>46</v>
      </c>
      <c r="H319" s="31"/>
      <c r="I319" s="31" t="s">
        <v>598</v>
      </c>
      <c r="J319" s="32" t="n">
        <v>1.0</v>
      </c>
      <c r="K319" s="33" t="n">
        <f>132300</f>
        <v>132300.0</v>
      </c>
      <c r="L319" s="34" t="s">
        <v>48</v>
      </c>
      <c r="M319" s="33" t="n">
        <f>138500</f>
        <v>138500.0</v>
      </c>
      <c r="N319" s="34" t="s">
        <v>49</v>
      </c>
      <c r="O319" s="33" t="n">
        <f>130300</f>
        <v>130300.0</v>
      </c>
      <c r="P319" s="34" t="s">
        <v>50</v>
      </c>
      <c r="Q319" s="33" t="n">
        <f>136900</f>
        <v>136900.0</v>
      </c>
      <c r="R319" s="34" t="s">
        <v>51</v>
      </c>
      <c r="S319" s="35" t="n">
        <f>133847.37</f>
        <v>133847.37</v>
      </c>
      <c r="T319" s="32" t="n">
        <f>33900</f>
        <v>33900.0</v>
      </c>
      <c r="U319" s="32" t="n">
        <f>5460</f>
        <v>5460.0</v>
      </c>
      <c r="V319" s="32" t="n">
        <f>4547316231</f>
        <v>4.547316231E9</v>
      </c>
      <c r="W319" s="32" t="n">
        <f>729983431</f>
        <v>7.29983431E8</v>
      </c>
      <c r="X319" s="36" t="n">
        <f>19</f>
        <v>19.0</v>
      </c>
    </row>
    <row r="320">
      <c r="A320" s="27" t="s">
        <v>42</v>
      </c>
      <c r="B320" s="27" t="s">
        <v>1008</v>
      </c>
      <c r="C320" s="27" t="s">
        <v>1009</v>
      </c>
      <c r="D320" s="27" t="s">
        <v>1010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159800</f>
        <v>159800.0</v>
      </c>
      <c r="L320" s="34" t="s">
        <v>48</v>
      </c>
      <c r="M320" s="33" t="n">
        <f>168100</f>
        <v>168100.0</v>
      </c>
      <c r="N320" s="34" t="s">
        <v>162</v>
      </c>
      <c r="O320" s="33" t="n">
        <f>159500</f>
        <v>159500.0</v>
      </c>
      <c r="P320" s="34" t="s">
        <v>48</v>
      </c>
      <c r="Q320" s="33" t="n">
        <f>167800</f>
        <v>167800.0</v>
      </c>
      <c r="R320" s="34" t="s">
        <v>51</v>
      </c>
      <c r="S320" s="35" t="n">
        <f>164610.53</f>
        <v>164610.53</v>
      </c>
      <c r="T320" s="32" t="n">
        <f>344904</f>
        <v>344904.0</v>
      </c>
      <c r="U320" s="32" t="n">
        <f>92619</f>
        <v>92619.0</v>
      </c>
      <c r="V320" s="32" t="n">
        <f>56930548369</f>
        <v>5.6930548369E10</v>
      </c>
      <c r="W320" s="32" t="n">
        <f>15329244969</f>
        <v>1.5329244969E10</v>
      </c>
      <c r="X320" s="36" t="n">
        <f>19</f>
        <v>19.0</v>
      </c>
    </row>
    <row r="321">
      <c r="A321" s="27" t="s">
        <v>42</v>
      </c>
      <c r="B321" s="27" t="s">
        <v>1011</v>
      </c>
      <c r="C321" s="27" t="s">
        <v>1012</v>
      </c>
      <c r="D321" s="27" t="s">
        <v>1013</v>
      </c>
      <c r="E321" s="28" t="s">
        <v>46</v>
      </c>
      <c r="F321" s="29" t="s">
        <v>46</v>
      </c>
      <c r="G321" s="30" t="s">
        <v>46</v>
      </c>
      <c r="H321" s="31"/>
      <c r="I321" s="31" t="s">
        <v>598</v>
      </c>
      <c r="J321" s="32" t="n">
        <v>1.0</v>
      </c>
      <c r="K321" s="33" t="n">
        <f>90500</f>
        <v>90500.0</v>
      </c>
      <c r="L321" s="34" t="s">
        <v>48</v>
      </c>
      <c r="M321" s="33" t="n">
        <f>95200</f>
        <v>95200.0</v>
      </c>
      <c r="N321" s="34" t="s">
        <v>51</v>
      </c>
      <c r="O321" s="33" t="n">
        <f>88000</f>
        <v>88000.0</v>
      </c>
      <c r="P321" s="34" t="s">
        <v>50</v>
      </c>
      <c r="Q321" s="33" t="n">
        <f>95200</f>
        <v>95200.0</v>
      </c>
      <c r="R321" s="34" t="s">
        <v>51</v>
      </c>
      <c r="S321" s="35" t="n">
        <f>91942.11</f>
        <v>91942.11</v>
      </c>
      <c r="T321" s="32" t="n">
        <f>26811</f>
        <v>26811.0</v>
      </c>
      <c r="U321" s="32" t="n">
        <f>2371</f>
        <v>2371.0</v>
      </c>
      <c r="V321" s="32" t="n">
        <f>2464107838</f>
        <v>2.464107838E9</v>
      </c>
      <c r="W321" s="32" t="n">
        <f>216249738</f>
        <v>2.16249738E8</v>
      </c>
      <c r="X321" s="36" t="n">
        <f>19</f>
        <v>19.0</v>
      </c>
    </row>
    <row r="322">
      <c r="A322" s="27" t="s">
        <v>42</v>
      </c>
      <c r="B322" s="27" t="s">
        <v>1014</v>
      </c>
      <c r="C322" s="27" t="s">
        <v>1015</v>
      </c>
      <c r="D322" s="27" t="s">
        <v>1016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172400</f>
        <v>172400.0</v>
      </c>
      <c r="L322" s="34" t="s">
        <v>48</v>
      </c>
      <c r="M322" s="33" t="n">
        <f>183300</f>
        <v>183300.0</v>
      </c>
      <c r="N322" s="34" t="s">
        <v>51</v>
      </c>
      <c r="O322" s="33" t="n">
        <f>170600</f>
        <v>170600.0</v>
      </c>
      <c r="P322" s="34" t="s">
        <v>91</v>
      </c>
      <c r="Q322" s="33" t="n">
        <f>183100</f>
        <v>183100.0</v>
      </c>
      <c r="R322" s="34" t="s">
        <v>51</v>
      </c>
      <c r="S322" s="35" t="n">
        <f>177584.21</f>
        <v>177584.21</v>
      </c>
      <c r="T322" s="32" t="n">
        <f>121674</f>
        <v>121674.0</v>
      </c>
      <c r="U322" s="32" t="n">
        <f>26207</f>
        <v>26207.0</v>
      </c>
      <c r="V322" s="32" t="n">
        <f>21533759352</f>
        <v>2.1533759352E10</v>
      </c>
      <c r="W322" s="32" t="n">
        <f>4640552652</f>
        <v>4.640552652E9</v>
      </c>
      <c r="X322" s="36" t="n">
        <f>19</f>
        <v>19.0</v>
      </c>
    </row>
    <row r="323">
      <c r="A323" s="27" t="s">
        <v>42</v>
      </c>
      <c r="B323" s="27" t="s">
        <v>1017</v>
      </c>
      <c r="C323" s="27" t="s">
        <v>1018</v>
      </c>
      <c r="D323" s="27" t="s">
        <v>1019</v>
      </c>
      <c r="E323" s="28" t="s">
        <v>46</v>
      </c>
      <c r="F323" s="29" t="s">
        <v>46</v>
      </c>
      <c r="G323" s="30" t="s">
        <v>46</v>
      </c>
      <c r="H323" s="31"/>
      <c r="I323" s="31" t="s">
        <v>598</v>
      </c>
      <c r="J323" s="32" t="n">
        <v>1.0</v>
      </c>
      <c r="K323" s="33" t="n">
        <f>58500</f>
        <v>58500.0</v>
      </c>
      <c r="L323" s="34" t="s">
        <v>48</v>
      </c>
      <c r="M323" s="33" t="n">
        <f>61200</f>
        <v>61200.0</v>
      </c>
      <c r="N323" s="34" t="s">
        <v>51</v>
      </c>
      <c r="O323" s="33" t="n">
        <f>57500</f>
        <v>57500.0</v>
      </c>
      <c r="P323" s="34" t="s">
        <v>91</v>
      </c>
      <c r="Q323" s="33" t="n">
        <f>60800</f>
        <v>60800.0</v>
      </c>
      <c r="R323" s="34" t="s">
        <v>51</v>
      </c>
      <c r="S323" s="35" t="n">
        <f>59526.32</f>
        <v>59526.32</v>
      </c>
      <c r="T323" s="32" t="n">
        <f>111905</f>
        <v>111905.0</v>
      </c>
      <c r="U323" s="32" t="n">
        <f>26997</f>
        <v>26997.0</v>
      </c>
      <c r="V323" s="32" t="n">
        <f>6648478452</f>
        <v>6.648478452E9</v>
      </c>
      <c r="W323" s="32" t="n">
        <f>1602323252</f>
        <v>1.602323252E9</v>
      </c>
      <c r="X323" s="36" t="n">
        <f>19</f>
        <v>19.0</v>
      </c>
    </row>
    <row r="324">
      <c r="A324" s="27" t="s">
        <v>42</v>
      </c>
      <c r="B324" s="27" t="s">
        <v>1020</v>
      </c>
      <c r="C324" s="27" t="s">
        <v>1021</v>
      </c>
      <c r="D324" s="27" t="s">
        <v>1022</v>
      </c>
      <c r="E324" s="28" t="s">
        <v>46</v>
      </c>
      <c r="F324" s="29" t="s">
        <v>46</v>
      </c>
      <c r="G324" s="30" t="s">
        <v>46</v>
      </c>
      <c r="H324" s="31"/>
      <c r="I324" s="31" t="s">
        <v>598</v>
      </c>
      <c r="J324" s="32" t="n">
        <v>1.0</v>
      </c>
      <c r="K324" s="33" t="n">
        <f>134800</f>
        <v>134800.0</v>
      </c>
      <c r="L324" s="34" t="s">
        <v>48</v>
      </c>
      <c r="M324" s="33" t="n">
        <f>139100</f>
        <v>139100.0</v>
      </c>
      <c r="N324" s="34" t="s">
        <v>49</v>
      </c>
      <c r="O324" s="33" t="n">
        <f>132200</f>
        <v>132200.0</v>
      </c>
      <c r="P324" s="34" t="s">
        <v>50</v>
      </c>
      <c r="Q324" s="33" t="n">
        <f>138500</f>
        <v>138500.0</v>
      </c>
      <c r="R324" s="34" t="s">
        <v>51</v>
      </c>
      <c r="S324" s="35" t="n">
        <f>136089.47</f>
        <v>136089.47</v>
      </c>
      <c r="T324" s="32" t="n">
        <f>15678</f>
        <v>15678.0</v>
      </c>
      <c r="U324" s="32" t="n">
        <f>1988</f>
        <v>1988.0</v>
      </c>
      <c r="V324" s="32" t="n">
        <f>2136429433</f>
        <v>2.136429433E9</v>
      </c>
      <c r="W324" s="32" t="n">
        <f>270778333</f>
        <v>2.70778333E8</v>
      </c>
      <c r="X324" s="36" t="n">
        <f>19</f>
        <v>19.0</v>
      </c>
    </row>
    <row r="325">
      <c r="A325" s="27" t="s">
        <v>42</v>
      </c>
      <c r="B325" s="27" t="s">
        <v>1023</v>
      </c>
      <c r="C325" s="27" t="s">
        <v>1024</v>
      </c>
      <c r="D325" s="27" t="s">
        <v>1025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559000</f>
        <v>559000.0</v>
      </c>
      <c r="L325" s="34" t="s">
        <v>48</v>
      </c>
      <c r="M325" s="33" t="n">
        <f>567000</f>
        <v>567000.0</v>
      </c>
      <c r="N325" s="34" t="s">
        <v>48</v>
      </c>
      <c r="O325" s="33" t="n">
        <f>523000</f>
        <v>523000.0</v>
      </c>
      <c r="P325" s="34" t="s">
        <v>91</v>
      </c>
      <c r="Q325" s="33" t="n">
        <f>556000</f>
        <v>556000.0</v>
      </c>
      <c r="R325" s="34" t="s">
        <v>51</v>
      </c>
      <c r="S325" s="35" t="n">
        <f>545473.68</f>
        <v>545473.68</v>
      </c>
      <c r="T325" s="32" t="n">
        <f>34514</f>
        <v>34514.0</v>
      </c>
      <c r="U325" s="32" t="n">
        <f>6107</f>
        <v>6107.0</v>
      </c>
      <c r="V325" s="32" t="n">
        <f>18838886398</f>
        <v>1.8838886398E10</v>
      </c>
      <c r="W325" s="32" t="n">
        <f>3327619398</f>
        <v>3.327619398E9</v>
      </c>
      <c r="X325" s="36" t="n">
        <f>19</f>
        <v>19.0</v>
      </c>
    </row>
    <row r="326">
      <c r="A326" s="27" t="s">
        <v>42</v>
      </c>
      <c r="B326" s="27" t="s">
        <v>1026</v>
      </c>
      <c r="C326" s="27" t="s">
        <v>1027</v>
      </c>
      <c r="D326" s="27" t="s">
        <v>1028</v>
      </c>
      <c r="E326" s="28" t="s">
        <v>46</v>
      </c>
      <c r="F326" s="29" t="s">
        <v>46</v>
      </c>
      <c r="G326" s="30" t="s">
        <v>46</v>
      </c>
      <c r="H326" s="31"/>
      <c r="I326" s="31" t="s">
        <v>598</v>
      </c>
      <c r="J326" s="32" t="n">
        <v>1.0</v>
      </c>
      <c r="K326" s="33" t="n">
        <f>68400</f>
        <v>68400.0</v>
      </c>
      <c r="L326" s="34" t="s">
        <v>48</v>
      </c>
      <c r="M326" s="33" t="n">
        <f>72400</f>
        <v>72400.0</v>
      </c>
      <c r="N326" s="34" t="s">
        <v>225</v>
      </c>
      <c r="O326" s="33" t="n">
        <f>68400</f>
        <v>68400.0</v>
      </c>
      <c r="P326" s="34" t="s">
        <v>48</v>
      </c>
      <c r="Q326" s="33" t="n">
        <f>70700</f>
        <v>70700.0</v>
      </c>
      <c r="R326" s="34" t="s">
        <v>51</v>
      </c>
      <c r="S326" s="35" t="n">
        <f>70336.84</f>
        <v>70336.84</v>
      </c>
      <c r="T326" s="32" t="n">
        <f>14356</f>
        <v>14356.0</v>
      </c>
      <c r="U326" s="32" t="n">
        <f>1661</f>
        <v>1661.0</v>
      </c>
      <c r="V326" s="32" t="n">
        <f>1010227667</f>
        <v>1.010227667E9</v>
      </c>
      <c r="W326" s="32" t="n">
        <f>116256467</f>
        <v>1.16256467E8</v>
      </c>
      <c r="X326" s="36" t="n">
        <f>19</f>
        <v>19.0</v>
      </c>
    </row>
    <row r="327">
      <c r="A327" s="27" t="s">
        <v>42</v>
      </c>
      <c r="B327" s="27" t="s">
        <v>1029</v>
      </c>
      <c r="C327" s="27" t="s">
        <v>1030</v>
      </c>
      <c r="D327" s="27" t="s">
        <v>1031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50200</f>
        <v>50200.0</v>
      </c>
      <c r="L327" s="34" t="s">
        <v>48</v>
      </c>
      <c r="M327" s="33" t="n">
        <f>51700</f>
        <v>51700.0</v>
      </c>
      <c r="N327" s="34" t="s">
        <v>51</v>
      </c>
      <c r="O327" s="33" t="n">
        <f>48800</f>
        <v>48800.0</v>
      </c>
      <c r="P327" s="34" t="s">
        <v>50</v>
      </c>
      <c r="Q327" s="33" t="n">
        <f>51700</f>
        <v>51700.0</v>
      </c>
      <c r="R327" s="34" t="s">
        <v>51</v>
      </c>
      <c r="S327" s="35" t="n">
        <f>50513.16</f>
        <v>50513.16</v>
      </c>
      <c r="T327" s="32" t="n">
        <f>113408</f>
        <v>113408.0</v>
      </c>
      <c r="U327" s="32" t="n">
        <f>23693</f>
        <v>23693.0</v>
      </c>
      <c r="V327" s="32" t="n">
        <f>5720230379</f>
        <v>5.720230379E9</v>
      </c>
      <c r="W327" s="32" t="n">
        <f>1194449379</f>
        <v>1.194449379E9</v>
      </c>
      <c r="X327" s="36" t="n">
        <f>19</f>
        <v>19.0</v>
      </c>
    </row>
    <row r="328">
      <c r="A328" s="27" t="s">
        <v>42</v>
      </c>
      <c r="B328" s="27" t="s">
        <v>1032</v>
      </c>
      <c r="C328" s="27" t="s">
        <v>1033</v>
      </c>
      <c r="D328" s="27" t="s">
        <v>1034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129700</f>
        <v>129700.0</v>
      </c>
      <c r="L328" s="34" t="s">
        <v>48</v>
      </c>
      <c r="M328" s="33" t="n">
        <f>132400</f>
        <v>132400.0</v>
      </c>
      <c r="N328" s="34" t="s">
        <v>73</v>
      </c>
      <c r="O328" s="33" t="n">
        <f>125000</f>
        <v>125000.0</v>
      </c>
      <c r="P328" s="34" t="s">
        <v>62</v>
      </c>
      <c r="Q328" s="33" t="n">
        <f>131400</f>
        <v>131400.0</v>
      </c>
      <c r="R328" s="34" t="s">
        <v>51</v>
      </c>
      <c r="S328" s="35" t="n">
        <f>128963.16</f>
        <v>128963.16</v>
      </c>
      <c r="T328" s="32" t="n">
        <f>14812</f>
        <v>14812.0</v>
      </c>
      <c r="U328" s="32" t="n">
        <f>2998</f>
        <v>2998.0</v>
      </c>
      <c r="V328" s="32" t="n">
        <f>1908078726</f>
        <v>1.908078726E9</v>
      </c>
      <c r="W328" s="32" t="n">
        <f>385066526</f>
        <v>3.85066526E8</v>
      </c>
      <c r="X328" s="36" t="n">
        <f>19</f>
        <v>19.0</v>
      </c>
    </row>
    <row r="329">
      <c r="A329" s="27" t="s">
        <v>42</v>
      </c>
      <c r="B329" s="27" t="s">
        <v>1035</v>
      </c>
      <c r="C329" s="27" t="s">
        <v>1036</v>
      </c>
      <c r="D329" s="27" t="s">
        <v>1037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464000</f>
        <v>464000.0</v>
      </c>
      <c r="L329" s="34" t="s">
        <v>48</v>
      </c>
      <c r="M329" s="33" t="n">
        <f>471500</f>
        <v>471500.0</v>
      </c>
      <c r="N329" s="34" t="s">
        <v>125</v>
      </c>
      <c r="O329" s="33" t="n">
        <f>444000</f>
        <v>444000.0</v>
      </c>
      <c r="P329" s="34" t="s">
        <v>91</v>
      </c>
      <c r="Q329" s="33" t="n">
        <f>470000</f>
        <v>470000.0</v>
      </c>
      <c r="R329" s="34" t="s">
        <v>51</v>
      </c>
      <c r="S329" s="35" t="n">
        <f>461000</f>
        <v>461000.0</v>
      </c>
      <c r="T329" s="32" t="n">
        <f>33066</f>
        <v>33066.0</v>
      </c>
      <c r="U329" s="32" t="n">
        <f>6213</f>
        <v>6213.0</v>
      </c>
      <c r="V329" s="32" t="n">
        <f>15195598497</f>
        <v>1.5195598497E10</v>
      </c>
      <c r="W329" s="32" t="n">
        <f>2847009497</f>
        <v>2.847009497E9</v>
      </c>
      <c r="X329" s="36" t="n">
        <f>19</f>
        <v>19.0</v>
      </c>
    </row>
    <row r="330">
      <c r="A330" s="27" t="s">
        <v>42</v>
      </c>
      <c r="B330" s="27" t="s">
        <v>1038</v>
      </c>
      <c r="C330" s="27" t="s">
        <v>1039</v>
      </c>
      <c r="D330" s="27" t="s">
        <v>1040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196500</f>
        <v>196500.0</v>
      </c>
      <c r="L330" s="34" t="s">
        <v>48</v>
      </c>
      <c r="M330" s="33" t="n">
        <f>207000</f>
        <v>207000.0</v>
      </c>
      <c r="N330" s="34" t="s">
        <v>51</v>
      </c>
      <c r="O330" s="33" t="n">
        <f>192300</f>
        <v>192300.0</v>
      </c>
      <c r="P330" s="34" t="s">
        <v>50</v>
      </c>
      <c r="Q330" s="33" t="n">
        <f>207000</f>
        <v>207000.0</v>
      </c>
      <c r="R330" s="34" t="s">
        <v>51</v>
      </c>
      <c r="S330" s="35" t="n">
        <f>198831.58</f>
        <v>198831.58</v>
      </c>
      <c r="T330" s="32" t="n">
        <f>31619</f>
        <v>31619.0</v>
      </c>
      <c r="U330" s="32" t="n">
        <f>5593</f>
        <v>5593.0</v>
      </c>
      <c r="V330" s="32" t="n">
        <f>6284459397</f>
        <v>6.284459397E9</v>
      </c>
      <c r="W330" s="32" t="n">
        <f>1111551797</f>
        <v>1.111551797E9</v>
      </c>
      <c r="X330" s="36" t="n">
        <f>19</f>
        <v>19.0</v>
      </c>
    </row>
    <row r="331">
      <c r="A331" s="27" t="s">
        <v>42</v>
      </c>
      <c r="B331" s="27" t="s">
        <v>1041</v>
      </c>
      <c r="C331" s="27" t="s">
        <v>1042</v>
      </c>
      <c r="D331" s="27" t="s">
        <v>1043</v>
      </c>
      <c r="E331" s="28" t="s">
        <v>46</v>
      </c>
      <c r="F331" s="29" t="s">
        <v>46</v>
      </c>
      <c r="G331" s="30" t="s">
        <v>46</v>
      </c>
      <c r="H331" s="31"/>
      <c r="I331" s="31" t="s">
        <v>598</v>
      </c>
      <c r="J331" s="32" t="n">
        <v>1.0</v>
      </c>
      <c r="K331" s="33" t="n">
        <f>123400</f>
        <v>123400.0</v>
      </c>
      <c r="L331" s="34" t="s">
        <v>48</v>
      </c>
      <c r="M331" s="33" t="n">
        <f>129000</f>
        <v>129000.0</v>
      </c>
      <c r="N331" s="34" t="s">
        <v>51</v>
      </c>
      <c r="O331" s="33" t="n">
        <f>120500</f>
        <v>120500.0</v>
      </c>
      <c r="P331" s="34" t="s">
        <v>50</v>
      </c>
      <c r="Q331" s="33" t="n">
        <f>128800</f>
        <v>128800.0</v>
      </c>
      <c r="R331" s="34" t="s">
        <v>51</v>
      </c>
      <c r="S331" s="35" t="n">
        <f>124373.68</f>
        <v>124373.68</v>
      </c>
      <c r="T331" s="32" t="n">
        <f>23380</f>
        <v>23380.0</v>
      </c>
      <c r="U331" s="32" t="n">
        <f>3596</f>
        <v>3596.0</v>
      </c>
      <c r="V331" s="32" t="n">
        <f>2899309637</f>
        <v>2.899309637E9</v>
      </c>
      <c r="W331" s="32" t="n">
        <f>444560737</f>
        <v>4.44560737E8</v>
      </c>
      <c r="X331" s="36" t="n">
        <f>19</f>
        <v>19.0</v>
      </c>
    </row>
    <row r="332">
      <c r="A332" s="27" t="s">
        <v>42</v>
      </c>
      <c r="B332" s="27" t="s">
        <v>1044</v>
      </c>
      <c r="C332" s="27" t="s">
        <v>1045</v>
      </c>
      <c r="D332" s="27" t="s">
        <v>1046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120800</f>
        <v>120800.0</v>
      </c>
      <c r="L332" s="34" t="s">
        <v>48</v>
      </c>
      <c r="M332" s="33" t="n">
        <f>122300</f>
        <v>122300.0</v>
      </c>
      <c r="N332" s="34" t="s">
        <v>73</v>
      </c>
      <c r="O332" s="33" t="n">
        <f>116500</f>
        <v>116500.0</v>
      </c>
      <c r="P332" s="34" t="s">
        <v>51</v>
      </c>
      <c r="Q332" s="33" t="n">
        <f>120700</f>
        <v>120700.0</v>
      </c>
      <c r="R332" s="34" t="s">
        <v>51</v>
      </c>
      <c r="S332" s="35" t="n">
        <f>120321.05</f>
        <v>120321.05</v>
      </c>
      <c r="T332" s="32" t="n">
        <f>59184</f>
        <v>59184.0</v>
      </c>
      <c r="U332" s="32" t="n">
        <f>10471</f>
        <v>10471.0</v>
      </c>
      <c r="V332" s="32" t="n">
        <f>7093990081</f>
        <v>7.093990081E9</v>
      </c>
      <c r="W332" s="32" t="n">
        <f>1257332781</f>
        <v>1.257332781E9</v>
      </c>
      <c r="X332" s="36" t="n">
        <f>19</f>
        <v>19.0</v>
      </c>
    </row>
    <row r="333">
      <c r="A333" s="27" t="s">
        <v>42</v>
      </c>
      <c r="B333" s="27" t="s">
        <v>1047</v>
      </c>
      <c r="C333" s="27" t="s">
        <v>1048</v>
      </c>
      <c r="D333" s="27" t="s">
        <v>1049</v>
      </c>
      <c r="E333" s="28" t="s">
        <v>46</v>
      </c>
      <c r="F333" s="29" t="s">
        <v>46</v>
      </c>
      <c r="G333" s="30" t="s">
        <v>46</v>
      </c>
      <c r="H333" s="31"/>
      <c r="I333" s="31" t="s">
        <v>598</v>
      </c>
      <c r="J333" s="32" t="n">
        <v>1.0</v>
      </c>
      <c r="K333" s="33" t="n">
        <f>165000</f>
        <v>165000.0</v>
      </c>
      <c r="L333" s="34" t="s">
        <v>48</v>
      </c>
      <c r="M333" s="33" t="n">
        <f>165000</f>
        <v>165000.0</v>
      </c>
      <c r="N333" s="34" t="s">
        <v>48</v>
      </c>
      <c r="O333" s="33" t="n">
        <f>150100</f>
        <v>150100.0</v>
      </c>
      <c r="P333" s="34" t="s">
        <v>50</v>
      </c>
      <c r="Q333" s="33" t="n">
        <f>163900</f>
        <v>163900.0</v>
      </c>
      <c r="R333" s="34" t="s">
        <v>51</v>
      </c>
      <c r="S333" s="35" t="n">
        <f>157900</f>
        <v>157900.0</v>
      </c>
      <c r="T333" s="32" t="n">
        <f>38492</f>
        <v>38492.0</v>
      </c>
      <c r="U333" s="32" t="n">
        <f>8562</f>
        <v>8562.0</v>
      </c>
      <c r="V333" s="32" t="n">
        <f>6068423810</f>
        <v>6.06842381E9</v>
      </c>
      <c r="W333" s="32" t="n">
        <f>1349801110</f>
        <v>1.34980111E9</v>
      </c>
      <c r="X333" s="36" t="n">
        <f>19</f>
        <v>19.0</v>
      </c>
    </row>
    <row r="334">
      <c r="A334" s="27" t="s">
        <v>42</v>
      </c>
      <c r="B334" s="27" t="s">
        <v>1050</v>
      </c>
      <c r="C334" s="27" t="s">
        <v>1051</v>
      </c>
      <c r="D334" s="27" t="s">
        <v>1052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668000</f>
        <v>668000.0</v>
      </c>
      <c r="L334" s="34" t="s">
        <v>48</v>
      </c>
      <c r="M334" s="33" t="n">
        <f>704000</f>
        <v>704000.0</v>
      </c>
      <c r="N334" s="34" t="s">
        <v>277</v>
      </c>
      <c r="O334" s="33" t="n">
        <f>661000</f>
        <v>661000.0</v>
      </c>
      <c r="P334" s="34" t="s">
        <v>91</v>
      </c>
      <c r="Q334" s="33" t="n">
        <f>700000</f>
        <v>700000.0</v>
      </c>
      <c r="R334" s="34" t="s">
        <v>51</v>
      </c>
      <c r="S334" s="35" t="n">
        <f>687842.11</f>
        <v>687842.11</v>
      </c>
      <c r="T334" s="32" t="n">
        <f>128772</f>
        <v>128772.0</v>
      </c>
      <c r="U334" s="32" t="n">
        <f>27938</f>
        <v>27938.0</v>
      </c>
      <c r="V334" s="32" t="n">
        <f>88630349062</f>
        <v>8.8630349062E10</v>
      </c>
      <c r="W334" s="32" t="n">
        <f>19255084062</f>
        <v>1.9255084062E10</v>
      </c>
      <c r="X334" s="36" t="n">
        <f>19</f>
        <v>19.0</v>
      </c>
    </row>
    <row r="335">
      <c r="A335" s="27" t="s">
        <v>42</v>
      </c>
      <c r="B335" s="27" t="s">
        <v>1053</v>
      </c>
      <c r="C335" s="27" t="s">
        <v>1054</v>
      </c>
      <c r="D335" s="27" t="s">
        <v>1055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619000</f>
        <v>619000.0</v>
      </c>
      <c r="L335" s="34" t="s">
        <v>48</v>
      </c>
      <c r="M335" s="33" t="n">
        <f>653000</f>
        <v>653000.0</v>
      </c>
      <c r="N335" s="34" t="s">
        <v>277</v>
      </c>
      <c r="O335" s="33" t="n">
        <f>619000</f>
        <v>619000.0</v>
      </c>
      <c r="P335" s="34" t="s">
        <v>48</v>
      </c>
      <c r="Q335" s="33" t="n">
        <f>639000</f>
        <v>639000.0</v>
      </c>
      <c r="R335" s="34" t="s">
        <v>51</v>
      </c>
      <c r="S335" s="35" t="n">
        <f>636947.37</f>
        <v>636947.37</v>
      </c>
      <c r="T335" s="32" t="n">
        <f>137201</f>
        <v>137201.0</v>
      </c>
      <c r="U335" s="32" t="n">
        <f>35214</f>
        <v>35214.0</v>
      </c>
      <c r="V335" s="32" t="n">
        <f>87490231698</f>
        <v>8.7490231698E10</v>
      </c>
      <c r="W335" s="32" t="n">
        <f>22466255698</f>
        <v>2.2466255698E10</v>
      </c>
      <c r="X335" s="36" t="n">
        <f>19</f>
        <v>19.0</v>
      </c>
    </row>
    <row r="336">
      <c r="A336" s="27" t="s">
        <v>42</v>
      </c>
      <c r="B336" s="27" t="s">
        <v>1056</v>
      </c>
      <c r="C336" s="27" t="s">
        <v>1057</v>
      </c>
      <c r="D336" s="27" t="s">
        <v>1058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100300</f>
        <v>100300.0</v>
      </c>
      <c r="L336" s="34" t="s">
        <v>48</v>
      </c>
      <c r="M336" s="33" t="n">
        <f>108900</f>
        <v>108900.0</v>
      </c>
      <c r="N336" s="34" t="s">
        <v>51</v>
      </c>
      <c r="O336" s="33" t="n">
        <f>100300</f>
        <v>100300.0</v>
      </c>
      <c r="P336" s="34" t="s">
        <v>48</v>
      </c>
      <c r="Q336" s="33" t="n">
        <f>108900</f>
        <v>108900.0</v>
      </c>
      <c r="R336" s="34" t="s">
        <v>51</v>
      </c>
      <c r="S336" s="35" t="n">
        <f>103821.05</f>
        <v>103821.05</v>
      </c>
      <c r="T336" s="32" t="n">
        <f>502523</f>
        <v>502523.0</v>
      </c>
      <c r="U336" s="32" t="n">
        <f>136807</f>
        <v>136807.0</v>
      </c>
      <c r="V336" s="32" t="n">
        <f>52428564333</f>
        <v>5.2428564333E10</v>
      </c>
      <c r="W336" s="32" t="n">
        <f>14331212933</f>
        <v>1.4331212933E10</v>
      </c>
      <c r="X336" s="36" t="n">
        <f>19</f>
        <v>19.0</v>
      </c>
    </row>
    <row r="337">
      <c r="A337" s="27" t="s">
        <v>42</v>
      </c>
      <c r="B337" s="27" t="s">
        <v>1059</v>
      </c>
      <c r="C337" s="27" t="s">
        <v>1060</v>
      </c>
      <c r="D337" s="27" t="s">
        <v>1061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174300</f>
        <v>174300.0</v>
      </c>
      <c r="L337" s="34" t="s">
        <v>48</v>
      </c>
      <c r="M337" s="33" t="n">
        <f>189200</f>
        <v>189200.0</v>
      </c>
      <c r="N337" s="34" t="s">
        <v>91</v>
      </c>
      <c r="O337" s="33" t="n">
        <f>172400</f>
        <v>172400.0</v>
      </c>
      <c r="P337" s="34" t="s">
        <v>48</v>
      </c>
      <c r="Q337" s="33" t="n">
        <f>186200</f>
        <v>186200.0</v>
      </c>
      <c r="R337" s="34" t="s">
        <v>51</v>
      </c>
      <c r="S337" s="35" t="n">
        <f>183205.26</f>
        <v>183205.26</v>
      </c>
      <c r="T337" s="32" t="n">
        <f>859876</f>
        <v>859876.0</v>
      </c>
      <c r="U337" s="32" t="n">
        <f>220534</f>
        <v>220534.0</v>
      </c>
      <c r="V337" s="32" t="n">
        <f>158308595207</f>
        <v>1.58308595207E11</v>
      </c>
      <c r="W337" s="32" t="n">
        <f>40749979507</f>
        <v>4.0749979507E10</v>
      </c>
      <c r="X337" s="36" t="n">
        <f>19</f>
        <v>19.0</v>
      </c>
    </row>
    <row r="338">
      <c r="A338" s="27" t="s">
        <v>42</v>
      </c>
      <c r="B338" s="27" t="s">
        <v>1062</v>
      </c>
      <c r="C338" s="27" t="s">
        <v>1063</v>
      </c>
      <c r="D338" s="27" t="s">
        <v>1064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390000</f>
        <v>390000.0</v>
      </c>
      <c r="L338" s="34" t="s">
        <v>48</v>
      </c>
      <c r="M338" s="33" t="n">
        <f>412000</f>
        <v>412000.0</v>
      </c>
      <c r="N338" s="34" t="s">
        <v>49</v>
      </c>
      <c r="O338" s="33" t="n">
        <f>380000</f>
        <v>380000.0</v>
      </c>
      <c r="P338" s="34" t="s">
        <v>91</v>
      </c>
      <c r="Q338" s="33" t="n">
        <f>410500</f>
        <v>410500.0</v>
      </c>
      <c r="R338" s="34" t="s">
        <v>51</v>
      </c>
      <c r="S338" s="35" t="n">
        <f>400210.53</f>
        <v>400210.53</v>
      </c>
      <c r="T338" s="32" t="n">
        <f>64365</f>
        <v>64365.0</v>
      </c>
      <c r="U338" s="32" t="n">
        <f>16550</f>
        <v>16550.0</v>
      </c>
      <c r="V338" s="32" t="n">
        <f>25726109095</f>
        <v>2.5726109095E10</v>
      </c>
      <c r="W338" s="32" t="n">
        <f>6601061095</f>
        <v>6.601061095E9</v>
      </c>
      <c r="X338" s="36" t="n">
        <f>19</f>
        <v>19.0</v>
      </c>
    </row>
    <row r="339">
      <c r="A339" s="27" t="s">
        <v>42</v>
      </c>
      <c r="B339" s="27" t="s">
        <v>1065</v>
      </c>
      <c r="C339" s="27" t="s">
        <v>1066</v>
      </c>
      <c r="D339" s="27" t="s">
        <v>1067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148700</f>
        <v>148700.0</v>
      </c>
      <c r="L339" s="34" t="s">
        <v>48</v>
      </c>
      <c r="M339" s="33" t="n">
        <f>152100</f>
        <v>152100.0</v>
      </c>
      <c r="N339" s="34" t="s">
        <v>51</v>
      </c>
      <c r="O339" s="33" t="n">
        <f>144500</f>
        <v>144500.0</v>
      </c>
      <c r="P339" s="34" t="s">
        <v>91</v>
      </c>
      <c r="Q339" s="33" t="n">
        <f>152100</f>
        <v>152100.0</v>
      </c>
      <c r="R339" s="34" t="s">
        <v>51</v>
      </c>
      <c r="S339" s="35" t="n">
        <f>149126.32</f>
        <v>149126.32</v>
      </c>
      <c r="T339" s="32" t="n">
        <f>101231</f>
        <v>101231.0</v>
      </c>
      <c r="U339" s="32" t="n">
        <f>19849</f>
        <v>19849.0</v>
      </c>
      <c r="V339" s="32" t="n">
        <f>15061820815</f>
        <v>1.5061820815E10</v>
      </c>
      <c r="W339" s="32" t="n">
        <f>2948064015</f>
        <v>2.948064015E9</v>
      </c>
      <c r="X339" s="36" t="n">
        <f>19</f>
        <v>19.0</v>
      </c>
    </row>
    <row r="340">
      <c r="A340" s="27" t="s">
        <v>42</v>
      </c>
      <c r="B340" s="27" t="s">
        <v>1068</v>
      </c>
      <c r="C340" s="27" t="s">
        <v>1069</v>
      </c>
      <c r="D340" s="27" t="s">
        <v>1070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182400</f>
        <v>182400.0</v>
      </c>
      <c r="L340" s="34" t="s">
        <v>48</v>
      </c>
      <c r="M340" s="33" t="n">
        <f>192400</f>
        <v>192400.0</v>
      </c>
      <c r="N340" s="34" t="s">
        <v>51</v>
      </c>
      <c r="O340" s="33" t="n">
        <f>181600</f>
        <v>181600.0</v>
      </c>
      <c r="P340" s="34" t="s">
        <v>91</v>
      </c>
      <c r="Q340" s="33" t="n">
        <f>192000</f>
        <v>192000.0</v>
      </c>
      <c r="R340" s="34" t="s">
        <v>51</v>
      </c>
      <c r="S340" s="35" t="n">
        <f>186426.32</f>
        <v>186426.32</v>
      </c>
      <c r="T340" s="32" t="n">
        <f>63115</f>
        <v>63115.0</v>
      </c>
      <c r="U340" s="32" t="n">
        <f>12490</f>
        <v>12490.0</v>
      </c>
      <c r="V340" s="32" t="n">
        <f>11749567698</f>
        <v>1.1749567698E10</v>
      </c>
      <c r="W340" s="32" t="n">
        <f>2324634298</f>
        <v>2.324634298E9</v>
      </c>
      <c r="X340" s="36" t="n">
        <f>19</f>
        <v>19.0</v>
      </c>
    </row>
    <row r="341">
      <c r="A341" s="27" t="s">
        <v>42</v>
      </c>
      <c r="B341" s="27" t="s">
        <v>1071</v>
      </c>
      <c r="C341" s="27" t="s">
        <v>1072</v>
      </c>
      <c r="D341" s="27" t="s">
        <v>1073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111200</f>
        <v>111200.0</v>
      </c>
      <c r="L341" s="34" t="s">
        <v>48</v>
      </c>
      <c r="M341" s="33" t="n">
        <f>113200</f>
        <v>113200.0</v>
      </c>
      <c r="N341" s="34" t="s">
        <v>73</v>
      </c>
      <c r="O341" s="33" t="n">
        <f>107300</f>
        <v>107300.0</v>
      </c>
      <c r="P341" s="34" t="s">
        <v>50</v>
      </c>
      <c r="Q341" s="33" t="n">
        <f>110300</f>
        <v>110300.0</v>
      </c>
      <c r="R341" s="34" t="s">
        <v>51</v>
      </c>
      <c r="S341" s="35" t="n">
        <f>110173.68</f>
        <v>110173.68</v>
      </c>
      <c r="T341" s="32" t="n">
        <f>71191</f>
        <v>71191.0</v>
      </c>
      <c r="U341" s="32" t="n">
        <f>13842</f>
        <v>13842.0</v>
      </c>
      <c r="V341" s="32" t="n">
        <f>7829729248</f>
        <v>7.829729248E9</v>
      </c>
      <c r="W341" s="32" t="n">
        <f>1519215148</f>
        <v>1.519215148E9</v>
      </c>
      <c r="X341" s="36" t="n">
        <f>19</f>
        <v>19.0</v>
      </c>
    </row>
    <row r="342">
      <c r="A342" s="27" t="s">
        <v>42</v>
      </c>
      <c r="B342" s="27" t="s">
        <v>1074</v>
      </c>
      <c r="C342" s="27" t="s">
        <v>1075</v>
      </c>
      <c r="D342" s="27" t="s">
        <v>1076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139100</f>
        <v>139100.0</v>
      </c>
      <c r="L342" s="34" t="s">
        <v>48</v>
      </c>
      <c r="M342" s="33" t="n">
        <f>151300</f>
        <v>151300.0</v>
      </c>
      <c r="N342" s="34" t="s">
        <v>302</v>
      </c>
      <c r="O342" s="33" t="n">
        <f>138700</f>
        <v>138700.0</v>
      </c>
      <c r="P342" s="34" t="s">
        <v>50</v>
      </c>
      <c r="Q342" s="33" t="n">
        <f>143800</f>
        <v>143800.0</v>
      </c>
      <c r="R342" s="34" t="s">
        <v>51</v>
      </c>
      <c r="S342" s="35" t="n">
        <f>144842.11</f>
        <v>144842.11</v>
      </c>
      <c r="T342" s="32" t="n">
        <f>294070</f>
        <v>294070.0</v>
      </c>
      <c r="U342" s="32" t="n">
        <f>62571</f>
        <v>62571.0</v>
      </c>
      <c r="V342" s="32" t="n">
        <f>42545157527</f>
        <v>4.2545157527E10</v>
      </c>
      <c r="W342" s="32" t="n">
        <f>9020145227</f>
        <v>9.020145227E9</v>
      </c>
      <c r="X342" s="36" t="n">
        <f>19</f>
        <v>19.0</v>
      </c>
    </row>
    <row r="343">
      <c r="A343" s="27" t="s">
        <v>42</v>
      </c>
      <c r="B343" s="27" t="s">
        <v>1077</v>
      </c>
      <c r="C343" s="27" t="s">
        <v>1078</v>
      </c>
      <c r="D343" s="27" t="s">
        <v>1079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142100</f>
        <v>142100.0</v>
      </c>
      <c r="L343" s="34" t="s">
        <v>48</v>
      </c>
      <c r="M343" s="33" t="n">
        <f>144300</f>
        <v>144300.0</v>
      </c>
      <c r="N343" s="34" t="s">
        <v>49</v>
      </c>
      <c r="O343" s="33" t="n">
        <f>136600</f>
        <v>136600.0</v>
      </c>
      <c r="P343" s="34" t="s">
        <v>91</v>
      </c>
      <c r="Q343" s="33" t="n">
        <f>143900</f>
        <v>143900.0</v>
      </c>
      <c r="R343" s="34" t="s">
        <v>51</v>
      </c>
      <c r="S343" s="35" t="n">
        <f>141510.53</f>
        <v>141510.53</v>
      </c>
      <c r="T343" s="32" t="n">
        <f>63608</f>
        <v>63608.0</v>
      </c>
      <c r="U343" s="32" t="n">
        <f>16056</f>
        <v>16056.0</v>
      </c>
      <c r="V343" s="32" t="n">
        <f>8986068296</f>
        <v>8.986068296E9</v>
      </c>
      <c r="W343" s="32" t="n">
        <f>2263214396</f>
        <v>2.263214396E9</v>
      </c>
      <c r="X343" s="36" t="n">
        <f>19</f>
        <v>19.0</v>
      </c>
    </row>
    <row r="344">
      <c r="A344" s="27" t="s">
        <v>42</v>
      </c>
      <c r="B344" s="27" t="s">
        <v>1080</v>
      </c>
      <c r="C344" s="27" t="s">
        <v>1081</v>
      </c>
      <c r="D344" s="27" t="s">
        <v>1082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42050</f>
        <v>42050.0</v>
      </c>
      <c r="L344" s="34" t="s">
        <v>48</v>
      </c>
      <c r="M344" s="33" t="n">
        <f>45800</f>
        <v>45800.0</v>
      </c>
      <c r="N344" s="34" t="s">
        <v>225</v>
      </c>
      <c r="O344" s="33" t="n">
        <f>40850</f>
        <v>40850.0</v>
      </c>
      <c r="P344" s="34" t="s">
        <v>50</v>
      </c>
      <c r="Q344" s="33" t="n">
        <f>42800</f>
        <v>42800.0</v>
      </c>
      <c r="R344" s="34" t="s">
        <v>51</v>
      </c>
      <c r="S344" s="35" t="n">
        <f>42681.58</f>
        <v>42681.58</v>
      </c>
      <c r="T344" s="32" t="n">
        <f>925853</f>
        <v>925853.0</v>
      </c>
      <c r="U344" s="32" t="n">
        <f>310989</f>
        <v>310989.0</v>
      </c>
      <c r="V344" s="32" t="n">
        <f>39619177172</f>
        <v>3.9619177172E10</v>
      </c>
      <c r="W344" s="32" t="n">
        <f>13311633522</f>
        <v>1.3311633522E10</v>
      </c>
      <c r="X344" s="36" t="n">
        <f>19</f>
        <v>19.0</v>
      </c>
    </row>
    <row r="345">
      <c r="A345" s="27" t="s">
        <v>42</v>
      </c>
      <c r="B345" s="27" t="s">
        <v>1083</v>
      </c>
      <c r="C345" s="27" t="s">
        <v>1084</v>
      </c>
      <c r="D345" s="27" t="s">
        <v>1085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502000</f>
        <v>502000.0</v>
      </c>
      <c r="L345" s="34" t="s">
        <v>48</v>
      </c>
      <c r="M345" s="33" t="n">
        <f>531000</f>
        <v>531000.0</v>
      </c>
      <c r="N345" s="34" t="s">
        <v>51</v>
      </c>
      <c r="O345" s="33" t="n">
        <f>497000</f>
        <v>497000.0</v>
      </c>
      <c r="P345" s="34" t="s">
        <v>50</v>
      </c>
      <c r="Q345" s="33" t="n">
        <f>531000</f>
        <v>531000.0</v>
      </c>
      <c r="R345" s="34" t="s">
        <v>51</v>
      </c>
      <c r="S345" s="35" t="n">
        <f>510447.37</f>
        <v>510447.37</v>
      </c>
      <c r="T345" s="32" t="n">
        <f>35561</f>
        <v>35561.0</v>
      </c>
      <c r="U345" s="32" t="n">
        <f>6928</f>
        <v>6928.0</v>
      </c>
      <c r="V345" s="32" t="n">
        <f>18152223256</f>
        <v>1.8152223256E10</v>
      </c>
      <c r="W345" s="32" t="n">
        <f>3533317256</f>
        <v>3.533317256E9</v>
      </c>
      <c r="X345" s="36" t="n">
        <f>19</f>
        <v>19.0</v>
      </c>
    </row>
    <row r="346">
      <c r="A346" s="27" t="s">
        <v>42</v>
      </c>
      <c r="B346" s="27" t="s">
        <v>1086</v>
      </c>
      <c r="C346" s="27" t="s">
        <v>1087</v>
      </c>
      <c r="D346" s="27" t="s">
        <v>1088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149300</f>
        <v>149300.0</v>
      </c>
      <c r="L346" s="34" t="s">
        <v>48</v>
      </c>
      <c r="M346" s="33" t="n">
        <f>152200</f>
        <v>152200.0</v>
      </c>
      <c r="N346" s="34" t="s">
        <v>225</v>
      </c>
      <c r="O346" s="33" t="n">
        <f>142300</f>
        <v>142300.0</v>
      </c>
      <c r="P346" s="34" t="s">
        <v>302</v>
      </c>
      <c r="Q346" s="33" t="n">
        <f>145700</f>
        <v>145700.0</v>
      </c>
      <c r="R346" s="34" t="s">
        <v>51</v>
      </c>
      <c r="S346" s="35" t="n">
        <f>147257.89</f>
        <v>147257.89</v>
      </c>
      <c r="T346" s="32" t="n">
        <f>99991</f>
        <v>99991.0</v>
      </c>
      <c r="U346" s="32" t="n">
        <f>15876</f>
        <v>15876.0</v>
      </c>
      <c r="V346" s="32" t="n">
        <f>14646173868</f>
        <v>1.4646173868E10</v>
      </c>
      <c r="W346" s="32" t="n">
        <f>2345195568</f>
        <v>2.345195568E9</v>
      </c>
      <c r="X346" s="36" t="n">
        <f>19</f>
        <v>19.0</v>
      </c>
    </row>
    <row r="347">
      <c r="A347" s="27" t="s">
        <v>42</v>
      </c>
      <c r="B347" s="27" t="s">
        <v>1089</v>
      </c>
      <c r="C347" s="27" t="s">
        <v>1090</v>
      </c>
      <c r="D347" s="27" t="s">
        <v>1091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311000</f>
        <v>311000.0</v>
      </c>
      <c r="L347" s="34" t="s">
        <v>48</v>
      </c>
      <c r="M347" s="33" t="n">
        <f>327000</f>
        <v>327000.0</v>
      </c>
      <c r="N347" s="34" t="s">
        <v>49</v>
      </c>
      <c r="O347" s="33" t="n">
        <f>308000</f>
        <v>308000.0</v>
      </c>
      <c r="P347" s="34" t="s">
        <v>91</v>
      </c>
      <c r="Q347" s="33" t="n">
        <f>324000</f>
        <v>324000.0</v>
      </c>
      <c r="R347" s="34" t="s">
        <v>51</v>
      </c>
      <c r="S347" s="35" t="n">
        <f>318815.79</f>
        <v>318815.79</v>
      </c>
      <c r="T347" s="32" t="n">
        <f>68101</f>
        <v>68101.0</v>
      </c>
      <c r="U347" s="32" t="n">
        <f>14426</f>
        <v>14426.0</v>
      </c>
      <c r="V347" s="32" t="n">
        <f>21676069684</f>
        <v>2.1676069684E10</v>
      </c>
      <c r="W347" s="32" t="n">
        <f>4582368184</f>
        <v>4.582368184E9</v>
      </c>
      <c r="X347" s="36" t="n">
        <f>19</f>
        <v>19.0</v>
      </c>
    </row>
    <row r="348">
      <c r="A348" s="27" t="s">
        <v>42</v>
      </c>
      <c r="B348" s="27" t="s">
        <v>1092</v>
      </c>
      <c r="C348" s="27" t="s">
        <v>1093</v>
      </c>
      <c r="D348" s="27" t="s">
        <v>1094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162400</f>
        <v>162400.0</v>
      </c>
      <c r="L348" s="34" t="s">
        <v>48</v>
      </c>
      <c r="M348" s="33" t="n">
        <f>168900</f>
        <v>168900.0</v>
      </c>
      <c r="N348" s="34" t="s">
        <v>51</v>
      </c>
      <c r="O348" s="33" t="n">
        <f>157500</f>
        <v>157500.0</v>
      </c>
      <c r="P348" s="34" t="s">
        <v>91</v>
      </c>
      <c r="Q348" s="33" t="n">
        <f>168200</f>
        <v>168200.0</v>
      </c>
      <c r="R348" s="34" t="s">
        <v>51</v>
      </c>
      <c r="S348" s="35" t="n">
        <f>162842.11</f>
        <v>162842.11</v>
      </c>
      <c r="T348" s="32" t="n">
        <f>37827</f>
        <v>37827.0</v>
      </c>
      <c r="U348" s="32" t="n">
        <f>7653</f>
        <v>7653.0</v>
      </c>
      <c r="V348" s="32" t="n">
        <f>6163034889</f>
        <v>6.163034889E9</v>
      </c>
      <c r="W348" s="32" t="n">
        <f>1245421789</f>
        <v>1.245421789E9</v>
      </c>
      <c r="X348" s="36" t="n">
        <f>19</f>
        <v>19.0</v>
      </c>
    </row>
    <row r="349">
      <c r="A349" s="27" t="s">
        <v>42</v>
      </c>
      <c r="B349" s="27" t="s">
        <v>1095</v>
      </c>
      <c r="C349" s="27" t="s">
        <v>1096</v>
      </c>
      <c r="D349" s="27" t="s">
        <v>1097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681000</f>
        <v>681000.0</v>
      </c>
      <c r="L349" s="34" t="s">
        <v>48</v>
      </c>
      <c r="M349" s="33" t="n">
        <f>698000</f>
        <v>698000.0</v>
      </c>
      <c r="N349" s="34" t="s">
        <v>48</v>
      </c>
      <c r="O349" s="33" t="n">
        <f>648000</f>
        <v>648000.0</v>
      </c>
      <c r="P349" s="34" t="s">
        <v>312</v>
      </c>
      <c r="Q349" s="33" t="n">
        <f>662000</f>
        <v>662000.0</v>
      </c>
      <c r="R349" s="34" t="s">
        <v>51</v>
      </c>
      <c r="S349" s="35" t="n">
        <f>670736.84</f>
        <v>670736.84</v>
      </c>
      <c r="T349" s="32" t="n">
        <f>46442</f>
        <v>46442.0</v>
      </c>
      <c r="U349" s="32" t="n">
        <f>11215</f>
        <v>11215.0</v>
      </c>
      <c r="V349" s="32" t="n">
        <f>30981015344</f>
        <v>3.0981015344E10</v>
      </c>
      <c r="W349" s="32" t="n">
        <f>7450193344</f>
        <v>7.450193344E9</v>
      </c>
      <c r="X349" s="36" t="n">
        <f>19</f>
        <v>19.0</v>
      </c>
    </row>
    <row r="350">
      <c r="A350" s="27" t="s">
        <v>42</v>
      </c>
      <c r="B350" s="27" t="s">
        <v>1098</v>
      </c>
      <c r="C350" s="27" t="s">
        <v>1099</v>
      </c>
      <c r="D350" s="27" t="s">
        <v>1100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82700</f>
        <v>82700.0</v>
      </c>
      <c r="L350" s="34" t="s">
        <v>48</v>
      </c>
      <c r="M350" s="33" t="n">
        <f>87600</f>
        <v>87600.0</v>
      </c>
      <c r="N350" s="34" t="s">
        <v>51</v>
      </c>
      <c r="O350" s="33" t="n">
        <f>82100</f>
        <v>82100.0</v>
      </c>
      <c r="P350" s="34" t="s">
        <v>91</v>
      </c>
      <c r="Q350" s="33" t="n">
        <f>86000</f>
        <v>86000.0</v>
      </c>
      <c r="R350" s="34" t="s">
        <v>51</v>
      </c>
      <c r="S350" s="35" t="n">
        <f>85021.05</f>
        <v>85021.05</v>
      </c>
      <c r="T350" s="32" t="n">
        <f>112674</f>
        <v>112674.0</v>
      </c>
      <c r="U350" s="32" t="n">
        <f>22527</f>
        <v>22527.0</v>
      </c>
      <c r="V350" s="32" t="n">
        <f>9562294797</f>
        <v>9.562294797E9</v>
      </c>
      <c r="W350" s="32" t="n">
        <f>1916087597</f>
        <v>1.916087597E9</v>
      </c>
      <c r="X350" s="36" t="n">
        <f>19</f>
        <v>19.0</v>
      </c>
    </row>
    <row r="351">
      <c r="A351" s="27" t="s">
        <v>42</v>
      </c>
      <c r="B351" s="27" t="s">
        <v>1101</v>
      </c>
      <c r="C351" s="27" t="s">
        <v>1102</v>
      </c>
      <c r="D351" s="27" t="s">
        <v>1103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733000</f>
        <v>733000.0</v>
      </c>
      <c r="L351" s="34" t="s">
        <v>48</v>
      </c>
      <c r="M351" s="33" t="n">
        <f>748000</f>
        <v>748000.0</v>
      </c>
      <c r="N351" s="34" t="s">
        <v>48</v>
      </c>
      <c r="O351" s="33" t="n">
        <f>690000</f>
        <v>690000.0</v>
      </c>
      <c r="P351" s="34" t="s">
        <v>51</v>
      </c>
      <c r="Q351" s="33" t="n">
        <f>695000</f>
        <v>695000.0</v>
      </c>
      <c r="R351" s="34" t="s">
        <v>51</v>
      </c>
      <c r="S351" s="35" t="n">
        <f>721421.05</f>
        <v>721421.05</v>
      </c>
      <c r="T351" s="32" t="n">
        <f>31583</f>
        <v>31583.0</v>
      </c>
      <c r="U351" s="32" t="n">
        <f>6122</f>
        <v>6122.0</v>
      </c>
      <c r="V351" s="32" t="n">
        <f>22665149319</f>
        <v>2.2665149319E10</v>
      </c>
      <c r="W351" s="32" t="n">
        <f>4409662319</f>
        <v>4.409662319E9</v>
      </c>
      <c r="X351" s="36" t="n">
        <f>19</f>
        <v>19.0</v>
      </c>
    </row>
    <row r="352">
      <c r="A352" s="27" t="s">
        <v>42</v>
      </c>
      <c r="B352" s="27" t="s">
        <v>1104</v>
      </c>
      <c r="C352" s="27" t="s">
        <v>1105</v>
      </c>
      <c r="D352" s="27" t="s">
        <v>1106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147300</f>
        <v>147300.0</v>
      </c>
      <c r="L352" s="34" t="s">
        <v>48</v>
      </c>
      <c r="M352" s="33" t="n">
        <f>151500</f>
        <v>151500.0</v>
      </c>
      <c r="N352" s="34" t="s">
        <v>302</v>
      </c>
      <c r="O352" s="33" t="n">
        <f>144500</f>
        <v>144500.0</v>
      </c>
      <c r="P352" s="34" t="s">
        <v>91</v>
      </c>
      <c r="Q352" s="33" t="n">
        <f>149500</f>
        <v>149500.0</v>
      </c>
      <c r="R352" s="34" t="s">
        <v>51</v>
      </c>
      <c r="S352" s="35" t="n">
        <f>148442.11</f>
        <v>148442.11</v>
      </c>
      <c r="T352" s="32" t="n">
        <f>48146</f>
        <v>48146.0</v>
      </c>
      <c r="U352" s="32" t="n">
        <f>9082</f>
        <v>9082.0</v>
      </c>
      <c r="V352" s="32" t="n">
        <f>7146596799</f>
        <v>7.146596799E9</v>
      </c>
      <c r="W352" s="32" t="n">
        <f>1346452399</f>
        <v>1.346452399E9</v>
      </c>
      <c r="X352" s="36" t="n">
        <f>19</f>
        <v>19.0</v>
      </c>
    </row>
    <row r="353">
      <c r="A353" s="27" t="s">
        <v>42</v>
      </c>
      <c r="B353" s="27" t="s">
        <v>1107</v>
      </c>
      <c r="C353" s="27" t="s">
        <v>1108</v>
      </c>
      <c r="D353" s="27" t="s">
        <v>1109</v>
      </c>
      <c r="E353" s="28" t="s">
        <v>46</v>
      </c>
      <c r="F353" s="29" t="s">
        <v>46</v>
      </c>
      <c r="G353" s="30" t="s">
        <v>46</v>
      </c>
      <c r="H353" s="31"/>
      <c r="I353" s="31" t="s">
        <v>598</v>
      </c>
      <c r="J353" s="32" t="n">
        <v>1.0</v>
      </c>
      <c r="K353" s="33" t="n">
        <f>237500</f>
        <v>237500.0</v>
      </c>
      <c r="L353" s="34" t="s">
        <v>48</v>
      </c>
      <c r="M353" s="33" t="n">
        <f>244200</f>
        <v>244200.0</v>
      </c>
      <c r="N353" s="34" t="s">
        <v>49</v>
      </c>
      <c r="O353" s="33" t="n">
        <f>232700</f>
        <v>232700.0</v>
      </c>
      <c r="P353" s="34" t="s">
        <v>162</v>
      </c>
      <c r="Q353" s="33" t="n">
        <f>243000</f>
        <v>243000.0</v>
      </c>
      <c r="R353" s="34" t="s">
        <v>51</v>
      </c>
      <c r="S353" s="35" t="n">
        <f>238163.16</f>
        <v>238163.16</v>
      </c>
      <c r="T353" s="32" t="n">
        <f>12194</f>
        <v>12194.0</v>
      </c>
      <c r="U353" s="32" t="n">
        <f>2267</f>
        <v>2267.0</v>
      </c>
      <c r="V353" s="32" t="n">
        <f>2906534626</f>
        <v>2.906534626E9</v>
      </c>
      <c r="W353" s="32" t="n">
        <f>539766726</f>
        <v>5.39766726E8</v>
      </c>
      <c r="X353" s="36" t="n">
        <f>19</f>
        <v>19.0</v>
      </c>
    </row>
    <row r="354">
      <c r="A354" s="27" t="s">
        <v>42</v>
      </c>
      <c r="B354" s="27" t="s">
        <v>1110</v>
      </c>
      <c r="C354" s="27" t="s">
        <v>1111</v>
      </c>
      <c r="D354" s="27" t="s">
        <v>1112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310000</f>
        <v>310000.0</v>
      </c>
      <c r="L354" s="34" t="s">
        <v>48</v>
      </c>
      <c r="M354" s="33" t="n">
        <f>323000</f>
        <v>323000.0</v>
      </c>
      <c r="N354" s="34" t="s">
        <v>641</v>
      </c>
      <c r="O354" s="33" t="n">
        <f>306500</f>
        <v>306500.0</v>
      </c>
      <c r="P354" s="34" t="s">
        <v>50</v>
      </c>
      <c r="Q354" s="33" t="n">
        <f>318500</f>
        <v>318500.0</v>
      </c>
      <c r="R354" s="34" t="s">
        <v>51</v>
      </c>
      <c r="S354" s="35" t="n">
        <f>315973.68</f>
        <v>315973.68</v>
      </c>
      <c r="T354" s="32" t="n">
        <f>130441</f>
        <v>130441.0</v>
      </c>
      <c r="U354" s="32" t="n">
        <f>26838</f>
        <v>26838.0</v>
      </c>
      <c r="V354" s="32" t="n">
        <f>41157826256</f>
        <v>4.1157826256E10</v>
      </c>
      <c r="W354" s="32" t="n">
        <f>8443664756</f>
        <v>8.443664756E9</v>
      </c>
      <c r="X354" s="36" t="n">
        <f>19</f>
        <v>19.0</v>
      </c>
    </row>
    <row r="355">
      <c r="A355" s="27" t="s">
        <v>42</v>
      </c>
      <c r="B355" s="27" t="s">
        <v>1113</v>
      </c>
      <c r="C355" s="27" t="s">
        <v>1114</v>
      </c>
      <c r="D355" s="27" t="s">
        <v>1115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65100</f>
        <v>65100.0</v>
      </c>
      <c r="L355" s="34" t="s">
        <v>48</v>
      </c>
      <c r="M355" s="33" t="n">
        <f>69700</f>
        <v>69700.0</v>
      </c>
      <c r="N355" s="34" t="s">
        <v>225</v>
      </c>
      <c r="O355" s="33" t="n">
        <f>63100</f>
        <v>63100.0</v>
      </c>
      <c r="P355" s="34" t="s">
        <v>91</v>
      </c>
      <c r="Q355" s="33" t="n">
        <f>66800</f>
        <v>66800.0</v>
      </c>
      <c r="R355" s="34" t="s">
        <v>51</v>
      </c>
      <c r="S355" s="35" t="n">
        <f>66847.37</f>
        <v>66847.37</v>
      </c>
      <c r="T355" s="32" t="n">
        <f>463140</f>
        <v>463140.0</v>
      </c>
      <c r="U355" s="32" t="n">
        <f>112882</f>
        <v>112882.0</v>
      </c>
      <c r="V355" s="32" t="n">
        <f>30949905187</f>
        <v>3.0949905187E10</v>
      </c>
      <c r="W355" s="32" t="n">
        <f>7549118287</f>
        <v>7.549118287E9</v>
      </c>
      <c r="X355" s="36" t="n">
        <f>19</f>
        <v>19.0</v>
      </c>
    </row>
    <row r="356">
      <c r="A356" s="27" t="s">
        <v>42</v>
      </c>
      <c r="B356" s="27" t="s">
        <v>1116</v>
      </c>
      <c r="C356" s="27" t="s">
        <v>1117</v>
      </c>
      <c r="D356" s="27" t="s">
        <v>1118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1.0</v>
      </c>
      <c r="K356" s="33" t="n">
        <f>114700</f>
        <v>114700.0</v>
      </c>
      <c r="L356" s="34" t="s">
        <v>48</v>
      </c>
      <c r="M356" s="33" t="n">
        <f>118100</f>
        <v>118100.0</v>
      </c>
      <c r="N356" s="34" t="s">
        <v>51</v>
      </c>
      <c r="O356" s="33" t="n">
        <f>112300</f>
        <v>112300.0</v>
      </c>
      <c r="P356" s="34" t="s">
        <v>312</v>
      </c>
      <c r="Q356" s="33" t="n">
        <f>118000</f>
        <v>118000.0</v>
      </c>
      <c r="R356" s="34" t="s">
        <v>51</v>
      </c>
      <c r="S356" s="35" t="n">
        <f>114757.89</f>
        <v>114757.89</v>
      </c>
      <c r="T356" s="32" t="n">
        <f>111441</f>
        <v>111441.0</v>
      </c>
      <c r="U356" s="32" t="n">
        <f>24549</f>
        <v>24549.0</v>
      </c>
      <c r="V356" s="32" t="n">
        <f>12791380822</f>
        <v>1.2791380822E10</v>
      </c>
      <c r="W356" s="32" t="n">
        <f>2815438122</f>
        <v>2.815438122E9</v>
      </c>
      <c r="X356" s="36" t="n">
        <f>19</f>
        <v>19.0</v>
      </c>
    </row>
    <row r="357">
      <c r="A357" s="27" t="s">
        <v>42</v>
      </c>
      <c r="B357" s="27" t="s">
        <v>1119</v>
      </c>
      <c r="C357" s="27" t="s">
        <v>1120</v>
      </c>
      <c r="D357" s="27" t="s">
        <v>1121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1.0</v>
      </c>
      <c r="K357" s="33" t="n">
        <f>126200</f>
        <v>126200.0</v>
      </c>
      <c r="L357" s="34" t="s">
        <v>48</v>
      </c>
      <c r="M357" s="33" t="n">
        <f>129800</f>
        <v>129800.0</v>
      </c>
      <c r="N357" s="34" t="s">
        <v>49</v>
      </c>
      <c r="O357" s="33" t="n">
        <f>120700</f>
        <v>120700.0</v>
      </c>
      <c r="P357" s="34" t="s">
        <v>50</v>
      </c>
      <c r="Q357" s="33" t="n">
        <f>129000</f>
        <v>129000.0</v>
      </c>
      <c r="R357" s="34" t="s">
        <v>51</v>
      </c>
      <c r="S357" s="35" t="n">
        <f>126836.84</f>
        <v>126836.84</v>
      </c>
      <c r="T357" s="32" t="n">
        <f>97396</f>
        <v>97396.0</v>
      </c>
      <c r="U357" s="32" t="n">
        <f>22010</f>
        <v>22010.0</v>
      </c>
      <c r="V357" s="32" t="n">
        <f>12306294204</f>
        <v>1.2306294204E10</v>
      </c>
      <c r="W357" s="32" t="n">
        <f>2782039504</f>
        <v>2.782039504E9</v>
      </c>
      <c r="X357" s="36" t="n">
        <f>19</f>
        <v>19.0</v>
      </c>
    </row>
    <row r="358">
      <c r="A358" s="27" t="s">
        <v>42</v>
      </c>
      <c r="B358" s="27" t="s">
        <v>1122</v>
      </c>
      <c r="C358" s="27" t="s">
        <v>1123</v>
      </c>
      <c r="D358" s="27" t="s">
        <v>1124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110500</f>
        <v>110500.0</v>
      </c>
      <c r="L358" s="34" t="s">
        <v>48</v>
      </c>
      <c r="M358" s="33" t="n">
        <f>112400</f>
        <v>112400.0</v>
      </c>
      <c r="N358" s="34" t="s">
        <v>125</v>
      </c>
      <c r="O358" s="33" t="n">
        <f>108600</f>
        <v>108600.0</v>
      </c>
      <c r="P358" s="34" t="s">
        <v>49</v>
      </c>
      <c r="Q358" s="33" t="n">
        <f>110200</f>
        <v>110200.0</v>
      </c>
      <c r="R358" s="34" t="s">
        <v>51</v>
      </c>
      <c r="S358" s="35" t="n">
        <f>111221.05</f>
        <v>111221.05</v>
      </c>
      <c r="T358" s="32" t="n">
        <f>34000</f>
        <v>34000.0</v>
      </c>
      <c r="U358" s="32" t="n">
        <f>1113</f>
        <v>1113.0</v>
      </c>
      <c r="V358" s="32" t="n">
        <f>3779728592</f>
        <v>3.779728592E9</v>
      </c>
      <c r="W358" s="32" t="n">
        <f>124709192</f>
        <v>1.24709192E8</v>
      </c>
      <c r="X358" s="36" t="n">
        <f>19</f>
        <v>19.0</v>
      </c>
    </row>
    <row r="359">
      <c r="A359" s="27" t="s">
        <v>42</v>
      </c>
      <c r="B359" s="27" t="s">
        <v>1125</v>
      </c>
      <c r="C359" s="27" t="s">
        <v>1126</v>
      </c>
      <c r="D359" s="27" t="s">
        <v>1127</v>
      </c>
      <c r="E359" s="28" t="s">
        <v>46</v>
      </c>
      <c r="F359" s="29" t="s">
        <v>46</v>
      </c>
      <c r="G359" s="30" t="s">
        <v>46</v>
      </c>
      <c r="H359" s="31"/>
      <c r="I359" s="31" t="s">
        <v>598</v>
      </c>
      <c r="J359" s="32" t="n">
        <v>1.0</v>
      </c>
      <c r="K359" s="33" t="n">
        <f>70300</f>
        <v>70300.0</v>
      </c>
      <c r="L359" s="34" t="s">
        <v>48</v>
      </c>
      <c r="M359" s="33" t="n">
        <f>74000</f>
        <v>74000.0</v>
      </c>
      <c r="N359" s="34" t="s">
        <v>51</v>
      </c>
      <c r="O359" s="33" t="n">
        <f>70300</f>
        <v>70300.0</v>
      </c>
      <c r="P359" s="34" t="s">
        <v>48</v>
      </c>
      <c r="Q359" s="33" t="n">
        <f>73800</f>
        <v>73800.0</v>
      </c>
      <c r="R359" s="34" t="s">
        <v>51</v>
      </c>
      <c r="S359" s="35" t="n">
        <f>72168.42</f>
        <v>72168.42</v>
      </c>
      <c r="T359" s="32" t="n">
        <f>3299</f>
        <v>3299.0</v>
      </c>
      <c r="U359" s="32" t="n">
        <f>12</f>
        <v>12.0</v>
      </c>
      <c r="V359" s="32" t="n">
        <f>238474100</f>
        <v>2.384741E8</v>
      </c>
      <c r="W359" s="32" t="n">
        <f>863200</f>
        <v>863200.0</v>
      </c>
      <c r="X359" s="36" t="n">
        <f>19</f>
        <v>19.0</v>
      </c>
    </row>
    <row r="360">
      <c r="A360" s="27" t="s">
        <v>42</v>
      </c>
      <c r="B360" s="27" t="s">
        <v>1128</v>
      </c>
      <c r="C360" s="27" t="s">
        <v>1129</v>
      </c>
      <c r="D360" s="27" t="s">
        <v>1130</v>
      </c>
      <c r="E360" s="28" t="s">
        <v>46</v>
      </c>
      <c r="F360" s="29" t="s">
        <v>46</v>
      </c>
      <c r="G360" s="30" t="s">
        <v>46</v>
      </c>
      <c r="H360" s="31" t="s">
        <v>90</v>
      </c>
      <c r="I360" s="31" t="s">
        <v>598</v>
      </c>
      <c r="J360" s="32" t="n">
        <v>1.0</v>
      </c>
      <c r="K360" s="33" t="n">
        <f>103800</f>
        <v>103800.0</v>
      </c>
      <c r="L360" s="34" t="s">
        <v>48</v>
      </c>
      <c r="M360" s="33" t="n">
        <f>114900</f>
        <v>114900.0</v>
      </c>
      <c r="N360" s="34" t="s">
        <v>162</v>
      </c>
      <c r="O360" s="33" t="n">
        <f>103500</f>
        <v>103500.0</v>
      </c>
      <c r="P360" s="34" t="s">
        <v>48</v>
      </c>
      <c r="Q360" s="33" t="n">
        <f>113400</f>
        <v>113400.0</v>
      </c>
      <c r="R360" s="34" t="s">
        <v>51</v>
      </c>
      <c r="S360" s="35" t="n">
        <f>110915.79</f>
        <v>110915.79</v>
      </c>
      <c r="T360" s="32" t="n">
        <f>99838</f>
        <v>99838.0</v>
      </c>
      <c r="U360" s="32" t="n">
        <f>1291</f>
        <v>1291.0</v>
      </c>
      <c r="V360" s="32" t="n">
        <f>11390716829</f>
        <v>1.1390716829E10</v>
      </c>
      <c r="W360" s="32" t="n">
        <f>146121429</f>
        <v>1.46121429E8</v>
      </c>
      <c r="X360" s="36" t="n">
        <f>19</f>
        <v>19.0</v>
      </c>
    </row>
    <row r="361">
      <c r="A361" s="27" t="s">
        <v>42</v>
      </c>
      <c r="B361" s="27" t="s">
        <v>1131</v>
      </c>
      <c r="C361" s="27" t="s">
        <v>1132</v>
      </c>
      <c r="D361" s="27" t="s">
        <v>1133</v>
      </c>
      <c r="E361" s="28" t="s">
        <v>46</v>
      </c>
      <c r="F361" s="29" t="s">
        <v>46</v>
      </c>
      <c r="G361" s="30" t="s">
        <v>46</v>
      </c>
      <c r="H361" s="31"/>
      <c r="I361" s="31" t="s">
        <v>598</v>
      </c>
      <c r="J361" s="32" t="n">
        <v>1.0</v>
      </c>
      <c r="K361" s="33" t="n">
        <f>123300</f>
        <v>123300.0</v>
      </c>
      <c r="L361" s="34" t="s">
        <v>48</v>
      </c>
      <c r="M361" s="33" t="n">
        <f>126300</f>
        <v>126300.0</v>
      </c>
      <c r="N361" s="34" t="s">
        <v>74</v>
      </c>
      <c r="O361" s="33" t="n">
        <f>122000</f>
        <v>122000.0</v>
      </c>
      <c r="P361" s="34" t="s">
        <v>50</v>
      </c>
      <c r="Q361" s="33" t="n">
        <f>125800</f>
        <v>125800.0</v>
      </c>
      <c r="R361" s="34" t="s">
        <v>51</v>
      </c>
      <c r="S361" s="35" t="n">
        <f>124547.37</f>
        <v>124547.37</v>
      </c>
      <c r="T361" s="32" t="n">
        <f>10520</f>
        <v>10520.0</v>
      </c>
      <c r="U361" s="32" t="n">
        <f>349</f>
        <v>349.0</v>
      </c>
      <c r="V361" s="32" t="n">
        <f>1313559348</f>
        <v>1.313559348E9</v>
      </c>
      <c r="W361" s="32" t="n">
        <f>43669848</f>
        <v>4.3669848E7</v>
      </c>
      <c r="X361" s="36" t="n">
        <f>19</f>
        <v>19.0</v>
      </c>
    </row>
    <row r="362">
      <c r="A362" s="27" t="s">
        <v>42</v>
      </c>
      <c r="B362" s="27" t="s">
        <v>1134</v>
      </c>
      <c r="C362" s="27" t="s">
        <v>1135</v>
      </c>
      <c r="D362" s="27" t="s">
        <v>1136</v>
      </c>
      <c r="E362" s="28" t="s">
        <v>46</v>
      </c>
      <c r="F362" s="29" t="s">
        <v>46</v>
      </c>
      <c r="G362" s="30" t="s">
        <v>46</v>
      </c>
      <c r="H362" s="31"/>
      <c r="I362" s="31" t="s">
        <v>598</v>
      </c>
      <c r="J362" s="32" t="n">
        <v>1.0</v>
      </c>
      <c r="K362" s="33" t="n">
        <f>96000</f>
        <v>96000.0</v>
      </c>
      <c r="L362" s="34" t="s">
        <v>48</v>
      </c>
      <c r="M362" s="33" t="n">
        <f>99500</f>
        <v>99500.0</v>
      </c>
      <c r="N362" s="34" t="s">
        <v>51</v>
      </c>
      <c r="O362" s="33" t="n">
        <f>95400</f>
        <v>95400.0</v>
      </c>
      <c r="P362" s="34" t="s">
        <v>91</v>
      </c>
      <c r="Q362" s="33" t="n">
        <f>99500</f>
        <v>99500.0</v>
      </c>
      <c r="R362" s="34" t="s">
        <v>51</v>
      </c>
      <c r="S362" s="35" t="n">
        <f>97268.42</f>
        <v>97268.42</v>
      </c>
      <c r="T362" s="32" t="n">
        <f>3691</f>
        <v>3691.0</v>
      </c>
      <c r="U362" s="32" t="n">
        <f>23</f>
        <v>23.0</v>
      </c>
      <c r="V362" s="32" t="n">
        <f>358206300</f>
        <v>3.582063E8</v>
      </c>
      <c r="W362" s="32" t="n">
        <f>2247000</f>
        <v>2247000.0</v>
      </c>
      <c r="X362" s="36" t="n">
        <f>19</f>
        <v>19.0</v>
      </c>
    </row>
    <row r="363">
      <c r="A363" s="27" t="s">
        <v>42</v>
      </c>
      <c r="B363" s="27" t="s">
        <v>1137</v>
      </c>
      <c r="C363" s="27" t="s">
        <v>1138</v>
      </c>
      <c r="D363" s="27" t="s">
        <v>1139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90800</f>
        <v>90800.0</v>
      </c>
      <c r="L363" s="34" t="s">
        <v>48</v>
      </c>
      <c r="M363" s="33" t="n">
        <f>93200</f>
        <v>93200.0</v>
      </c>
      <c r="N363" s="34" t="s">
        <v>125</v>
      </c>
      <c r="O363" s="33" t="n">
        <f>90100</f>
        <v>90100.0</v>
      </c>
      <c r="P363" s="34" t="s">
        <v>49</v>
      </c>
      <c r="Q363" s="33" t="n">
        <f>91400</f>
        <v>91400.0</v>
      </c>
      <c r="R363" s="34" t="s">
        <v>51</v>
      </c>
      <c r="S363" s="35" t="n">
        <f>91942.11</f>
        <v>91942.11</v>
      </c>
      <c r="T363" s="32" t="n">
        <f>36439</f>
        <v>36439.0</v>
      </c>
      <c r="U363" s="32" t="n">
        <f>597</f>
        <v>597.0</v>
      </c>
      <c r="V363" s="32" t="n">
        <f>3351258350</f>
        <v>3.35125835E9</v>
      </c>
      <c r="W363" s="32" t="n">
        <f>55837350</f>
        <v>5.583735E7</v>
      </c>
      <c r="X363" s="36" t="n">
        <f>19</f>
        <v>19.0</v>
      </c>
    </row>
    <row r="364">
      <c r="A364" s="27" t="s">
        <v>42</v>
      </c>
      <c r="B364" s="27" t="s">
        <v>1140</v>
      </c>
      <c r="C364" s="27" t="s">
        <v>1141</v>
      </c>
      <c r="D364" s="27" t="s">
        <v>1142</v>
      </c>
      <c r="E364" s="28" t="s">
        <v>46</v>
      </c>
      <c r="F364" s="29" t="s">
        <v>46</v>
      </c>
      <c r="G364" s="30" t="s">
        <v>46</v>
      </c>
      <c r="H364" s="31"/>
      <c r="I364" s="31" t="s">
        <v>598</v>
      </c>
      <c r="J364" s="32" t="n">
        <v>1.0</v>
      </c>
      <c r="K364" s="33" t="n">
        <f>91200</f>
        <v>91200.0</v>
      </c>
      <c r="L364" s="34" t="s">
        <v>48</v>
      </c>
      <c r="M364" s="33" t="n">
        <f>92400</f>
        <v>92400.0</v>
      </c>
      <c r="N364" s="34" t="s">
        <v>74</v>
      </c>
      <c r="O364" s="33" t="n">
        <f>89200</f>
        <v>89200.0</v>
      </c>
      <c r="P364" s="34" t="s">
        <v>162</v>
      </c>
      <c r="Q364" s="33" t="n">
        <f>90300</f>
        <v>90300.0</v>
      </c>
      <c r="R364" s="34" t="s">
        <v>51</v>
      </c>
      <c r="S364" s="35" t="n">
        <f>91663.16</f>
        <v>91663.16</v>
      </c>
      <c r="T364" s="32" t="n">
        <f>21478</f>
        <v>21478.0</v>
      </c>
      <c r="U364" s="32" t="n">
        <f>158</f>
        <v>158.0</v>
      </c>
      <c r="V364" s="32" t="n">
        <f>1960466450</f>
        <v>1.96046645E9</v>
      </c>
      <c r="W364" s="32" t="n">
        <f>14688850</f>
        <v>1.468885E7</v>
      </c>
      <c r="X364" s="36" t="n">
        <f>19</f>
        <v>19.0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