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<sst xmlns="http://schemas.openxmlformats.org/spreadsheetml/2006/main" count="4383" uniqueCount="1157">
  <si>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</si>
  <si>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</si>
  <si>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</si>
  <si>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</si>
  <si>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</si>
  <si>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</si>
  <si>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</si>
  <si>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</si>
  <si>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</si>
  <si>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</si>
  <si>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</si>
  <si>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</si>
  <si>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</si>
  <si>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</si>
  <si>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</si>
  <si>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</si>
  <si>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</si>
  <si>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</si>
  <si>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</si>
  <si>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</si>
  <si>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</si>
  <si>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</si>
  <si>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</si>
  <si>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</si>
  <si>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</si>
  <si>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</si>
  <si>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</si>
  <si>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</si>
  <si>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</si>
  <si>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</si>
  <si>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</si>
  <si>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</si>
  <si>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</si>
  <si>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</si>
  <si>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</si>
  <si>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</si>
  <si>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</si>
  <si>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</si>
  <si>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</si>
  <si>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</si>
  <si>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</si>
  <si>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</si>
  <si>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2022/06</t>
  </si>
  <si>
    <t>1305</t>
  </si>
  <si>
    <t>ダイワ上場投信－トピックス　受益証券</t>
  </si>
  <si>
    <t>Daiwa ETF-TOPIX</t>
  </si>
  <si>
    <t/>
  </si>
  <si>
    <t>貸借</t>
  </si>
  <si>
    <t>1</t>
  </si>
  <si>
    <t>9</t>
  </si>
  <si>
    <t>20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</si>
  <si>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</si>
  <si>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</si>
  <si>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</si>
  <si>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</si>
  <si>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</si>
  <si>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</si>
  <si>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</si>
  <si>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</si>
  <si>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</si>
  <si>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</si>
  <si>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</si>
  <si>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</si>
  <si>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</si>
  <si>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</si>
  <si>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</si>
  <si>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</si>
  <si>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17</t>
  </si>
  <si>
    <t>1313</t>
  </si>
  <si>
    <t>サムスンＫＯＤＥＸ２００証券上場指数投資信託[株式]　受益証券</t>
  </si>
  <si>
    <t>SAMSUNG KODEX200 SECURITIES EXCHANGE TRADED FUND [STOCK]</t>
  </si>
  <si>
    <t>3</t>
  </si>
  <si>
    <t>7</t>
  </si>
  <si>
    <t>1319</t>
  </si>
  <si>
    <t>ＮＥＸＴ　ＦＵＮＤＳ　日経３００株価指数連動型上場投信　受益証券</t>
  </si>
  <si>
    <t>NEXT FUNDS Nikkei 300 Index Exchange Traded Fund</t>
  </si>
  <si>
    <t>21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</si>
  <si>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</si>
  <si>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</si>
  <si>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</si>
  <si>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</si>
  <si>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</si>
  <si>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</si>
  <si>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</si>
  <si>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</si>
  <si>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</si>
  <si>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29</t>
  </si>
  <si>
    <t>2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</si>
  <si>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</si>
  <si>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</si>
  <si>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</si>
  <si>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整</t>
  </si>
  <si>
    <t>6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</si>
  <si>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</si>
  <si>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</si>
  <si>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</si>
  <si>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</si>
  <si>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</si>
  <si>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</si>
  <si>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8</t>
  </si>
  <si>
    <t>1326</t>
  </si>
  <si>
    <t>ＳＰＤＲゴールド・シェア　受益証券</t>
  </si>
  <si>
    <t>SPDR Gold Shares</t>
  </si>
  <si>
    <t>13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</si>
  <si>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</si>
  <si>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</si>
  <si>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</si>
  <si>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</si>
  <si>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</si>
  <si>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</si>
  <si>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</si>
  <si>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</si>
  <si>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</si>
  <si>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</si>
  <si>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</si>
  <si>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</si>
  <si>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15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</si>
  <si>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</si>
  <si>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</si>
  <si>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</si>
  <si>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</si>
  <si>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</si>
  <si>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</si>
  <si>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</si>
  <si>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</si>
  <si>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</si>
  <si>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</si>
  <si>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</si>
  <si>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</si>
  <si>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10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</si>
  <si>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</si>
  <si>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</si>
  <si>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</si>
  <si>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</si>
  <si>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</si>
  <si>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</si>
  <si>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</si>
  <si>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</si>
  <si>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</si>
  <si>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</si>
  <si>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</si>
  <si>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</si>
  <si>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</si>
  <si>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</si>
  <si>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</si>
  <si>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</si>
  <si>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</si>
  <si>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</si>
  <si>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</si>
  <si>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</si>
  <si>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</si>
  <si>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</si>
  <si>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</si>
  <si>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</si>
  <si>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</si>
  <si>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</si>
  <si>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</si>
  <si>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</si>
  <si>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</si>
  <si>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</si>
  <si>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</si>
  <si>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</si>
  <si>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</si>
  <si>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</si>
  <si>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</si>
  <si>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</si>
  <si>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</si>
  <si>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</si>
  <si>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</si>
  <si>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</si>
  <si>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</si>
  <si>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</si>
  <si>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</si>
  <si>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</si>
  <si>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</si>
  <si>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</si>
  <si>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</si>
  <si>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</si>
  <si>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</si>
  <si>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</si>
  <si>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</si>
  <si>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</si>
  <si>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</si>
  <si>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</si>
  <si>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</si>
  <si>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</si>
  <si>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</si>
  <si>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</si>
  <si>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</si>
  <si>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</si>
  <si>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</si>
  <si>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</si>
  <si>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</si>
  <si>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</si>
  <si>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</si>
  <si>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</si>
  <si>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</si>
  <si>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</si>
  <si>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</si>
  <si>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</si>
  <si>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</si>
  <si>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</si>
  <si>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</si>
  <si>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</si>
  <si>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</si>
  <si>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</si>
  <si>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</si>
  <si>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</si>
  <si>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</si>
  <si>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</si>
  <si>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</si>
  <si>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</si>
  <si>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</si>
  <si>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</si>
  <si>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</si>
  <si>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</si>
  <si>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</si>
  <si>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</si>
  <si>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</si>
  <si>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</si>
  <si>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</si>
  <si>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</si>
  <si>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</si>
  <si>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</si>
  <si>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</si>
  <si>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</si>
  <si>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</si>
  <si>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</si>
  <si>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</si>
  <si>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</si>
  <si>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</si>
  <si>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</si>
  <si>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</si>
  <si>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</si>
  <si>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</si>
  <si>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</si>
  <si>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</si>
  <si>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</si>
  <si>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</si>
  <si>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</si>
  <si>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</si>
  <si>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</si>
  <si>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</si>
  <si>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</si>
  <si>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</si>
  <si>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</si>
  <si>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</si>
  <si>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</si>
  <si>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</si>
  <si>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</si>
  <si>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</si>
  <si>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</si>
  <si>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</si>
  <si>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28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</si>
  <si>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</si>
  <si>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</si>
  <si>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</si>
  <si>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</si>
  <si>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</si>
  <si>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</si>
  <si>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</si>
  <si>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</si>
  <si>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</si>
  <si>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</si>
  <si>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</si>
  <si>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</si>
  <si>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</si>
  <si>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</si>
  <si>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</si>
  <si>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</si>
  <si>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</si>
  <si>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</si>
  <si>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16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</si>
  <si>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</si>
  <si>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</si>
  <si>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</si>
  <si>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</si>
  <si>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</si>
  <si>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</si>
  <si>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</si>
  <si>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</si>
  <si>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</si>
  <si>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</si>
  <si>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</si>
  <si>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</si>
  <si>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</si>
  <si>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</si>
  <si>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</si>
  <si>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27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</si>
  <si>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</si>
  <si>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</si>
  <si>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</si>
  <si>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</si>
  <si>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</si>
  <si>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</si>
  <si>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</si>
  <si>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</si>
  <si>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</si>
  <si>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</si>
  <si>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</si>
  <si>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</si>
  <si>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</si>
  <si>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</si>
  <si>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</si>
  <si>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</si>
  <si>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</si>
  <si>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</si>
  <si>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</si>
  <si>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</si>
  <si>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</si>
  <si>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</si>
  <si>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</si>
  <si>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</si>
  <si>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</si>
  <si>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</si>
  <si>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</si>
  <si>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</si>
  <si>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</si>
  <si>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</si>
  <si>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</si>
  <si>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</si>
  <si>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</si>
  <si>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</si>
  <si>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24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</si>
  <si>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</si>
  <si>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</si>
  <si>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</si>
  <si>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</si>
  <si>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</si>
  <si>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</si>
  <si>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</si>
  <si>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</si>
  <si>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</si>
  <si>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</si>
  <si>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</si>
  <si>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</si>
  <si>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</si>
  <si>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</si>
  <si>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</si>
  <si>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</si>
  <si>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</si>
  <si>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</si>
  <si>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</si>
  <si>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</si>
  <si>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</si>
  <si>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</si>
  <si>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</si>
  <si>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</si>
  <si>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</si>
  <si>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</si>
  <si>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</si>
  <si>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</si>
  <si>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</si>
  <si>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</si>
  <si>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</si>
  <si>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</si>
  <si>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</si>
  <si>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</si>
  <si>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</si>
  <si>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</si>
  <si>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</si>
  <si>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</si>
  <si>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</si>
  <si>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</si>
  <si>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</si>
  <si>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</si>
  <si>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</si>
  <si>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</si>
  <si>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</si>
  <si>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</si>
  <si>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</si>
  <si>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</si>
  <si>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</si>
  <si>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</si>
  <si>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</si>
  <si>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</si>
  <si>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</si>
  <si>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</si>
  <si>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</si>
  <si>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</si>
  <si>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</si>
  <si>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</si>
  <si>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</si>
  <si>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</si>
  <si>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</si>
  <si>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</si>
  <si>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</si>
  <si>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</si>
  <si>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</si>
  <si>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</si>
  <si>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</si>
  <si>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</si>
  <si>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</si>
  <si>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</si>
  <si>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</si>
  <si>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</si>
  <si>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</si>
  <si>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</si>
  <si>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</si>
  <si>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</si>
  <si>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</si>
  <si>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</si>
  <si>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</si>
  <si>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22</t>
  </si>
  <si>
    <t>1585</t>
  </si>
  <si>
    <t>ダイワ上場投信・ＴＯＰＩＸ　Ｅｘ－Ｆｉｎａｎｃｉａｌｓ　受益証券</t>
  </si>
  <si>
    <t>Daiwa ETF TOPIX Ex-Financials</t>
  </si>
  <si>
    <t>23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</si>
  <si>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</si>
  <si>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</si>
  <si>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</si>
  <si>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</si>
  <si>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</si>
  <si>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</si>
  <si>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</si>
  <si>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</si>
  <si>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</si>
  <si>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</si>
  <si>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</si>
  <si>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</si>
  <si>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</si>
  <si>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</si>
  <si>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</si>
  <si>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</si>
  <si>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</si>
  <si>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</si>
  <si>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</si>
  <si>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</si>
  <si>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</si>
  <si>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</si>
  <si>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</si>
  <si>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</si>
  <si>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</si>
  <si>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</si>
  <si>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</si>
  <si>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</si>
  <si>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</si>
  <si>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</si>
  <si>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</si>
  <si>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</si>
  <si>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</si>
  <si>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</si>
  <si>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</si>
  <si>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</si>
  <si>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</si>
  <si>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</si>
  <si>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</si>
  <si>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</si>
  <si>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</si>
  <si>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</si>
  <si>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</si>
  <si>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</si>
  <si>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</si>
  <si>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</si>
  <si>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</si>
  <si>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</si>
  <si>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</si>
  <si>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</si>
  <si>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</si>
  <si>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</si>
  <si>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</si>
  <si>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</si>
  <si>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</si>
  <si>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</si>
  <si>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</si>
  <si>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</si>
  <si>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</si>
  <si>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</si>
  <si>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</si>
  <si>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</si>
  <si>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</si>
  <si>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</si>
  <si>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</si>
  <si>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</si>
  <si>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</si>
  <si>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</si>
  <si>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</si>
  <si>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</si>
  <si>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</si>
  <si>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</si>
  <si>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</si>
  <si>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</si>
  <si>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</si>
  <si>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</si>
  <si>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</si>
  <si>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</si>
  <si>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</si>
  <si>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</si>
  <si>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</si>
  <si>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</si>
  <si>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</si>
  <si>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</si>
  <si>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</si>
  <si>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</si>
  <si>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</si>
  <si>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</si>
  <si>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</si>
  <si>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</si>
  <si>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</si>
  <si>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</si>
  <si>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</si>
  <si>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</si>
  <si>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</si>
  <si>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</si>
  <si>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</si>
  <si>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</si>
  <si>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</si>
  <si>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</si>
  <si>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</si>
  <si>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</si>
  <si>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</si>
  <si>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</si>
  <si>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</si>
  <si>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</si>
  <si>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</si>
  <si>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</si>
  <si>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</si>
  <si>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</si>
  <si>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</si>
  <si>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</si>
  <si>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</si>
  <si>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</si>
  <si>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</si>
  <si>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</si>
  <si>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</si>
  <si>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</si>
  <si>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</si>
  <si>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</si>
  <si>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</si>
  <si>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</si>
  <si>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</si>
  <si>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</si>
  <si>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</si>
  <si>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</si>
  <si>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</si>
  <si>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</si>
  <si>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</si>
  <si>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</si>
  <si>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</si>
  <si>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</si>
  <si>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</si>
  <si>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</si>
  <si>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</si>
  <si>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</si>
  <si>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</si>
  <si>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</si>
  <si>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</si>
  <si>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</si>
  <si>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</si>
  <si>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</si>
  <si>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</si>
  <si>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</si>
  <si>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</si>
  <si>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</si>
  <si>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</si>
  <si>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</si>
  <si>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</si>
  <si>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</si>
  <si>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</si>
  <si>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</si>
  <si>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</si>
  <si>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</si>
  <si>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</si>
  <si>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</si>
  <si>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</si>
  <si>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</si>
  <si>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</si>
  <si>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</si>
  <si>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</si>
  <si>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</si>
  <si>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</si>
  <si>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</si>
  <si>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</si>
  <si>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</si>
  <si>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</si>
  <si>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</si>
  <si>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</si>
  <si>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</si>
  <si>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</si>
  <si>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</si>
  <si>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</si>
  <si>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</si>
  <si>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</si>
  <si>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</si>
  <si>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</si>
  <si>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</si>
  <si>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</si>
  <si>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</si>
  <si>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</si>
  <si>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</si>
  <si>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</si>
  <si>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</si>
  <si>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</si>
  <si>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</si>
  <si>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</si>
  <si>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</si>
  <si>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</si>
  <si>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</si>
  <si>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</si>
  <si>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</si>
  <si>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</si>
  <si>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</si>
  <si>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</si>
  <si>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</si>
  <si>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</si>
  <si>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</si>
  <si>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</si>
  <si>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</si>
  <si>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</si>
  <si>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</si>
  <si>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</si>
  <si>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</si>
  <si>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</si>
  <si>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</si>
  <si>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</si>
  <si>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</si>
  <si>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</si>
  <si>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</si>
  <si>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</si>
  <si>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</si>
  <si>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</si>
  <si>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</si>
  <si>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</si>
  <si>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</si>
  <si>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</si>
  <si>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</si>
  <si>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</si>
  <si>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</si>
  <si>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</si>
  <si>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</si>
  <si>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</si>
  <si>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</si>
  <si>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</si>
  <si>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</si>
  <si>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</si>
  <si>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</si>
  <si>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</si>
  <si>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</si>
  <si>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</si>
  <si>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</si>
  <si>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</si>
  <si>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</si>
  <si>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</si>
  <si>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</si>
  <si>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</si>
  <si>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</si>
  <si>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</si>
  <si>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</si>
  <si>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</si>
  <si>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</si>
  <si>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</si>
  <si>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</si>
  <si>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</si>
  <si>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</si>
  <si>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</si>
  <si>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</si>
  <si>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</si>
  <si>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</si>
  <si>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</si>
  <si>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</si>
  <si>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</si>
  <si>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</si>
  <si>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</si>
  <si>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</si>
  <si>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</si>
  <si>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</si>
  <si>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</si>
  <si>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</si>
  <si>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</si>
  <si>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</si>
  <si>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</si>
  <si>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</si>
  <si>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</si>
  <si>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</si>
  <si>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</si>
  <si>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</si>
  <si>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</si>
  <si>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</si>
  <si>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</si>
  <si>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</si>
  <si>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</si>
  <si>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</si>
  <si>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</si>
  <si>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</si>
  <si>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</si>
  <si>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</si>
  <si>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</si>
  <si>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</si>
  <si>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</si>
  <si>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</si>
  <si>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</si>
  <si>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</si>
  <si>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</si>
  <si>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</si>
  <si>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</si>
  <si>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</si>
  <si>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</si>
  <si>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</si>
  <si>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</si>
  <si>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</si>
  <si>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</si>
  <si>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</si>
  <si>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</si>
  <si>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</si>
  <si>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</si>
  <si>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</si>
  <si>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</si>
  <si>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</si>
  <si>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</si>
  <si>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</si>
  <si>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</si>
  <si>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</si>
  <si>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</si>
  <si>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</si>
  <si>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</si>
  <si>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</si>
  <si>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</si>
  <si>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</si>
  <si>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</si>
  <si>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</si>
  <si>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</si>
  <si>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</si>
  <si>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</si>
  <si>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</si>
  <si>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</si>
  <si>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</si>
  <si>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</si>
  <si>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</si>
  <si>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</si>
  <si>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</si>
  <si>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</si>
  <si>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</si>
  <si>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</si>
  <si>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</si>
  <si>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</si>
  <si>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</si>
  <si>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</si>
  <si>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</si>
  <si>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</si>
  <si>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</si>
  <si>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</si>
  <si>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</si>
  <si>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</si>
  <si>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</si>
  <si>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</si>
  <si>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</si>
  <si>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</si>
  <si>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</si>
  <si>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</si>
  <si>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</si>
  <si>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</si>
  <si>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</si>
  <si>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</si>
  <si>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</si>
  <si>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</si>
  <si>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</si>
  <si>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</si>
  <si>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</si>
  <si>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</si>
  <si>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</si>
  <si>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</si>
  <si>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</si>
  <si>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</si>
  <si>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</si>
  <si>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</si>
  <si>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</si>
  <si>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</si>
  <si>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</si>
  <si>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</si>
  <si>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</si>
  <si>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</si>
  <si>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</si>
  <si>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</si>
  <si>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</si>
  <si>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</si>
  <si>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</si>
  <si>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</si>
  <si>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</si>
  <si>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</si>
  <si>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</si>
  <si>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</si>
  <si>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</si>
  <si>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</si>
  <si>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</si>
  <si>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</si>
  <si>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</si>
  <si>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</si>
  <si>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</si>
  <si>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</si>
  <si>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</si>
  <si>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</si>
  <si>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</si>
  <si>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</si>
  <si>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</si>
  <si>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</si>
  <si>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</si>
  <si>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</si>
  <si>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</si>
  <si>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</si>
  <si>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</si>
  <si>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</si>
  <si>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</si>
  <si>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</si>
  <si>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</si>
  <si>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</si>
  <si>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</si>
  <si>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</si>
  <si>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</si>
  <si>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</si>
  <si>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</si>
  <si>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</si>
  <si>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</si>
  <si>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</si>
  <si>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</si>
  <si>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</si>
  <si>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</si>
  <si>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</si>
  <si>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</si>
  <si>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</si>
  <si>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</si>
  <si>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</si>
  <si>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</si>
  <si>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</si>
  <si>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</si>
  <si>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</si>
  <si>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</si>
  <si>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</si>
  <si>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</si>
  <si>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</si>
  <si>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</si>
  <si>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</si>
  <si>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</si>
  <si>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</si>
  <si>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</si>
  <si>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</si>
  <si>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</si>
  <si>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</si>
  <si>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</si>
  <si>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</si>
  <si>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</si>
  <si>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</si>
  <si>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</si>
  <si>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</si>
  <si>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</si>
  <si>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</si>
  <si>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</si>
  <si>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</si>
  <si>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</si>
  <si>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</si>
  <si>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</si>
  <si>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</si>
  <si>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</si>
  <si>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</si>
  <si>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</si>
  <si>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</si>
  <si>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</si>
  <si>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</si>
  <si>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</si>
  <si>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</si>
  <si>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</si>
  <si>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</si>
  <si>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</si>
  <si>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</si>
  <si>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</si>
  <si>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</si>
  <si>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</si>
  <si>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</si>
  <si>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</si>
  <si>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</si>
  <si>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</si>
  <si>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</si>
  <si>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</si>
  <si>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</si>
  <si>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</si>
  <si>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</si>
  <si>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</si>
  <si>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</si>
  <si>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</si>
  <si>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</si>
  <si>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</si>
  <si>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</si>
  <si>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</si>
  <si>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</si>
  <si>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</si>
  <si>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</si>
  <si>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</si>
  <si>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</si>
  <si>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</si>
  <si>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</si>
  <si>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</si>
  <si>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</si>
  <si>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</si>
  <si>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</si>
  <si>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</si>
  <si>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</si>
  <si>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</si>
  <si>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</si>
  <si>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</si>
  <si>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</si>
  <si>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</si>
  <si>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</si>
  <si>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</si>
  <si>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</si>
  <si>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</si>
  <si>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</si>
  <si>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</si>
  <si>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</si>
  <si>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</si>
  <si>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</si>
  <si>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</si>
  <si>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</si>
  <si>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</si>
  <si>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</si>
  <si>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</si>
  <si>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</si>
  <si>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</si>
  <si>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</si>
  <si>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</si>
  <si>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</si>
  <si>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</si>
  <si>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</si>
  <si>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</si>
  <si>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</si>
  <si>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</si>
  <si>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</si>
  <si>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</si>
  <si>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</si>
  <si>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</si>
  <si>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</si>
  <si>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</si>
  <si>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</si>
  <si>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</si>
  <si>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</si>
  <si>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</si>
  <si>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</si>
  <si>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</si>
  <si>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</si>
  <si>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 xml:space="preserve">新規上場  </t>
  </si>
  <si>
    <t xml:space="preserve">New Listing  </t>
  </si>
  <si>
    <t xml:space="preserve">2022/06/08  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</si>
  <si>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</si>
  <si>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</si>
  <si>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</si>
  <si>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</si>
  <si>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</si>
  <si>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</si>
  <si>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</si>
  <si>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</si>
  <si>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</si>
  <si>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 xml:space="preserve">2022/06/24  </t>
  </si>
  <si>
    <t>2855</t>
  </si>
  <si>
    <t>グローバルＸ　グリーン・Ｊ－ＲＥＩＴ　ＥＴＦ　受益証券</t>
  </si>
  <si>
    <t>Global X Green J-REIT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</si>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</sst>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6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2043.5</f>
        <v>2043.5</v>
      </c>
      <c r="L7" s="34" t="s">
        <v>48</v>
      </c>
      <c r="M7" s="33" t="n">
        <f>2109</f>
        <v>2109.0</v>
      </c>
      <c r="N7" s="34" t="s">
        <v>49</v>
      </c>
      <c r="O7" s="33" t="n">
        <f>1928</f>
        <v>1928.0</v>
      </c>
      <c r="P7" s="34" t="s">
        <v>50</v>
      </c>
      <c r="Q7" s="33" t="n">
        <f>1997.5</f>
        <v>1997.5</v>
      </c>
      <c r="R7" s="34" t="s">
        <v>51</v>
      </c>
      <c r="S7" s="35" t="n">
        <f>2020.32</f>
        <v>2020.32</v>
      </c>
      <c r="T7" s="32" t="n">
        <f>10512390</f>
        <v>1.051239E7</v>
      </c>
      <c r="U7" s="32" t="n">
        <f>5040200</f>
        <v>5040200.0</v>
      </c>
      <c r="V7" s="32" t="n">
        <f>21387722573</f>
        <v>2.1387722573E10</v>
      </c>
      <c r="W7" s="32" t="n">
        <f>10353682393</f>
        <v>1.0353682393E10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2020</f>
        <v>2020.0</v>
      </c>
      <c r="L8" s="34" t="s">
        <v>48</v>
      </c>
      <c r="M8" s="33" t="n">
        <f>2086</f>
        <v>2086.0</v>
      </c>
      <c r="N8" s="34" t="s">
        <v>49</v>
      </c>
      <c r="O8" s="33" t="n">
        <f>1906.5</f>
        <v>1906.5</v>
      </c>
      <c r="P8" s="34" t="s">
        <v>50</v>
      </c>
      <c r="Q8" s="33" t="n">
        <f>1974.5</f>
        <v>1974.5</v>
      </c>
      <c r="R8" s="34" t="s">
        <v>51</v>
      </c>
      <c r="S8" s="35" t="n">
        <f>1998.48</f>
        <v>1998.48</v>
      </c>
      <c r="T8" s="32" t="n">
        <f>56649770</f>
        <v>5.664977E7</v>
      </c>
      <c r="U8" s="32" t="n">
        <f>8885990</f>
        <v>8885990.0</v>
      </c>
      <c r="V8" s="32" t="n">
        <f>112744816430</f>
        <v>1.1274481643E11</v>
      </c>
      <c r="W8" s="32" t="n">
        <f>17752116640</f>
        <v>1.775211664E10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1996.5</f>
        <v>1996.5</v>
      </c>
      <c r="L9" s="34" t="s">
        <v>48</v>
      </c>
      <c r="M9" s="33" t="n">
        <f>2062</f>
        <v>2062.0</v>
      </c>
      <c r="N9" s="34" t="s">
        <v>49</v>
      </c>
      <c r="O9" s="33" t="n">
        <f>1885.5</f>
        <v>1885.5</v>
      </c>
      <c r="P9" s="34" t="s">
        <v>50</v>
      </c>
      <c r="Q9" s="33" t="n">
        <f>1956</f>
        <v>1956.0</v>
      </c>
      <c r="R9" s="34" t="s">
        <v>51</v>
      </c>
      <c r="S9" s="35" t="n">
        <f>1976.43</f>
        <v>1976.43</v>
      </c>
      <c r="T9" s="32" t="n">
        <f>15630700</f>
        <v>1.56307E7</v>
      </c>
      <c r="U9" s="32" t="n">
        <f>5510800</f>
        <v>5510800.0</v>
      </c>
      <c r="V9" s="32" t="n">
        <f>31021152350</f>
        <v>3.102115235E10</v>
      </c>
      <c r="W9" s="32" t="n">
        <f>11027432300</f>
        <v>1.10274323E10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40890</f>
        <v>40890.0</v>
      </c>
      <c r="L10" s="34" t="s">
        <v>48</v>
      </c>
      <c r="M10" s="33" t="n">
        <f>46920</f>
        <v>46920.0</v>
      </c>
      <c r="N10" s="34" t="s">
        <v>51</v>
      </c>
      <c r="O10" s="33" t="n">
        <f>40510</f>
        <v>40510.0</v>
      </c>
      <c r="P10" s="34" t="s">
        <v>48</v>
      </c>
      <c r="Q10" s="33" t="n">
        <f>46880</f>
        <v>46880.0</v>
      </c>
      <c r="R10" s="34" t="s">
        <v>51</v>
      </c>
      <c r="S10" s="35" t="n">
        <f>43639.55</f>
        <v>43639.55</v>
      </c>
      <c r="T10" s="32" t="n">
        <f>7021</f>
        <v>7021.0</v>
      </c>
      <c r="U10" s="32" t="str">
        <f>"－"</f>
        <v>－</v>
      </c>
      <c r="V10" s="32" t="n">
        <f>307717550</f>
        <v>3.0771755E8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952.9</f>
        <v>952.9</v>
      </c>
      <c r="L11" s="34" t="s">
        <v>48</v>
      </c>
      <c r="M11" s="33" t="n">
        <f>978.5</f>
        <v>978.5</v>
      </c>
      <c r="N11" s="34" t="s">
        <v>49</v>
      </c>
      <c r="O11" s="33" t="n">
        <f>883</f>
        <v>883.0</v>
      </c>
      <c r="P11" s="34" t="s">
        <v>50</v>
      </c>
      <c r="Q11" s="33" t="n">
        <f>907.1</f>
        <v>907.1</v>
      </c>
      <c r="R11" s="34" t="s">
        <v>51</v>
      </c>
      <c r="S11" s="35" t="n">
        <f>929.2</f>
        <v>929.2</v>
      </c>
      <c r="T11" s="32" t="n">
        <f>111790</f>
        <v>111790.0</v>
      </c>
      <c r="U11" s="32" t="n">
        <f>10</f>
        <v>10.0</v>
      </c>
      <c r="V11" s="32" t="n">
        <f>103789203</f>
        <v>1.03789203E8</v>
      </c>
      <c r="W11" s="32" t="n">
        <f>10000</f>
        <v>10000.0</v>
      </c>
      <c r="X11" s="36" t="n">
        <f>22</f>
        <v>22.0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19320</f>
        <v>19320.0</v>
      </c>
      <c r="L12" s="34" t="s">
        <v>48</v>
      </c>
      <c r="M12" s="33" t="n">
        <f>19645</f>
        <v>19645.0</v>
      </c>
      <c r="N12" s="34" t="s">
        <v>49</v>
      </c>
      <c r="O12" s="33" t="n">
        <f>18100</f>
        <v>18100.0</v>
      </c>
      <c r="P12" s="34" t="s">
        <v>67</v>
      </c>
      <c r="Q12" s="33" t="n">
        <f>18975</f>
        <v>18975.0</v>
      </c>
      <c r="R12" s="34" t="s">
        <v>51</v>
      </c>
      <c r="S12" s="35" t="n">
        <f>19008.33</f>
        <v>19008.33</v>
      </c>
      <c r="T12" s="32" t="n">
        <f>683</f>
        <v>683.0</v>
      </c>
      <c r="U12" s="32" t="n">
        <f>2</f>
        <v>2.0</v>
      </c>
      <c r="V12" s="32" t="n">
        <f>12986180</f>
        <v>1.298618E7</v>
      </c>
      <c r="W12" s="32" t="n">
        <f>38590</f>
        <v>38590.0</v>
      </c>
      <c r="X12" s="36" t="n">
        <f>21</f>
        <v>21.0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3650</f>
        <v>3650.0</v>
      </c>
      <c r="L13" s="34" t="s">
        <v>71</v>
      </c>
      <c r="M13" s="33" t="n">
        <f>3908</f>
        <v>3908.0</v>
      </c>
      <c r="N13" s="34" t="s">
        <v>72</v>
      </c>
      <c r="O13" s="33" t="n">
        <f>3399</f>
        <v>3399.0</v>
      </c>
      <c r="P13" s="34" t="s">
        <v>51</v>
      </c>
      <c r="Q13" s="33" t="n">
        <f>3399</f>
        <v>3399.0</v>
      </c>
      <c r="R13" s="34" t="s">
        <v>51</v>
      </c>
      <c r="S13" s="35" t="n">
        <f>3619.56</f>
        <v>3619.56</v>
      </c>
      <c r="T13" s="32" t="n">
        <f>2310</f>
        <v>2310.0</v>
      </c>
      <c r="U13" s="32" t="str">
        <f>"－"</f>
        <v>－</v>
      </c>
      <c r="V13" s="32" t="n">
        <f>8212210</f>
        <v>8212210.0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358</f>
        <v>358.0</v>
      </c>
      <c r="L14" s="34" t="s">
        <v>48</v>
      </c>
      <c r="M14" s="33" t="n">
        <f>365.6</f>
        <v>365.6</v>
      </c>
      <c r="N14" s="34" t="s">
        <v>71</v>
      </c>
      <c r="O14" s="33" t="n">
        <f>340.1</f>
        <v>340.1</v>
      </c>
      <c r="P14" s="34" t="s">
        <v>76</v>
      </c>
      <c r="Q14" s="33" t="n">
        <f>345.2</f>
        <v>345.2</v>
      </c>
      <c r="R14" s="34" t="s">
        <v>51</v>
      </c>
      <c r="S14" s="35" t="n">
        <f>353.01</f>
        <v>353.01</v>
      </c>
      <c r="T14" s="32" t="n">
        <f>85000</f>
        <v>85000.0</v>
      </c>
      <c r="U14" s="32" t="str">
        <f>"－"</f>
        <v>－</v>
      </c>
      <c r="V14" s="32" t="n">
        <f>29951700</f>
        <v>2.99517E7</v>
      </c>
      <c r="W14" s="32" t="str">
        <f>"－"</f>
        <v>－</v>
      </c>
      <c r="X14" s="36" t="n">
        <f>15</f>
        <v>15.0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28390</f>
        <v>28390.0</v>
      </c>
      <c r="L15" s="34" t="s">
        <v>48</v>
      </c>
      <c r="M15" s="33" t="n">
        <f>29520</f>
        <v>29520.0</v>
      </c>
      <c r="N15" s="34" t="s">
        <v>49</v>
      </c>
      <c r="O15" s="33" t="n">
        <f>26540</f>
        <v>26540.0</v>
      </c>
      <c r="P15" s="34" t="s">
        <v>50</v>
      </c>
      <c r="Q15" s="33" t="n">
        <f>27465</f>
        <v>27465.0</v>
      </c>
      <c r="R15" s="34" t="s">
        <v>51</v>
      </c>
      <c r="S15" s="35" t="n">
        <f>28041.82</f>
        <v>28041.82</v>
      </c>
      <c r="T15" s="32" t="n">
        <f>1715044</f>
        <v>1715044.0</v>
      </c>
      <c r="U15" s="32" t="n">
        <f>176671</f>
        <v>176671.0</v>
      </c>
      <c r="V15" s="32" t="n">
        <f>48144086156</f>
        <v>4.8144086156E10</v>
      </c>
      <c r="W15" s="32" t="n">
        <f>4967795111</f>
        <v>4.967795111E9</v>
      </c>
      <c r="X15" s="36" t="n">
        <f>22</f>
        <v>22.0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28430</f>
        <v>28430.0</v>
      </c>
      <c r="L16" s="34" t="s">
        <v>48</v>
      </c>
      <c r="M16" s="33" t="n">
        <f>29575</f>
        <v>29575.0</v>
      </c>
      <c r="N16" s="34" t="s">
        <v>49</v>
      </c>
      <c r="O16" s="33" t="n">
        <f>26590</f>
        <v>26590.0</v>
      </c>
      <c r="P16" s="34" t="s">
        <v>50</v>
      </c>
      <c r="Q16" s="33" t="n">
        <f>27510</f>
        <v>27510.0</v>
      </c>
      <c r="R16" s="34" t="s">
        <v>51</v>
      </c>
      <c r="S16" s="35" t="n">
        <f>28097.5</f>
        <v>28097.5</v>
      </c>
      <c r="T16" s="32" t="n">
        <f>6165024</f>
        <v>6165024.0</v>
      </c>
      <c r="U16" s="32" t="n">
        <f>484003</f>
        <v>484003.0</v>
      </c>
      <c r="V16" s="32" t="n">
        <f>172818279628</f>
        <v>1.72818279628E11</v>
      </c>
      <c r="W16" s="32" t="n">
        <f>13613889858</f>
        <v>1.3613889858E10</v>
      </c>
      <c r="X16" s="36" t="n">
        <f>22</f>
        <v>22.0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7780</f>
        <v>7780.0</v>
      </c>
      <c r="L17" s="34" t="s">
        <v>48</v>
      </c>
      <c r="M17" s="33" t="n">
        <f>9000</f>
        <v>9000.0</v>
      </c>
      <c r="N17" s="34" t="s">
        <v>86</v>
      </c>
      <c r="O17" s="33" t="n">
        <f>7775</f>
        <v>7775.0</v>
      </c>
      <c r="P17" s="34" t="s">
        <v>87</v>
      </c>
      <c r="Q17" s="33" t="n">
        <f>8968</f>
        <v>8968.0</v>
      </c>
      <c r="R17" s="34" t="s">
        <v>51</v>
      </c>
      <c r="S17" s="35" t="n">
        <f>8432.36</f>
        <v>8432.36</v>
      </c>
      <c r="T17" s="32" t="n">
        <f>20350</f>
        <v>20350.0</v>
      </c>
      <c r="U17" s="32" t="str">
        <f>"－"</f>
        <v>－</v>
      </c>
      <c r="V17" s="32" t="n">
        <f>172521790</f>
        <v>1.7252179E8</v>
      </c>
      <c r="W17" s="32" t="str">
        <f>"－"</f>
        <v>－</v>
      </c>
      <c r="X17" s="36" t="n">
        <f>22</f>
        <v>22.0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 t="s">
        <v>91</v>
      </c>
      <c r="I18" s="31"/>
      <c r="J18" s="32" t="n">
        <v>100.0</v>
      </c>
      <c r="K18" s="33" t="n">
        <f>560.5</f>
        <v>560.5</v>
      </c>
      <c r="L18" s="34" t="s">
        <v>48</v>
      </c>
      <c r="M18" s="33" t="n">
        <f>580</f>
        <v>580.0</v>
      </c>
      <c r="N18" s="34" t="s">
        <v>92</v>
      </c>
      <c r="O18" s="33" t="n">
        <f>500</f>
        <v>500.0</v>
      </c>
      <c r="P18" s="34" t="s">
        <v>50</v>
      </c>
      <c r="Q18" s="33" t="n">
        <f>520.9</f>
        <v>520.9</v>
      </c>
      <c r="R18" s="34" t="s">
        <v>51</v>
      </c>
      <c r="S18" s="35" t="n">
        <f>530.46</f>
        <v>530.46</v>
      </c>
      <c r="T18" s="32" t="n">
        <f>387400</f>
        <v>387400.0</v>
      </c>
      <c r="U18" s="32" t="str">
        <f>"－"</f>
        <v>－</v>
      </c>
      <c r="V18" s="32" t="n">
        <f>205093260</f>
        <v>2.0509326E8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str">
        <f>"－"</f>
        <v>－</v>
      </c>
      <c r="L19" s="34"/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5" t="str">
        <f>"－"</f>
        <v>－</v>
      </c>
      <c r="T19" s="32" t="str">
        <f>"－"</f>
        <v>－</v>
      </c>
      <c r="U19" s="32" t="str">
        <f>"－"</f>
        <v>－</v>
      </c>
      <c r="V19" s="32" t="str">
        <f>"－"</f>
        <v>－</v>
      </c>
      <c r="W19" s="32" t="str">
        <f>"－"</f>
        <v>－</v>
      </c>
      <c r="X19" s="36" t="str">
        <f>"－"</f>
        <v>－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220</f>
        <v>220.0</v>
      </c>
      <c r="L20" s="34" t="s">
        <v>48</v>
      </c>
      <c r="M20" s="33" t="n">
        <f>222.1</f>
        <v>222.1</v>
      </c>
      <c r="N20" s="34" t="s">
        <v>99</v>
      </c>
      <c r="O20" s="33" t="n">
        <f>190.2</f>
        <v>190.2</v>
      </c>
      <c r="P20" s="34" t="s">
        <v>50</v>
      </c>
      <c r="Q20" s="33" t="n">
        <f>195.2</f>
        <v>195.2</v>
      </c>
      <c r="R20" s="34" t="s">
        <v>51</v>
      </c>
      <c r="S20" s="35" t="n">
        <f>206.63</f>
        <v>206.63</v>
      </c>
      <c r="T20" s="32" t="n">
        <f>469400</f>
        <v>469400.0</v>
      </c>
      <c r="U20" s="32" t="str">
        <f>"－"</f>
        <v>－</v>
      </c>
      <c r="V20" s="32" t="n">
        <f>96674340</f>
        <v>9.667434E7</v>
      </c>
      <c r="W20" s="32" t="str">
        <f>"－"</f>
        <v>－</v>
      </c>
      <c r="X20" s="36" t="n">
        <f>22</f>
        <v>22.0</v>
      </c>
    </row>
    <row r="21">
      <c r="A21" s="27" t="s">
        <v>42</v>
      </c>
      <c r="B21" s="27" t="s">
        <v>100</v>
      </c>
      <c r="C21" s="27" t="s">
        <v>101</v>
      </c>
      <c r="D21" s="27" t="s">
        <v>102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22040</f>
        <v>22040.0</v>
      </c>
      <c r="L21" s="34" t="s">
        <v>48</v>
      </c>
      <c r="M21" s="33" t="n">
        <f>23605</f>
        <v>23605.0</v>
      </c>
      <c r="N21" s="34" t="s">
        <v>103</v>
      </c>
      <c r="O21" s="33" t="n">
        <f>22040</f>
        <v>22040.0</v>
      </c>
      <c r="P21" s="34" t="s">
        <v>48</v>
      </c>
      <c r="Q21" s="33" t="n">
        <f>23080</f>
        <v>23080.0</v>
      </c>
      <c r="R21" s="34" t="s">
        <v>51</v>
      </c>
      <c r="S21" s="35" t="n">
        <f>22945.91</f>
        <v>22945.91</v>
      </c>
      <c r="T21" s="32" t="n">
        <f>206468</f>
        <v>206468.0</v>
      </c>
      <c r="U21" s="32" t="n">
        <f>30428</f>
        <v>30428.0</v>
      </c>
      <c r="V21" s="32" t="n">
        <f>4752310422</f>
        <v>4.752310422E9</v>
      </c>
      <c r="W21" s="32" t="n">
        <f>705064997</f>
        <v>7.05064997E8</v>
      </c>
      <c r="X21" s="36" t="n">
        <f>22</f>
        <v>22.0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5925</f>
        <v>5925.0</v>
      </c>
      <c r="L22" s="34" t="s">
        <v>48</v>
      </c>
      <c r="M22" s="33" t="n">
        <f>6350</f>
        <v>6350.0</v>
      </c>
      <c r="N22" s="34" t="s">
        <v>103</v>
      </c>
      <c r="O22" s="33" t="n">
        <f>5921</f>
        <v>5921.0</v>
      </c>
      <c r="P22" s="34" t="s">
        <v>48</v>
      </c>
      <c r="Q22" s="33" t="n">
        <f>6209</f>
        <v>6209.0</v>
      </c>
      <c r="R22" s="34" t="s">
        <v>51</v>
      </c>
      <c r="S22" s="35" t="n">
        <f>6167.68</f>
        <v>6167.68</v>
      </c>
      <c r="T22" s="32" t="n">
        <f>170260</f>
        <v>170260.0</v>
      </c>
      <c r="U22" s="32" t="n">
        <f>5220</f>
        <v>5220.0</v>
      </c>
      <c r="V22" s="32" t="n">
        <f>1050543620</f>
        <v>1.05054362E9</v>
      </c>
      <c r="W22" s="32" t="n">
        <f>32275140</f>
        <v>3.227514E7</v>
      </c>
      <c r="X22" s="36" t="n">
        <f>22</f>
        <v>22.0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28370</f>
        <v>28370.0</v>
      </c>
      <c r="L23" s="34" t="s">
        <v>48</v>
      </c>
      <c r="M23" s="33" t="n">
        <f>29505</f>
        <v>29505.0</v>
      </c>
      <c r="N23" s="34" t="s">
        <v>49</v>
      </c>
      <c r="O23" s="33" t="n">
        <f>26520</f>
        <v>26520.0</v>
      </c>
      <c r="P23" s="34" t="s">
        <v>50</v>
      </c>
      <c r="Q23" s="33" t="n">
        <f>27445</f>
        <v>27445.0</v>
      </c>
      <c r="R23" s="34" t="s">
        <v>51</v>
      </c>
      <c r="S23" s="35" t="n">
        <f>28015</f>
        <v>28015.0</v>
      </c>
      <c r="T23" s="32" t="n">
        <f>1318791</f>
        <v>1318791.0</v>
      </c>
      <c r="U23" s="32" t="n">
        <f>609245</f>
        <v>609245.0</v>
      </c>
      <c r="V23" s="32" t="n">
        <f>36998825039</f>
        <v>3.6998825039E10</v>
      </c>
      <c r="W23" s="32" t="n">
        <f>17047397399</f>
        <v>1.7047397399E10</v>
      </c>
      <c r="X23" s="36" t="n">
        <f>22</f>
        <v>22.0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28460</f>
        <v>28460.0</v>
      </c>
      <c r="L24" s="34" t="s">
        <v>48</v>
      </c>
      <c r="M24" s="33" t="n">
        <f>29610</f>
        <v>29610.0</v>
      </c>
      <c r="N24" s="34" t="s">
        <v>49</v>
      </c>
      <c r="O24" s="33" t="n">
        <f>26630</f>
        <v>26630.0</v>
      </c>
      <c r="P24" s="34" t="s">
        <v>50</v>
      </c>
      <c r="Q24" s="33" t="n">
        <f>27565</f>
        <v>27565.0</v>
      </c>
      <c r="R24" s="34" t="s">
        <v>51</v>
      </c>
      <c r="S24" s="35" t="n">
        <f>28133.41</f>
        <v>28133.41</v>
      </c>
      <c r="T24" s="32" t="n">
        <f>1409540</f>
        <v>1409540.0</v>
      </c>
      <c r="U24" s="32" t="n">
        <f>320260</f>
        <v>320260.0</v>
      </c>
      <c r="V24" s="32" t="n">
        <f>39706854320</f>
        <v>3.970685432E10</v>
      </c>
      <c r="W24" s="32" t="n">
        <f>9167797470</f>
        <v>9.16779747E9</v>
      </c>
      <c r="X24" s="36" t="n">
        <f>22</f>
        <v>22.0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2156</f>
        <v>2156.0</v>
      </c>
      <c r="L25" s="34" t="s">
        <v>48</v>
      </c>
      <c r="M25" s="33" t="n">
        <f>2170</f>
        <v>2170.0</v>
      </c>
      <c r="N25" s="34" t="s">
        <v>49</v>
      </c>
      <c r="O25" s="33" t="n">
        <f>2016</f>
        <v>2016.0</v>
      </c>
      <c r="P25" s="34" t="s">
        <v>116</v>
      </c>
      <c r="Q25" s="33" t="n">
        <f>2113.5</f>
        <v>2113.5</v>
      </c>
      <c r="R25" s="34" t="s">
        <v>51</v>
      </c>
      <c r="S25" s="35" t="n">
        <f>2102.5</f>
        <v>2102.5</v>
      </c>
      <c r="T25" s="32" t="n">
        <f>12452570</f>
        <v>1.245257E7</v>
      </c>
      <c r="U25" s="32" t="n">
        <f>3914360</f>
        <v>3914360.0</v>
      </c>
      <c r="V25" s="32" t="n">
        <f>26229326027</f>
        <v>2.6229326027E10</v>
      </c>
      <c r="W25" s="32" t="n">
        <f>8273677932</f>
        <v>8.273677932E9</v>
      </c>
      <c r="X25" s="36" t="n">
        <f>22</f>
        <v>22.0</v>
      </c>
    </row>
    <row r="26">
      <c r="A26" s="27" t="s">
        <v>42</v>
      </c>
      <c r="B26" s="27" t="s">
        <v>117</v>
      </c>
      <c r="C26" s="27" t="s">
        <v>118</v>
      </c>
      <c r="D26" s="27" t="s">
        <v>119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2030</f>
        <v>2030.0</v>
      </c>
      <c r="L26" s="34" t="s">
        <v>48</v>
      </c>
      <c r="M26" s="33" t="n">
        <f>2049</f>
        <v>2049.0</v>
      </c>
      <c r="N26" s="34" t="s">
        <v>49</v>
      </c>
      <c r="O26" s="33" t="n">
        <f>1901</f>
        <v>1901.0</v>
      </c>
      <c r="P26" s="34" t="s">
        <v>116</v>
      </c>
      <c r="Q26" s="33" t="n">
        <f>1996.5</f>
        <v>1996.5</v>
      </c>
      <c r="R26" s="34" t="s">
        <v>51</v>
      </c>
      <c r="S26" s="35" t="n">
        <f>1988.68</f>
        <v>1988.68</v>
      </c>
      <c r="T26" s="32" t="n">
        <f>3228100</f>
        <v>3228100.0</v>
      </c>
      <c r="U26" s="32" t="n">
        <f>506100</f>
        <v>506100.0</v>
      </c>
      <c r="V26" s="32" t="n">
        <f>6389359160</f>
        <v>6.38935916E9</v>
      </c>
      <c r="W26" s="32" t="n">
        <f>1017048460</f>
        <v>1.01704846E9</v>
      </c>
      <c r="X26" s="36" t="n">
        <f>22</f>
        <v>22.0</v>
      </c>
    </row>
    <row r="27">
      <c r="A27" s="27" t="s">
        <v>42</v>
      </c>
      <c r="B27" s="27" t="s">
        <v>120</v>
      </c>
      <c r="C27" s="27" t="s">
        <v>121</v>
      </c>
      <c r="D27" s="27" t="s">
        <v>122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28350</f>
        <v>28350.0</v>
      </c>
      <c r="L27" s="34" t="s">
        <v>48</v>
      </c>
      <c r="M27" s="33" t="n">
        <f>29495</f>
        <v>29495.0</v>
      </c>
      <c r="N27" s="34" t="s">
        <v>49</v>
      </c>
      <c r="O27" s="33" t="n">
        <f>26530</f>
        <v>26530.0</v>
      </c>
      <c r="P27" s="34" t="s">
        <v>50</v>
      </c>
      <c r="Q27" s="33" t="n">
        <f>27475</f>
        <v>27475.0</v>
      </c>
      <c r="R27" s="34" t="s">
        <v>51</v>
      </c>
      <c r="S27" s="35" t="n">
        <f>28025</f>
        <v>28025.0</v>
      </c>
      <c r="T27" s="32" t="n">
        <f>1351992</f>
        <v>1351992.0</v>
      </c>
      <c r="U27" s="32" t="n">
        <f>796974</f>
        <v>796974.0</v>
      </c>
      <c r="V27" s="32" t="n">
        <f>38817858089</f>
        <v>3.8817858089E10</v>
      </c>
      <c r="W27" s="32" t="n">
        <f>23198441604</f>
        <v>2.3198441604E10</v>
      </c>
      <c r="X27" s="36" t="n">
        <f>22</f>
        <v>22.0</v>
      </c>
    </row>
    <row r="28">
      <c r="A28" s="27" t="s">
        <v>42</v>
      </c>
      <c r="B28" s="27" t="s">
        <v>123</v>
      </c>
      <c r="C28" s="27" t="s">
        <v>124</v>
      </c>
      <c r="D28" s="27" t="s">
        <v>125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2000.5</f>
        <v>2000.5</v>
      </c>
      <c r="L28" s="34" t="s">
        <v>48</v>
      </c>
      <c r="M28" s="33" t="n">
        <f>2066</f>
        <v>2066.0</v>
      </c>
      <c r="N28" s="34" t="s">
        <v>49</v>
      </c>
      <c r="O28" s="33" t="n">
        <f>1889</f>
        <v>1889.0</v>
      </c>
      <c r="P28" s="34" t="s">
        <v>50</v>
      </c>
      <c r="Q28" s="33" t="n">
        <f>1998</f>
        <v>1998.0</v>
      </c>
      <c r="R28" s="34" t="s">
        <v>51</v>
      </c>
      <c r="S28" s="35" t="n">
        <f>1982.16</f>
        <v>1982.16</v>
      </c>
      <c r="T28" s="32" t="n">
        <f>3640070</f>
        <v>3640070.0</v>
      </c>
      <c r="U28" s="32" t="n">
        <f>242900</f>
        <v>242900.0</v>
      </c>
      <c r="V28" s="32" t="n">
        <f>7221947940</f>
        <v>7.22194794E9</v>
      </c>
      <c r="W28" s="32" t="n">
        <f>487933560</f>
        <v>4.8793356E8</v>
      </c>
      <c r="X28" s="36" t="n">
        <f>22</f>
        <v>22.0</v>
      </c>
    </row>
    <row r="29">
      <c r="A29" s="27" t="s">
        <v>42</v>
      </c>
      <c r="B29" s="27" t="s">
        <v>126</v>
      </c>
      <c r="C29" s="27" t="s">
        <v>127</v>
      </c>
      <c r="D29" s="27" t="s">
        <v>128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14250</f>
        <v>14250.0</v>
      </c>
      <c r="L29" s="34" t="s">
        <v>48</v>
      </c>
      <c r="M29" s="33" t="n">
        <f>14795</f>
        <v>14795.0</v>
      </c>
      <c r="N29" s="34" t="s">
        <v>129</v>
      </c>
      <c r="O29" s="33" t="n">
        <f>14175</f>
        <v>14175.0</v>
      </c>
      <c r="P29" s="34" t="s">
        <v>48</v>
      </c>
      <c r="Q29" s="33" t="n">
        <f>14570</f>
        <v>14570.0</v>
      </c>
      <c r="R29" s="34" t="s">
        <v>51</v>
      </c>
      <c r="S29" s="35" t="n">
        <f>14540.68</f>
        <v>14540.68</v>
      </c>
      <c r="T29" s="32" t="n">
        <f>2404</f>
        <v>2404.0</v>
      </c>
      <c r="U29" s="32" t="str">
        <f>"－"</f>
        <v>－</v>
      </c>
      <c r="V29" s="32" t="n">
        <f>34767180</f>
        <v>3.476718E7</v>
      </c>
      <c r="W29" s="32" t="str">
        <f>"－"</f>
        <v>－</v>
      </c>
      <c r="X29" s="36" t="n">
        <f>22</f>
        <v>22.0</v>
      </c>
    </row>
    <row r="30">
      <c r="A30" s="27" t="s">
        <v>42</v>
      </c>
      <c r="B30" s="27" t="s">
        <v>130</v>
      </c>
      <c r="C30" s="27" t="s">
        <v>131</v>
      </c>
      <c r="D30" s="27" t="s">
        <v>132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1015</f>
        <v>1015.0</v>
      </c>
      <c r="L30" s="34" t="s">
        <v>48</v>
      </c>
      <c r="M30" s="33" t="n">
        <f>1132</f>
        <v>1132.0</v>
      </c>
      <c r="N30" s="34" t="s">
        <v>50</v>
      </c>
      <c r="O30" s="33" t="n">
        <f>950</f>
        <v>950.0</v>
      </c>
      <c r="P30" s="34" t="s">
        <v>49</v>
      </c>
      <c r="Q30" s="33" t="n">
        <f>1052</f>
        <v>1052.0</v>
      </c>
      <c r="R30" s="34" t="s">
        <v>51</v>
      </c>
      <c r="S30" s="35" t="n">
        <f>1033.38</f>
        <v>1033.38</v>
      </c>
      <c r="T30" s="32" t="n">
        <f>8015330</f>
        <v>8015330.0</v>
      </c>
      <c r="U30" s="32" t="n">
        <f>90</f>
        <v>90.0</v>
      </c>
      <c r="V30" s="32" t="n">
        <f>8314507374</f>
        <v>8.314507374E9</v>
      </c>
      <c r="W30" s="32" t="n">
        <f>91072</f>
        <v>91072.0</v>
      </c>
      <c r="X30" s="36" t="n">
        <f>22</f>
        <v>22.0</v>
      </c>
    </row>
    <row r="31">
      <c r="A31" s="27" t="s">
        <v>42</v>
      </c>
      <c r="B31" s="27" t="s">
        <v>133</v>
      </c>
      <c r="C31" s="27" t="s">
        <v>134</v>
      </c>
      <c r="D31" s="27" t="s">
        <v>135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391</f>
        <v>391.0</v>
      </c>
      <c r="L31" s="34" t="s">
        <v>48</v>
      </c>
      <c r="M31" s="33" t="n">
        <f>445</f>
        <v>445.0</v>
      </c>
      <c r="N31" s="34" t="s">
        <v>50</v>
      </c>
      <c r="O31" s="33" t="n">
        <f>361</f>
        <v>361.0</v>
      </c>
      <c r="P31" s="34" t="s">
        <v>49</v>
      </c>
      <c r="Q31" s="33" t="n">
        <f>414</f>
        <v>414.0</v>
      </c>
      <c r="R31" s="34" t="s">
        <v>51</v>
      </c>
      <c r="S31" s="35" t="n">
        <f>400.05</f>
        <v>400.05</v>
      </c>
      <c r="T31" s="32" t="n">
        <f>1396307029</f>
        <v>1.396307029E9</v>
      </c>
      <c r="U31" s="32" t="n">
        <f>10055885</f>
        <v>1.0055885E7</v>
      </c>
      <c r="V31" s="32" t="n">
        <f>562573980529</f>
        <v>5.62573980529E11</v>
      </c>
      <c r="W31" s="32" t="n">
        <f>3958331319</f>
        <v>3.958331319E9</v>
      </c>
      <c r="X31" s="36" t="n">
        <f>22</f>
        <v>22.0</v>
      </c>
    </row>
    <row r="32">
      <c r="A32" s="27" t="s">
        <v>42</v>
      </c>
      <c r="B32" s="27" t="s">
        <v>136</v>
      </c>
      <c r="C32" s="27" t="s">
        <v>137</v>
      </c>
      <c r="D32" s="27" t="s">
        <v>138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26080</f>
        <v>26080.0</v>
      </c>
      <c r="L32" s="34" t="s">
        <v>48</v>
      </c>
      <c r="M32" s="33" t="n">
        <f>28175</f>
        <v>28175.0</v>
      </c>
      <c r="N32" s="34" t="s">
        <v>49</v>
      </c>
      <c r="O32" s="33" t="n">
        <f>22700</f>
        <v>22700.0</v>
      </c>
      <c r="P32" s="34" t="s">
        <v>50</v>
      </c>
      <c r="Q32" s="33" t="n">
        <f>24295</f>
        <v>24295.0</v>
      </c>
      <c r="R32" s="34" t="s">
        <v>51</v>
      </c>
      <c r="S32" s="35" t="n">
        <f>25395.23</f>
        <v>25395.23</v>
      </c>
      <c r="T32" s="32" t="n">
        <f>543338</f>
        <v>543338.0</v>
      </c>
      <c r="U32" s="32" t="n">
        <f>12</f>
        <v>12.0</v>
      </c>
      <c r="V32" s="32" t="n">
        <f>13629848895</f>
        <v>1.3629848895E10</v>
      </c>
      <c r="W32" s="32" t="n">
        <f>321780</f>
        <v>321780.0</v>
      </c>
      <c r="X32" s="36" t="n">
        <f>22</f>
        <v>22.0</v>
      </c>
    </row>
    <row r="33">
      <c r="A33" s="27" t="s">
        <v>42</v>
      </c>
      <c r="B33" s="27" t="s">
        <v>139</v>
      </c>
      <c r="C33" s="27" t="s">
        <v>140</v>
      </c>
      <c r="D33" s="27" t="s">
        <v>141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956.4</f>
        <v>956.4</v>
      </c>
      <c r="L33" s="34" t="s">
        <v>48</v>
      </c>
      <c r="M33" s="33" t="n">
        <f>1085</f>
        <v>1085.0</v>
      </c>
      <c r="N33" s="34" t="s">
        <v>50</v>
      </c>
      <c r="O33" s="33" t="n">
        <f>882.3</f>
        <v>882.3</v>
      </c>
      <c r="P33" s="34" t="s">
        <v>49</v>
      </c>
      <c r="Q33" s="33" t="n">
        <f>1009</f>
        <v>1009.0</v>
      </c>
      <c r="R33" s="34" t="s">
        <v>51</v>
      </c>
      <c r="S33" s="35" t="n">
        <f>976.27</f>
        <v>976.27</v>
      </c>
      <c r="T33" s="32" t="n">
        <f>255527800</f>
        <v>2.555278E8</v>
      </c>
      <c r="U33" s="32" t="n">
        <f>145220</f>
        <v>145220.0</v>
      </c>
      <c r="V33" s="32" t="n">
        <f>251790150764</f>
        <v>2.51790150764E11</v>
      </c>
      <c r="W33" s="32" t="n">
        <f>144521740</f>
        <v>1.4452174E8</v>
      </c>
      <c r="X33" s="36" t="n">
        <f>22</f>
        <v>22.0</v>
      </c>
    </row>
    <row r="34">
      <c r="A34" s="27" t="s">
        <v>42</v>
      </c>
      <c r="B34" s="27" t="s">
        <v>142</v>
      </c>
      <c r="C34" s="27" t="s">
        <v>143</v>
      </c>
      <c r="D34" s="27" t="s">
        <v>144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17650</f>
        <v>17650.0</v>
      </c>
      <c r="L34" s="34" t="s">
        <v>48</v>
      </c>
      <c r="M34" s="33" t="n">
        <f>18300</f>
        <v>18300.0</v>
      </c>
      <c r="N34" s="34" t="s">
        <v>99</v>
      </c>
      <c r="O34" s="33" t="n">
        <f>16705</f>
        <v>16705.0</v>
      </c>
      <c r="P34" s="34" t="s">
        <v>50</v>
      </c>
      <c r="Q34" s="33" t="n">
        <f>17300</f>
        <v>17300.0</v>
      </c>
      <c r="R34" s="34" t="s">
        <v>51</v>
      </c>
      <c r="S34" s="35" t="n">
        <f>17531.59</f>
        <v>17531.59</v>
      </c>
      <c r="T34" s="32" t="n">
        <f>75185</f>
        <v>75185.0</v>
      </c>
      <c r="U34" s="32" t="n">
        <f>69787</f>
        <v>69787.0</v>
      </c>
      <c r="V34" s="32" t="n">
        <f>1322142192</f>
        <v>1.322142192E9</v>
      </c>
      <c r="W34" s="32" t="n">
        <f>1225774652</f>
        <v>1.225774652E9</v>
      </c>
      <c r="X34" s="36" t="n">
        <f>22</f>
        <v>22.0</v>
      </c>
    </row>
    <row r="35">
      <c r="A35" s="27" t="s">
        <v>42</v>
      </c>
      <c r="B35" s="27" t="s">
        <v>145</v>
      </c>
      <c r="C35" s="27" t="s">
        <v>146</v>
      </c>
      <c r="D35" s="27" t="s">
        <v>147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21610</f>
        <v>21610.0</v>
      </c>
      <c r="L35" s="34" t="s">
        <v>48</v>
      </c>
      <c r="M35" s="33" t="n">
        <f>23395</f>
        <v>23395.0</v>
      </c>
      <c r="N35" s="34" t="s">
        <v>49</v>
      </c>
      <c r="O35" s="33" t="n">
        <f>18840</f>
        <v>18840.0</v>
      </c>
      <c r="P35" s="34" t="s">
        <v>50</v>
      </c>
      <c r="Q35" s="33" t="n">
        <f>20180</f>
        <v>20180.0</v>
      </c>
      <c r="R35" s="34" t="s">
        <v>51</v>
      </c>
      <c r="S35" s="35" t="n">
        <f>21079.32</f>
        <v>21079.32</v>
      </c>
      <c r="T35" s="32" t="n">
        <f>1354084</f>
        <v>1354084.0</v>
      </c>
      <c r="U35" s="32" t="n">
        <f>6</f>
        <v>6.0</v>
      </c>
      <c r="V35" s="32" t="n">
        <f>28344757215</f>
        <v>2.8344757215E10</v>
      </c>
      <c r="W35" s="32" t="n">
        <f>130880</f>
        <v>130880.0</v>
      </c>
      <c r="X35" s="36" t="n">
        <f>22</f>
        <v>22.0</v>
      </c>
    </row>
    <row r="36">
      <c r="A36" s="27" t="s">
        <v>42</v>
      </c>
      <c r="B36" s="27" t="s">
        <v>148</v>
      </c>
      <c r="C36" s="27" t="s">
        <v>149</v>
      </c>
      <c r="D36" s="27" t="s">
        <v>150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1022</f>
        <v>1022.0</v>
      </c>
      <c r="L36" s="34" t="s">
        <v>48</v>
      </c>
      <c r="M36" s="33" t="n">
        <f>1159</f>
        <v>1159.0</v>
      </c>
      <c r="N36" s="34" t="s">
        <v>50</v>
      </c>
      <c r="O36" s="33" t="n">
        <f>942</f>
        <v>942.0</v>
      </c>
      <c r="P36" s="34" t="s">
        <v>49</v>
      </c>
      <c r="Q36" s="33" t="n">
        <f>1077</f>
        <v>1077.0</v>
      </c>
      <c r="R36" s="34" t="s">
        <v>51</v>
      </c>
      <c r="S36" s="35" t="n">
        <f>1042.77</f>
        <v>1042.77</v>
      </c>
      <c r="T36" s="32" t="n">
        <f>31051820</f>
        <v>3.105182E7</v>
      </c>
      <c r="U36" s="32" t="n">
        <f>450699</f>
        <v>450699.0</v>
      </c>
      <c r="V36" s="32" t="n">
        <f>32810446456</f>
        <v>3.2810446456E10</v>
      </c>
      <c r="W36" s="32" t="n">
        <f>446302716</f>
        <v>4.46302716E8</v>
      </c>
      <c r="X36" s="36" t="n">
        <f>22</f>
        <v>22.0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18120</f>
        <v>18120.0</v>
      </c>
      <c r="L37" s="34" t="s">
        <v>48</v>
      </c>
      <c r="M37" s="33" t="n">
        <f>19350</f>
        <v>19350.0</v>
      </c>
      <c r="N37" s="34" t="s">
        <v>49</v>
      </c>
      <c r="O37" s="33" t="n">
        <f>16100</f>
        <v>16100.0</v>
      </c>
      <c r="P37" s="34" t="s">
        <v>50</v>
      </c>
      <c r="Q37" s="33" t="n">
        <f>17290</f>
        <v>17290.0</v>
      </c>
      <c r="R37" s="34" t="s">
        <v>51</v>
      </c>
      <c r="S37" s="35" t="n">
        <f>17743.18</f>
        <v>17743.18</v>
      </c>
      <c r="T37" s="32" t="n">
        <f>171543</f>
        <v>171543.0</v>
      </c>
      <c r="U37" s="32" t="str">
        <f>"－"</f>
        <v>－</v>
      </c>
      <c r="V37" s="32" t="n">
        <f>3004842235</f>
        <v>3.004842235E9</v>
      </c>
      <c r="W37" s="32" t="str">
        <f>"－"</f>
        <v>－</v>
      </c>
      <c r="X37" s="36" t="n">
        <f>22</f>
        <v>22.0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1474</f>
        <v>1474.0</v>
      </c>
      <c r="L38" s="34" t="s">
        <v>48</v>
      </c>
      <c r="M38" s="33" t="n">
        <f>1640</f>
        <v>1640.0</v>
      </c>
      <c r="N38" s="34" t="s">
        <v>50</v>
      </c>
      <c r="O38" s="33" t="n">
        <f>1377</f>
        <v>1377.0</v>
      </c>
      <c r="P38" s="34" t="s">
        <v>49</v>
      </c>
      <c r="Q38" s="33" t="n">
        <f>1526</f>
        <v>1526.0</v>
      </c>
      <c r="R38" s="34" t="s">
        <v>51</v>
      </c>
      <c r="S38" s="35" t="n">
        <f>1497.32</f>
        <v>1497.32</v>
      </c>
      <c r="T38" s="32" t="n">
        <f>1299507</f>
        <v>1299507.0</v>
      </c>
      <c r="U38" s="32" t="n">
        <f>7</f>
        <v>7.0</v>
      </c>
      <c r="V38" s="32" t="n">
        <f>1971089958</f>
        <v>1.971089958E9</v>
      </c>
      <c r="W38" s="32" t="n">
        <f>10451</f>
        <v>10451.0</v>
      </c>
      <c r="X38" s="36" t="n">
        <f>22</f>
        <v>22.0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27525</f>
        <v>27525.0</v>
      </c>
      <c r="L39" s="34" t="s">
        <v>48</v>
      </c>
      <c r="M39" s="33" t="n">
        <f>28610</f>
        <v>28610.0</v>
      </c>
      <c r="N39" s="34" t="s">
        <v>49</v>
      </c>
      <c r="O39" s="33" t="n">
        <f>25750</f>
        <v>25750.0</v>
      </c>
      <c r="P39" s="34" t="s">
        <v>50</v>
      </c>
      <c r="Q39" s="33" t="n">
        <f>26665</f>
        <v>26665.0</v>
      </c>
      <c r="R39" s="34" t="s">
        <v>51</v>
      </c>
      <c r="S39" s="35" t="n">
        <f>27201.36</f>
        <v>27201.36</v>
      </c>
      <c r="T39" s="32" t="n">
        <f>248683</f>
        <v>248683.0</v>
      </c>
      <c r="U39" s="32" t="n">
        <f>93606</f>
        <v>93606.0</v>
      </c>
      <c r="V39" s="32" t="n">
        <f>6713952739</f>
        <v>6.713952739E9</v>
      </c>
      <c r="W39" s="32" t="n">
        <f>2518923504</f>
        <v>2.518923504E9</v>
      </c>
      <c r="X39" s="36" t="n">
        <f>22</f>
        <v>22.0</v>
      </c>
    </row>
    <row r="40">
      <c r="A40" s="27" t="s">
        <v>42</v>
      </c>
      <c r="B40" s="27" t="s">
        <v>160</v>
      </c>
      <c r="C40" s="27" t="s">
        <v>161</v>
      </c>
      <c r="D40" s="27" t="s">
        <v>162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5460</f>
        <v>5460.0</v>
      </c>
      <c r="L40" s="34" t="s">
        <v>48</v>
      </c>
      <c r="M40" s="33" t="n">
        <f>5600</f>
        <v>5600.0</v>
      </c>
      <c r="N40" s="34" t="s">
        <v>99</v>
      </c>
      <c r="O40" s="33" t="n">
        <f>4990</f>
        <v>4990.0</v>
      </c>
      <c r="P40" s="34" t="s">
        <v>67</v>
      </c>
      <c r="Q40" s="33" t="n">
        <f>5150</f>
        <v>5150.0</v>
      </c>
      <c r="R40" s="34" t="s">
        <v>51</v>
      </c>
      <c r="S40" s="35" t="n">
        <f>5299.09</f>
        <v>5299.09</v>
      </c>
      <c r="T40" s="32" t="n">
        <f>7669</f>
        <v>7669.0</v>
      </c>
      <c r="U40" s="32" t="str">
        <f>"－"</f>
        <v>－</v>
      </c>
      <c r="V40" s="32" t="n">
        <f>40861860</f>
        <v>4.086186E7</v>
      </c>
      <c r="W40" s="32" t="str">
        <f>"－"</f>
        <v>－</v>
      </c>
      <c r="X40" s="36" t="n">
        <f>22</f>
        <v>22.0</v>
      </c>
    </row>
    <row r="41">
      <c r="A41" s="27" t="s">
        <v>42</v>
      </c>
      <c r="B41" s="27" t="s">
        <v>163</v>
      </c>
      <c r="C41" s="27" t="s">
        <v>164</v>
      </c>
      <c r="D41" s="27" t="s">
        <v>165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10195</f>
        <v>10195.0</v>
      </c>
      <c r="L41" s="34" t="s">
        <v>48</v>
      </c>
      <c r="M41" s="33" t="n">
        <f>10485</f>
        <v>10485.0</v>
      </c>
      <c r="N41" s="34" t="s">
        <v>49</v>
      </c>
      <c r="O41" s="33" t="n">
        <f>9402</f>
        <v>9402.0</v>
      </c>
      <c r="P41" s="34" t="s">
        <v>67</v>
      </c>
      <c r="Q41" s="33" t="n">
        <f>9735</f>
        <v>9735.0</v>
      </c>
      <c r="R41" s="34" t="s">
        <v>51</v>
      </c>
      <c r="S41" s="35" t="n">
        <f>9996.19</f>
        <v>9996.19</v>
      </c>
      <c r="T41" s="32" t="n">
        <f>1937</f>
        <v>1937.0</v>
      </c>
      <c r="U41" s="32" t="str">
        <f>"－"</f>
        <v>－</v>
      </c>
      <c r="V41" s="32" t="n">
        <f>19098202</f>
        <v>1.9098202E7</v>
      </c>
      <c r="W41" s="32" t="str">
        <f>"－"</f>
        <v>－</v>
      </c>
      <c r="X41" s="36" t="n">
        <f>21</f>
        <v>21.0</v>
      </c>
    </row>
    <row r="42">
      <c r="A42" s="27" t="s">
        <v>42</v>
      </c>
      <c r="B42" s="27" t="s">
        <v>166</v>
      </c>
      <c r="C42" s="27" t="s">
        <v>167</v>
      </c>
      <c r="D42" s="27" t="s">
        <v>168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19085</f>
        <v>19085.0</v>
      </c>
      <c r="L42" s="34" t="s">
        <v>71</v>
      </c>
      <c r="M42" s="33" t="n">
        <f>19370</f>
        <v>19370.0</v>
      </c>
      <c r="N42" s="34" t="s">
        <v>92</v>
      </c>
      <c r="O42" s="33" t="n">
        <f>17270</f>
        <v>17270.0</v>
      </c>
      <c r="P42" s="34" t="s">
        <v>67</v>
      </c>
      <c r="Q42" s="33" t="n">
        <f>18215</f>
        <v>18215.0</v>
      </c>
      <c r="R42" s="34" t="s">
        <v>51</v>
      </c>
      <c r="S42" s="35" t="n">
        <f>18295.91</f>
        <v>18295.91</v>
      </c>
      <c r="T42" s="32" t="n">
        <f>122</f>
        <v>122.0</v>
      </c>
      <c r="U42" s="32" t="str">
        <f>"－"</f>
        <v>－</v>
      </c>
      <c r="V42" s="32" t="n">
        <f>2183830</f>
        <v>2183830.0</v>
      </c>
      <c r="W42" s="32" t="str">
        <f>"－"</f>
        <v>－</v>
      </c>
      <c r="X42" s="36" t="n">
        <f>11</f>
        <v>11.0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17180</f>
        <v>17180.0</v>
      </c>
      <c r="L43" s="34" t="s">
        <v>72</v>
      </c>
      <c r="M43" s="33" t="n">
        <f>17710</f>
        <v>17710.0</v>
      </c>
      <c r="N43" s="34" t="s">
        <v>49</v>
      </c>
      <c r="O43" s="33" t="n">
        <f>15545</f>
        <v>15545.0</v>
      </c>
      <c r="P43" s="34" t="s">
        <v>50</v>
      </c>
      <c r="Q43" s="33" t="n">
        <f>15600</f>
        <v>15600.0</v>
      </c>
      <c r="R43" s="34" t="s">
        <v>76</v>
      </c>
      <c r="S43" s="35" t="n">
        <f>16629.38</f>
        <v>16629.38</v>
      </c>
      <c r="T43" s="32" t="n">
        <f>16</f>
        <v>16.0</v>
      </c>
      <c r="U43" s="32" t="str">
        <f>"－"</f>
        <v>－</v>
      </c>
      <c r="V43" s="32" t="n">
        <f>268340</f>
        <v>268340.0</v>
      </c>
      <c r="W43" s="32" t="str">
        <f>"－"</f>
        <v>－</v>
      </c>
      <c r="X43" s="36" t="n">
        <f>8</f>
        <v>8.0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11630</f>
        <v>11630.0</v>
      </c>
      <c r="L44" s="34" t="s">
        <v>48</v>
      </c>
      <c r="M44" s="33" t="n">
        <f>12070</f>
        <v>12070.0</v>
      </c>
      <c r="N44" s="34" t="s">
        <v>99</v>
      </c>
      <c r="O44" s="33" t="n">
        <f>10650</f>
        <v>10650.0</v>
      </c>
      <c r="P44" s="34" t="s">
        <v>67</v>
      </c>
      <c r="Q44" s="33" t="n">
        <f>11385</f>
        <v>11385.0</v>
      </c>
      <c r="R44" s="34" t="s">
        <v>51</v>
      </c>
      <c r="S44" s="35" t="n">
        <f>11315</f>
        <v>11315.0</v>
      </c>
      <c r="T44" s="32" t="n">
        <f>1268</f>
        <v>1268.0</v>
      </c>
      <c r="U44" s="32" t="str">
        <f>"－"</f>
        <v>－</v>
      </c>
      <c r="V44" s="32" t="n">
        <f>14311905</f>
        <v>1.4311905E7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175</v>
      </c>
      <c r="C45" s="27" t="s">
        <v>176</v>
      </c>
      <c r="D45" s="27" t="s">
        <v>177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5760</f>
        <v>5760.0</v>
      </c>
      <c r="L45" s="34" t="s">
        <v>48</v>
      </c>
      <c r="M45" s="33" t="n">
        <f>6000</f>
        <v>6000.0</v>
      </c>
      <c r="N45" s="34" t="s">
        <v>72</v>
      </c>
      <c r="O45" s="33" t="n">
        <f>5430</f>
        <v>5430.0</v>
      </c>
      <c r="P45" s="34" t="s">
        <v>67</v>
      </c>
      <c r="Q45" s="33" t="n">
        <f>5670</f>
        <v>5670.0</v>
      </c>
      <c r="R45" s="34" t="s">
        <v>51</v>
      </c>
      <c r="S45" s="35" t="n">
        <f>5686.82</f>
        <v>5686.82</v>
      </c>
      <c r="T45" s="32" t="n">
        <f>2882</f>
        <v>2882.0</v>
      </c>
      <c r="U45" s="32" t="str">
        <f>"－"</f>
        <v>－</v>
      </c>
      <c r="V45" s="32" t="n">
        <f>16467460</f>
        <v>1.646746E7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178</v>
      </c>
      <c r="C46" s="27" t="s">
        <v>179</v>
      </c>
      <c r="D46" s="27" t="s">
        <v>180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3080</f>
        <v>3080.0</v>
      </c>
      <c r="L46" s="34" t="s">
        <v>48</v>
      </c>
      <c r="M46" s="33" t="n">
        <f>3090</f>
        <v>3090.0</v>
      </c>
      <c r="N46" s="34" t="s">
        <v>72</v>
      </c>
      <c r="O46" s="33" t="n">
        <f>2837</f>
        <v>2837.0</v>
      </c>
      <c r="P46" s="34" t="s">
        <v>76</v>
      </c>
      <c r="Q46" s="33" t="n">
        <f>3050</f>
        <v>3050.0</v>
      </c>
      <c r="R46" s="34" t="s">
        <v>51</v>
      </c>
      <c r="S46" s="35" t="n">
        <f>2982.73</f>
        <v>2982.73</v>
      </c>
      <c r="T46" s="32" t="n">
        <f>14860</f>
        <v>14860.0</v>
      </c>
      <c r="U46" s="32" t="str">
        <f>"－"</f>
        <v>－</v>
      </c>
      <c r="V46" s="32" t="n">
        <f>43664245</f>
        <v>4.3664245E7</v>
      </c>
      <c r="W46" s="32" t="str">
        <f>"－"</f>
        <v>－</v>
      </c>
      <c r="X46" s="36" t="n">
        <f>22</f>
        <v>22.0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3150</f>
        <v>3150.0</v>
      </c>
      <c r="L47" s="34" t="s">
        <v>48</v>
      </c>
      <c r="M47" s="33" t="n">
        <f>3330</f>
        <v>3330.0</v>
      </c>
      <c r="N47" s="34" t="s">
        <v>49</v>
      </c>
      <c r="O47" s="33" t="n">
        <f>2918</f>
        <v>2918.0</v>
      </c>
      <c r="P47" s="34" t="s">
        <v>50</v>
      </c>
      <c r="Q47" s="33" t="n">
        <f>3090</f>
        <v>3090.0</v>
      </c>
      <c r="R47" s="34" t="s">
        <v>51</v>
      </c>
      <c r="S47" s="35" t="n">
        <f>3106.09</f>
        <v>3106.09</v>
      </c>
      <c r="T47" s="32" t="n">
        <f>2121</f>
        <v>2121.0</v>
      </c>
      <c r="U47" s="32" t="str">
        <f>"－"</f>
        <v>－</v>
      </c>
      <c r="V47" s="32" t="n">
        <f>6632773</f>
        <v>6632773.0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52270</f>
        <v>52270.0</v>
      </c>
      <c r="L48" s="34" t="s">
        <v>48</v>
      </c>
      <c r="M48" s="33" t="n">
        <f>54050</f>
        <v>54050.0</v>
      </c>
      <c r="N48" s="34" t="s">
        <v>49</v>
      </c>
      <c r="O48" s="33" t="n">
        <f>48270</f>
        <v>48270.0</v>
      </c>
      <c r="P48" s="34" t="s">
        <v>67</v>
      </c>
      <c r="Q48" s="33" t="n">
        <f>51510</f>
        <v>51510.0</v>
      </c>
      <c r="R48" s="34" t="s">
        <v>51</v>
      </c>
      <c r="S48" s="35" t="n">
        <f>51192.73</f>
        <v>51192.73</v>
      </c>
      <c r="T48" s="32" t="n">
        <f>1130</f>
        <v>1130.0</v>
      </c>
      <c r="U48" s="32" t="str">
        <f>"－"</f>
        <v>－</v>
      </c>
      <c r="V48" s="32" t="n">
        <f>57300600</f>
        <v>5.73006E7</v>
      </c>
      <c r="W48" s="32" t="str">
        <f>"－"</f>
        <v>－</v>
      </c>
      <c r="X48" s="36" t="n">
        <f>22</f>
        <v>22.0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37000</f>
        <v>37000.0</v>
      </c>
      <c r="L49" s="34" t="s">
        <v>48</v>
      </c>
      <c r="M49" s="33" t="n">
        <f>38800</f>
        <v>38800.0</v>
      </c>
      <c r="N49" s="34" t="s">
        <v>49</v>
      </c>
      <c r="O49" s="33" t="n">
        <f>34580</f>
        <v>34580.0</v>
      </c>
      <c r="P49" s="34" t="s">
        <v>67</v>
      </c>
      <c r="Q49" s="33" t="n">
        <f>36330</f>
        <v>36330.0</v>
      </c>
      <c r="R49" s="34" t="s">
        <v>86</v>
      </c>
      <c r="S49" s="35" t="n">
        <f>36238.95</f>
        <v>36238.95</v>
      </c>
      <c r="T49" s="32" t="n">
        <f>228</f>
        <v>228.0</v>
      </c>
      <c r="U49" s="32" t="str">
        <f>"－"</f>
        <v>－</v>
      </c>
      <c r="V49" s="32" t="n">
        <f>8391890</f>
        <v>8391890.0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27555</f>
        <v>27555.0</v>
      </c>
      <c r="L50" s="34" t="s">
        <v>48</v>
      </c>
      <c r="M50" s="33" t="n">
        <f>28600</f>
        <v>28600.0</v>
      </c>
      <c r="N50" s="34" t="s">
        <v>49</v>
      </c>
      <c r="O50" s="33" t="n">
        <f>25750</f>
        <v>25750.0</v>
      </c>
      <c r="P50" s="34" t="s">
        <v>50</v>
      </c>
      <c r="Q50" s="33" t="n">
        <f>26600</f>
        <v>26600.0</v>
      </c>
      <c r="R50" s="34" t="s">
        <v>51</v>
      </c>
      <c r="S50" s="35" t="n">
        <f>27125.48</f>
        <v>27125.48</v>
      </c>
      <c r="T50" s="32" t="n">
        <f>55362</f>
        <v>55362.0</v>
      </c>
      <c r="U50" s="32" t="n">
        <f>49800</f>
        <v>49800.0</v>
      </c>
      <c r="V50" s="32" t="n">
        <f>1481686515</f>
        <v>1.481686515E9</v>
      </c>
      <c r="W50" s="32" t="n">
        <f>1332845600</f>
        <v>1.3328456E9</v>
      </c>
      <c r="X50" s="36" t="n">
        <f>21</f>
        <v>21.0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2049</f>
        <v>2049.0</v>
      </c>
      <c r="L51" s="34" t="s">
        <v>48</v>
      </c>
      <c r="M51" s="33" t="n">
        <f>2065</f>
        <v>2065.0</v>
      </c>
      <c r="N51" s="34" t="s">
        <v>71</v>
      </c>
      <c r="O51" s="33" t="n">
        <f>1917</f>
        <v>1917.0</v>
      </c>
      <c r="P51" s="34" t="s">
        <v>116</v>
      </c>
      <c r="Q51" s="33" t="n">
        <f>2020</f>
        <v>2020.0</v>
      </c>
      <c r="R51" s="34" t="s">
        <v>51</v>
      </c>
      <c r="S51" s="35" t="n">
        <f>1999.21</f>
        <v>1999.21</v>
      </c>
      <c r="T51" s="32" t="n">
        <f>924900</f>
        <v>924900.0</v>
      </c>
      <c r="U51" s="32" t="n">
        <f>130460</f>
        <v>130460.0</v>
      </c>
      <c r="V51" s="32" t="n">
        <f>1895543408</f>
        <v>1.895543408E9</v>
      </c>
      <c r="W51" s="32" t="n">
        <f>267942948</f>
        <v>2.67942948E8</v>
      </c>
      <c r="X51" s="36" t="n">
        <f>21</f>
        <v>21.0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1607.5</f>
        <v>1607.5</v>
      </c>
      <c r="L52" s="34" t="s">
        <v>87</v>
      </c>
      <c r="M52" s="33" t="n">
        <f>1655</f>
        <v>1655.0</v>
      </c>
      <c r="N52" s="34" t="s">
        <v>49</v>
      </c>
      <c r="O52" s="33" t="n">
        <f>1563</f>
        <v>1563.0</v>
      </c>
      <c r="P52" s="34" t="s">
        <v>50</v>
      </c>
      <c r="Q52" s="33" t="n">
        <f>1623.5</f>
        <v>1623.5</v>
      </c>
      <c r="R52" s="34" t="s">
        <v>51</v>
      </c>
      <c r="S52" s="35" t="n">
        <f>1611.28</f>
        <v>1611.28</v>
      </c>
      <c r="T52" s="32" t="n">
        <f>3740</f>
        <v>3740.0</v>
      </c>
      <c r="U52" s="32" t="str">
        <f>"－"</f>
        <v>－</v>
      </c>
      <c r="V52" s="32" t="n">
        <f>6018185</f>
        <v>6018185.0</v>
      </c>
      <c r="W52" s="32" t="str">
        <f>"－"</f>
        <v>－</v>
      </c>
      <c r="X52" s="36" t="n">
        <f>20</f>
        <v>20.0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4295</f>
        <v>4295.0</v>
      </c>
      <c r="L53" s="34" t="s">
        <v>48</v>
      </c>
      <c r="M53" s="33" t="n">
        <f>4575</f>
        <v>4575.0</v>
      </c>
      <c r="N53" s="34" t="s">
        <v>50</v>
      </c>
      <c r="O53" s="33" t="n">
        <f>4125</f>
        <v>4125.0</v>
      </c>
      <c r="P53" s="34" t="s">
        <v>49</v>
      </c>
      <c r="Q53" s="33" t="n">
        <f>4425</f>
        <v>4425.0</v>
      </c>
      <c r="R53" s="34" t="s">
        <v>51</v>
      </c>
      <c r="S53" s="35" t="n">
        <f>4338.64</f>
        <v>4338.64</v>
      </c>
      <c r="T53" s="32" t="n">
        <f>738065</f>
        <v>738065.0</v>
      </c>
      <c r="U53" s="32" t="n">
        <f>139000</f>
        <v>139000.0</v>
      </c>
      <c r="V53" s="32" t="n">
        <f>3231250350</f>
        <v>3.23125035E9</v>
      </c>
      <c r="W53" s="32" t="n">
        <f>584527440</f>
        <v>5.8452744E8</v>
      </c>
      <c r="X53" s="36" t="n">
        <f>22</f>
        <v>22.0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5080</f>
        <v>5080.0</v>
      </c>
      <c r="L54" s="34" t="s">
        <v>48</v>
      </c>
      <c r="M54" s="33" t="n">
        <f>5360</f>
        <v>5360.0</v>
      </c>
      <c r="N54" s="34" t="s">
        <v>50</v>
      </c>
      <c r="O54" s="33" t="n">
        <f>4905</f>
        <v>4905.0</v>
      </c>
      <c r="P54" s="34" t="s">
        <v>49</v>
      </c>
      <c r="Q54" s="33" t="n">
        <f>5140</f>
        <v>5140.0</v>
      </c>
      <c r="R54" s="34" t="s">
        <v>51</v>
      </c>
      <c r="S54" s="35" t="n">
        <f>5116.36</f>
        <v>5116.36</v>
      </c>
      <c r="T54" s="32" t="n">
        <f>1315074</f>
        <v>1315074.0</v>
      </c>
      <c r="U54" s="32" t="n">
        <f>1200042</f>
        <v>1200042.0</v>
      </c>
      <c r="V54" s="32" t="n">
        <f>6832984785</f>
        <v>6.832984785E9</v>
      </c>
      <c r="W54" s="32" t="n">
        <f>6229450480</f>
        <v>6.22945048E9</v>
      </c>
      <c r="X54" s="36" t="n">
        <f>22</f>
        <v>22.0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16445</f>
        <v>16445.0</v>
      </c>
      <c r="L55" s="34" t="s">
        <v>48</v>
      </c>
      <c r="M55" s="33" t="n">
        <f>17780</f>
        <v>17780.0</v>
      </c>
      <c r="N55" s="34" t="s">
        <v>49</v>
      </c>
      <c r="O55" s="33" t="n">
        <f>14305</f>
        <v>14305.0</v>
      </c>
      <c r="P55" s="34" t="s">
        <v>50</v>
      </c>
      <c r="Q55" s="33" t="n">
        <f>15310</f>
        <v>15310.0</v>
      </c>
      <c r="R55" s="34" t="s">
        <v>51</v>
      </c>
      <c r="S55" s="35" t="n">
        <f>16014.32</f>
        <v>16014.32</v>
      </c>
      <c r="T55" s="32" t="n">
        <f>23135364</f>
        <v>2.3135364E7</v>
      </c>
      <c r="U55" s="32" t="n">
        <f>14</f>
        <v>14.0</v>
      </c>
      <c r="V55" s="32" t="n">
        <f>367883634405</f>
        <v>3.67883634405E11</v>
      </c>
      <c r="W55" s="32" t="n">
        <f>231650</f>
        <v>231650.0</v>
      </c>
      <c r="X55" s="36" t="n">
        <f>22</f>
        <v>22.0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1569</f>
        <v>1569.0</v>
      </c>
      <c r="L56" s="34" t="s">
        <v>48</v>
      </c>
      <c r="M56" s="33" t="n">
        <f>1781</f>
        <v>1781.0</v>
      </c>
      <c r="N56" s="34" t="s">
        <v>50</v>
      </c>
      <c r="O56" s="33" t="n">
        <f>1448</f>
        <v>1448.0</v>
      </c>
      <c r="P56" s="34" t="s">
        <v>49</v>
      </c>
      <c r="Q56" s="33" t="n">
        <f>1658</f>
        <v>1658.0</v>
      </c>
      <c r="R56" s="34" t="s">
        <v>51</v>
      </c>
      <c r="S56" s="35" t="n">
        <f>1602.41</f>
        <v>1602.41</v>
      </c>
      <c r="T56" s="32" t="n">
        <f>234513843</f>
        <v>2.34513843E8</v>
      </c>
      <c r="U56" s="32" t="n">
        <f>500564</f>
        <v>500564.0</v>
      </c>
      <c r="V56" s="32" t="n">
        <f>381892513546</f>
        <v>3.81892513546E11</v>
      </c>
      <c r="W56" s="32" t="n">
        <f>768744275</f>
        <v>7.68744275E8</v>
      </c>
      <c r="X56" s="36" t="n">
        <f>22</f>
        <v>22.0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14465</f>
        <v>14465.0</v>
      </c>
      <c r="L57" s="34" t="s">
        <v>48</v>
      </c>
      <c r="M57" s="33" t="n">
        <f>15345</f>
        <v>15345.0</v>
      </c>
      <c r="N57" s="34" t="s">
        <v>49</v>
      </c>
      <c r="O57" s="33" t="n">
        <f>12750</f>
        <v>12750.0</v>
      </c>
      <c r="P57" s="34" t="s">
        <v>50</v>
      </c>
      <c r="Q57" s="33" t="n">
        <f>13675</f>
        <v>13675.0</v>
      </c>
      <c r="R57" s="34" t="s">
        <v>51</v>
      </c>
      <c r="S57" s="35" t="n">
        <f>14068.18</f>
        <v>14068.18</v>
      </c>
      <c r="T57" s="32" t="n">
        <f>4654</f>
        <v>4654.0</v>
      </c>
      <c r="U57" s="32" t="str">
        <f>"－"</f>
        <v>－</v>
      </c>
      <c r="V57" s="32" t="n">
        <f>64366270</f>
        <v>6.436627E7</v>
      </c>
      <c r="W57" s="32" t="str">
        <f>"－"</f>
        <v>－</v>
      </c>
      <c r="X57" s="36" t="n">
        <f>22</f>
        <v>22.0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4900</f>
        <v>4900.0</v>
      </c>
      <c r="L58" s="34" t="s">
        <v>48</v>
      </c>
      <c r="M58" s="33" t="n">
        <f>5160</f>
        <v>5160.0</v>
      </c>
      <c r="N58" s="34" t="s">
        <v>50</v>
      </c>
      <c r="O58" s="33" t="n">
        <f>4790</f>
        <v>4790.0</v>
      </c>
      <c r="P58" s="34" t="s">
        <v>129</v>
      </c>
      <c r="Q58" s="33" t="n">
        <f>4985</f>
        <v>4985.0</v>
      </c>
      <c r="R58" s="34" t="s">
        <v>51</v>
      </c>
      <c r="S58" s="35" t="n">
        <f>4963.89</f>
        <v>4963.89</v>
      </c>
      <c r="T58" s="32" t="n">
        <f>1221</f>
        <v>1221.0</v>
      </c>
      <c r="U58" s="32" t="str">
        <f>"－"</f>
        <v>－</v>
      </c>
      <c r="V58" s="32" t="n">
        <f>6116175</f>
        <v>6116175.0</v>
      </c>
      <c r="W58" s="32" t="str">
        <f>"－"</f>
        <v>－</v>
      </c>
      <c r="X58" s="36" t="n">
        <f>18</f>
        <v>18.0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1915</f>
        <v>1915.0</v>
      </c>
      <c r="L59" s="34" t="s">
        <v>48</v>
      </c>
      <c r="M59" s="33" t="n">
        <f>2130</f>
        <v>2130.0</v>
      </c>
      <c r="N59" s="34" t="s">
        <v>50</v>
      </c>
      <c r="O59" s="33" t="n">
        <f>1783</f>
        <v>1783.0</v>
      </c>
      <c r="P59" s="34" t="s">
        <v>49</v>
      </c>
      <c r="Q59" s="33" t="n">
        <f>1958</f>
        <v>1958.0</v>
      </c>
      <c r="R59" s="34" t="s">
        <v>51</v>
      </c>
      <c r="S59" s="35" t="n">
        <f>1946.91</f>
        <v>1946.91</v>
      </c>
      <c r="T59" s="32" t="n">
        <f>41842</f>
        <v>41842.0</v>
      </c>
      <c r="U59" s="32" t="str">
        <f>"－"</f>
        <v>－</v>
      </c>
      <c r="V59" s="32" t="n">
        <f>81979400</f>
        <v>8.19794E7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13565</f>
        <v>13565.0</v>
      </c>
      <c r="L60" s="34" t="s">
        <v>48</v>
      </c>
      <c r="M60" s="33" t="n">
        <f>14500</f>
        <v>14500.0</v>
      </c>
      <c r="N60" s="34" t="s">
        <v>49</v>
      </c>
      <c r="O60" s="33" t="n">
        <f>12200</f>
        <v>12200.0</v>
      </c>
      <c r="P60" s="34" t="s">
        <v>50</v>
      </c>
      <c r="Q60" s="33" t="n">
        <f>13130</f>
        <v>13130.0</v>
      </c>
      <c r="R60" s="34" t="s">
        <v>51</v>
      </c>
      <c r="S60" s="35" t="n">
        <f>13216.76</f>
        <v>13216.76</v>
      </c>
      <c r="T60" s="32" t="n">
        <f>5530</f>
        <v>5530.0</v>
      </c>
      <c r="U60" s="32" t="n">
        <f>10</f>
        <v>10.0</v>
      </c>
      <c r="V60" s="32" t="n">
        <f>73254000</f>
        <v>7.3254E7</v>
      </c>
      <c r="W60" s="32" t="n">
        <f>145000</f>
        <v>145000.0</v>
      </c>
      <c r="X60" s="36" t="n">
        <f>17</f>
        <v>17.0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4600</f>
        <v>4600.0</v>
      </c>
      <c r="L61" s="34" t="s">
        <v>48</v>
      </c>
      <c r="M61" s="33" t="n">
        <f>4814</f>
        <v>4814.0</v>
      </c>
      <c r="N61" s="34" t="s">
        <v>67</v>
      </c>
      <c r="O61" s="33" t="n">
        <f>4396</f>
        <v>4396.0</v>
      </c>
      <c r="P61" s="34" t="s">
        <v>99</v>
      </c>
      <c r="Q61" s="33" t="n">
        <f>4524</f>
        <v>4524.0</v>
      </c>
      <c r="R61" s="34" t="s">
        <v>51</v>
      </c>
      <c r="S61" s="35" t="n">
        <f>4544</f>
        <v>4544.0</v>
      </c>
      <c r="T61" s="32" t="n">
        <f>4420</f>
        <v>4420.0</v>
      </c>
      <c r="U61" s="32" t="str">
        <f>"－"</f>
        <v>－</v>
      </c>
      <c r="V61" s="32" t="n">
        <f>20282380</f>
        <v>2.028238E7</v>
      </c>
      <c r="W61" s="32" t="str">
        <f>"－"</f>
        <v>－</v>
      </c>
      <c r="X61" s="36" t="n">
        <f>13</f>
        <v>13.0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1895</f>
        <v>1895.0</v>
      </c>
      <c r="L62" s="34" t="s">
        <v>48</v>
      </c>
      <c r="M62" s="33" t="n">
        <f>2110</f>
        <v>2110.0</v>
      </c>
      <c r="N62" s="34" t="s">
        <v>50</v>
      </c>
      <c r="O62" s="33" t="n">
        <f>1760</f>
        <v>1760.0</v>
      </c>
      <c r="P62" s="34" t="s">
        <v>49</v>
      </c>
      <c r="Q62" s="33" t="n">
        <f>1945.5</f>
        <v>1945.5</v>
      </c>
      <c r="R62" s="34" t="s">
        <v>51</v>
      </c>
      <c r="S62" s="35" t="n">
        <f>1921.3</f>
        <v>1921.3</v>
      </c>
      <c r="T62" s="32" t="n">
        <f>70680</f>
        <v>70680.0</v>
      </c>
      <c r="U62" s="32" t="str">
        <f>"－"</f>
        <v>－</v>
      </c>
      <c r="V62" s="32" t="n">
        <f>136442970</f>
        <v>1.3644297E8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766</f>
        <v>766.0</v>
      </c>
      <c r="L63" s="34" t="s">
        <v>48</v>
      </c>
      <c r="M63" s="33" t="n">
        <f>855</f>
        <v>855.0</v>
      </c>
      <c r="N63" s="34" t="s">
        <v>50</v>
      </c>
      <c r="O63" s="33" t="n">
        <f>718</f>
        <v>718.0</v>
      </c>
      <c r="P63" s="34" t="s">
        <v>49</v>
      </c>
      <c r="Q63" s="33" t="n">
        <f>787</f>
        <v>787.0</v>
      </c>
      <c r="R63" s="34" t="s">
        <v>51</v>
      </c>
      <c r="S63" s="35" t="n">
        <f>779.64</f>
        <v>779.64</v>
      </c>
      <c r="T63" s="32" t="n">
        <f>95932</f>
        <v>95932.0</v>
      </c>
      <c r="U63" s="32" t="str">
        <f>"－"</f>
        <v>－</v>
      </c>
      <c r="V63" s="32" t="n">
        <f>74869832</f>
        <v>7.4869832E7</v>
      </c>
      <c r="W63" s="32" t="str">
        <f>"－"</f>
        <v>－</v>
      </c>
      <c r="X63" s="36" t="n">
        <f>22</f>
        <v>22.0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1963.5</f>
        <v>1963.5</v>
      </c>
      <c r="L64" s="34" t="s">
        <v>48</v>
      </c>
      <c r="M64" s="33" t="n">
        <f>2024</f>
        <v>2024.0</v>
      </c>
      <c r="N64" s="34" t="s">
        <v>49</v>
      </c>
      <c r="O64" s="33" t="n">
        <f>1853.5</f>
        <v>1853.5</v>
      </c>
      <c r="P64" s="34" t="s">
        <v>50</v>
      </c>
      <c r="Q64" s="33" t="n">
        <f>1920</f>
        <v>1920.0</v>
      </c>
      <c r="R64" s="34" t="s">
        <v>51</v>
      </c>
      <c r="S64" s="35" t="n">
        <f>1942.11</f>
        <v>1942.11</v>
      </c>
      <c r="T64" s="32" t="n">
        <f>3302490</f>
        <v>3302490.0</v>
      </c>
      <c r="U64" s="32" t="n">
        <f>1548670</f>
        <v>1548670.0</v>
      </c>
      <c r="V64" s="32" t="n">
        <f>6517039286</f>
        <v>6.517039286E9</v>
      </c>
      <c r="W64" s="32" t="n">
        <f>3044203336</f>
        <v>3.044203336E9</v>
      </c>
      <c r="X64" s="36" t="n">
        <f>22</f>
        <v>22.0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17745</f>
        <v>17745.0</v>
      </c>
      <c r="L65" s="34" t="s">
        <v>48</v>
      </c>
      <c r="M65" s="33" t="n">
        <f>18150</f>
        <v>18150.0</v>
      </c>
      <c r="N65" s="34" t="s">
        <v>49</v>
      </c>
      <c r="O65" s="33" t="n">
        <f>16550</f>
        <v>16550.0</v>
      </c>
      <c r="P65" s="34" t="s">
        <v>50</v>
      </c>
      <c r="Q65" s="33" t="n">
        <f>17145</f>
        <v>17145.0</v>
      </c>
      <c r="R65" s="34" t="s">
        <v>51</v>
      </c>
      <c r="S65" s="35" t="n">
        <f>17375.45</f>
        <v>17375.45</v>
      </c>
      <c r="T65" s="32" t="n">
        <f>16785</f>
        <v>16785.0</v>
      </c>
      <c r="U65" s="32" t="n">
        <f>5000</f>
        <v>5000.0</v>
      </c>
      <c r="V65" s="32" t="n">
        <f>285453930</f>
        <v>2.8545393E8</v>
      </c>
      <c r="W65" s="32" t="n">
        <f>85060000</f>
        <v>8.506E7</v>
      </c>
      <c r="X65" s="36" t="n">
        <f>22</f>
        <v>22.0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1975</f>
        <v>1975.0</v>
      </c>
      <c r="L66" s="34" t="s">
        <v>48</v>
      </c>
      <c r="M66" s="33" t="n">
        <f>2038</f>
        <v>2038.0</v>
      </c>
      <c r="N66" s="34" t="s">
        <v>49</v>
      </c>
      <c r="O66" s="33" t="n">
        <f>1864</f>
        <v>1864.0</v>
      </c>
      <c r="P66" s="34" t="s">
        <v>50</v>
      </c>
      <c r="Q66" s="33" t="n">
        <f>1930</f>
        <v>1930.0</v>
      </c>
      <c r="R66" s="34" t="s">
        <v>51</v>
      </c>
      <c r="S66" s="35" t="n">
        <f>1954.23</f>
        <v>1954.23</v>
      </c>
      <c r="T66" s="32" t="n">
        <f>7274134</f>
        <v>7274134.0</v>
      </c>
      <c r="U66" s="32" t="n">
        <f>491693</f>
        <v>491693.0</v>
      </c>
      <c r="V66" s="32" t="n">
        <f>14286780562</f>
        <v>1.4286780562E10</v>
      </c>
      <c r="W66" s="32" t="n">
        <f>971530681</f>
        <v>9.71530681E8</v>
      </c>
      <c r="X66" s="36" t="n">
        <f>22</f>
        <v>22.0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2065</f>
        <v>2065.0</v>
      </c>
      <c r="L67" s="34" t="s">
        <v>48</v>
      </c>
      <c r="M67" s="33" t="n">
        <f>2195</f>
        <v>2195.0</v>
      </c>
      <c r="N67" s="34" t="s">
        <v>48</v>
      </c>
      <c r="O67" s="33" t="n">
        <f>1931</f>
        <v>1931.0</v>
      </c>
      <c r="P67" s="34" t="s">
        <v>116</v>
      </c>
      <c r="Q67" s="33" t="n">
        <f>2027</f>
        <v>2027.0</v>
      </c>
      <c r="R67" s="34" t="s">
        <v>51</v>
      </c>
      <c r="S67" s="35" t="n">
        <f>2017.45</f>
        <v>2017.45</v>
      </c>
      <c r="T67" s="32" t="n">
        <f>8107592</f>
        <v>8107592.0</v>
      </c>
      <c r="U67" s="32" t="n">
        <f>2520376</f>
        <v>2520376.0</v>
      </c>
      <c r="V67" s="32" t="n">
        <f>16437415766</f>
        <v>1.6437415766E10</v>
      </c>
      <c r="W67" s="32" t="n">
        <f>5099477350</f>
        <v>5.09947735E9</v>
      </c>
      <c r="X67" s="36" t="n">
        <f>22</f>
        <v>22.0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1844</f>
        <v>1844.0</v>
      </c>
      <c r="L68" s="34" t="s">
        <v>48</v>
      </c>
      <c r="M68" s="33" t="n">
        <f>1894</f>
        <v>1894.0</v>
      </c>
      <c r="N68" s="34" t="s">
        <v>49</v>
      </c>
      <c r="O68" s="33" t="n">
        <f>1774</f>
        <v>1774.0</v>
      </c>
      <c r="P68" s="34" t="s">
        <v>67</v>
      </c>
      <c r="Q68" s="33" t="n">
        <f>1850</f>
        <v>1850.0</v>
      </c>
      <c r="R68" s="34" t="s">
        <v>51</v>
      </c>
      <c r="S68" s="35" t="n">
        <f>1841.68</f>
        <v>1841.68</v>
      </c>
      <c r="T68" s="32" t="n">
        <f>14309</f>
        <v>14309.0</v>
      </c>
      <c r="U68" s="32" t="n">
        <f>12536</f>
        <v>12536.0</v>
      </c>
      <c r="V68" s="32" t="n">
        <f>26470605</f>
        <v>2.6470605E7</v>
      </c>
      <c r="W68" s="32" t="n">
        <f>23209821</f>
        <v>2.3209821E7</v>
      </c>
      <c r="X68" s="36" t="n">
        <f>22</f>
        <v>22.0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2396</f>
        <v>2396.0</v>
      </c>
      <c r="L69" s="34" t="s">
        <v>48</v>
      </c>
      <c r="M69" s="33" t="n">
        <f>2462</f>
        <v>2462.0</v>
      </c>
      <c r="N69" s="34" t="s">
        <v>49</v>
      </c>
      <c r="O69" s="33" t="n">
        <f>2316</f>
        <v>2316.0</v>
      </c>
      <c r="P69" s="34" t="s">
        <v>50</v>
      </c>
      <c r="Q69" s="33" t="n">
        <f>2371</f>
        <v>2371.0</v>
      </c>
      <c r="R69" s="34" t="s">
        <v>51</v>
      </c>
      <c r="S69" s="35" t="n">
        <f>2392.32</f>
        <v>2392.32</v>
      </c>
      <c r="T69" s="32" t="n">
        <f>291307</f>
        <v>291307.0</v>
      </c>
      <c r="U69" s="32" t="n">
        <f>20816</f>
        <v>20816.0</v>
      </c>
      <c r="V69" s="32" t="n">
        <f>698776979</f>
        <v>6.98776979E8</v>
      </c>
      <c r="W69" s="32" t="n">
        <f>50025149</f>
        <v>5.0025149E7</v>
      </c>
      <c r="X69" s="36" t="n">
        <f>22</f>
        <v>22.0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24170</f>
        <v>24170.0</v>
      </c>
      <c r="L70" s="34" t="s">
        <v>48</v>
      </c>
      <c r="M70" s="33" t="n">
        <f>24535</f>
        <v>24535.0</v>
      </c>
      <c r="N70" s="34" t="s">
        <v>72</v>
      </c>
      <c r="O70" s="33" t="n">
        <f>23860</f>
        <v>23860.0</v>
      </c>
      <c r="P70" s="34" t="s">
        <v>253</v>
      </c>
      <c r="Q70" s="33" t="n">
        <f>23860</f>
        <v>23860.0</v>
      </c>
      <c r="R70" s="34" t="s">
        <v>253</v>
      </c>
      <c r="S70" s="35" t="n">
        <f>24221.25</f>
        <v>24221.25</v>
      </c>
      <c r="T70" s="32" t="n">
        <f>20</f>
        <v>20.0</v>
      </c>
      <c r="U70" s="32" t="str">
        <f>"－"</f>
        <v>－</v>
      </c>
      <c r="V70" s="32" t="n">
        <f>484055</f>
        <v>484055.0</v>
      </c>
      <c r="W70" s="32" t="str">
        <f>"－"</f>
        <v>－</v>
      </c>
      <c r="X70" s="36" t="n">
        <f>4</f>
        <v>4.0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19495</f>
        <v>19495.0</v>
      </c>
      <c r="L71" s="34" t="s">
        <v>87</v>
      </c>
      <c r="M71" s="33" t="n">
        <f>19600</f>
        <v>19600.0</v>
      </c>
      <c r="N71" s="34" t="s">
        <v>72</v>
      </c>
      <c r="O71" s="33" t="n">
        <f>18395</f>
        <v>18395.0</v>
      </c>
      <c r="P71" s="34" t="s">
        <v>76</v>
      </c>
      <c r="Q71" s="33" t="n">
        <f>18985</f>
        <v>18985.0</v>
      </c>
      <c r="R71" s="34" t="s">
        <v>253</v>
      </c>
      <c r="S71" s="35" t="n">
        <f>19145.63</f>
        <v>19145.63</v>
      </c>
      <c r="T71" s="32" t="n">
        <f>16</f>
        <v>16.0</v>
      </c>
      <c r="U71" s="32" t="str">
        <f>"－"</f>
        <v>－</v>
      </c>
      <c r="V71" s="32" t="n">
        <f>305790</f>
        <v>305790.0</v>
      </c>
      <c r="W71" s="32" t="str">
        <f>"－"</f>
        <v>－</v>
      </c>
      <c r="X71" s="36" t="n">
        <f>8</f>
        <v>8.0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2000</f>
        <v>2000.0</v>
      </c>
      <c r="L72" s="34" t="s">
        <v>48</v>
      </c>
      <c r="M72" s="33" t="n">
        <f>2048</f>
        <v>2048.0</v>
      </c>
      <c r="N72" s="34" t="s">
        <v>49</v>
      </c>
      <c r="O72" s="33" t="n">
        <f>1888</f>
        <v>1888.0</v>
      </c>
      <c r="P72" s="34" t="s">
        <v>50</v>
      </c>
      <c r="Q72" s="33" t="n">
        <f>1975</f>
        <v>1975.0</v>
      </c>
      <c r="R72" s="34" t="s">
        <v>51</v>
      </c>
      <c r="S72" s="35" t="n">
        <f>1970.23</f>
        <v>1970.23</v>
      </c>
      <c r="T72" s="32" t="n">
        <f>616</f>
        <v>616.0</v>
      </c>
      <c r="U72" s="32" t="str">
        <f>"－"</f>
        <v>－</v>
      </c>
      <c r="V72" s="32" t="n">
        <f>1218862</f>
        <v>1218862.0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2075</f>
        <v>2075.0</v>
      </c>
      <c r="L73" s="34" t="s">
        <v>48</v>
      </c>
      <c r="M73" s="33" t="n">
        <f>2079</f>
        <v>2079.0</v>
      </c>
      <c r="N73" s="34" t="s">
        <v>48</v>
      </c>
      <c r="O73" s="33" t="n">
        <f>1973</f>
        <v>1973.0</v>
      </c>
      <c r="P73" s="34" t="s">
        <v>116</v>
      </c>
      <c r="Q73" s="33" t="n">
        <f>2040</f>
        <v>2040.0</v>
      </c>
      <c r="R73" s="34" t="s">
        <v>51</v>
      </c>
      <c r="S73" s="35" t="n">
        <f>2032.14</f>
        <v>2032.14</v>
      </c>
      <c r="T73" s="32" t="n">
        <f>7426789</f>
        <v>7426789.0</v>
      </c>
      <c r="U73" s="32" t="n">
        <f>5568928</f>
        <v>5568928.0</v>
      </c>
      <c r="V73" s="32" t="n">
        <f>15015069750</f>
        <v>1.501506975E10</v>
      </c>
      <c r="W73" s="32" t="n">
        <f>11242654714</f>
        <v>1.1242654714E10</v>
      </c>
      <c r="X73" s="36" t="n">
        <f>22</f>
        <v>22.0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2036</f>
        <v>2036.0</v>
      </c>
      <c r="L74" s="34" t="s">
        <v>48</v>
      </c>
      <c r="M74" s="33" t="n">
        <f>2130</f>
        <v>2130.0</v>
      </c>
      <c r="N74" s="34" t="s">
        <v>86</v>
      </c>
      <c r="O74" s="33" t="n">
        <f>1984</f>
        <v>1984.0</v>
      </c>
      <c r="P74" s="34" t="s">
        <v>51</v>
      </c>
      <c r="Q74" s="33" t="n">
        <f>1991</f>
        <v>1991.0</v>
      </c>
      <c r="R74" s="34" t="s">
        <v>51</v>
      </c>
      <c r="S74" s="35" t="n">
        <f>2071.57</f>
        <v>2071.57</v>
      </c>
      <c r="T74" s="32" t="n">
        <f>1804</f>
        <v>1804.0</v>
      </c>
      <c r="U74" s="32" t="str">
        <f>"－"</f>
        <v>－</v>
      </c>
      <c r="V74" s="32" t="n">
        <f>3708900</f>
        <v>3708900.0</v>
      </c>
      <c r="W74" s="32" t="str">
        <f>"－"</f>
        <v>－</v>
      </c>
      <c r="X74" s="36" t="n">
        <f>21</f>
        <v>21.0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10.0</v>
      </c>
      <c r="K75" s="33" t="n">
        <f>1965.5</f>
        <v>1965.5</v>
      </c>
      <c r="L75" s="34" t="s">
        <v>48</v>
      </c>
      <c r="M75" s="33" t="n">
        <f>2025</f>
        <v>2025.0</v>
      </c>
      <c r="N75" s="34" t="s">
        <v>49</v>
      </c>
      <c r="O75" s="33" t="n">
        <f>1859</f>
        <v>1859.0</v>
      </c>
      <c r="P75" s="34" t="s">
        <v>50</v>
      </c>
      <c r="Q75" s="33" t="n">
        <f>1937</f>
        <v>1937.0</v>
      </c>
      <c r="R75" s="34" t="s">
        <v>51</v>
      </c>
      <c r="S75" s="35" t="n">
        <f>1944.95</f>
        <v>1944.95</v>
      </c>
      <c r="T75" s="32" t="n">
        <f>33470</f>
        <v>33470.0</v>
      </c>
      <c r="U75" s="32" t="str">
        <f>"－"</f>
        <v>－</v>
      </c>
      <c r="V75" s="32" t="n">
        <f>65339450</f>
        <v>6.533945E7</v>
      </c>
      <c r="W75" s="32" t="str">
        <f>"－"</f>
        <v>－</v>
      </c>
      <c r="X75" s="36" t="n">
        <f>22</f>
        <v>22.0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28910</f>
        <v>28910.0</v>
      </c>
      <c r="L76" s="34" t="s">
        <v>72</v>
      </c>
      <c r="M76" s="33" t="n">
        <f>28910</f>
        <v>28910.0</v>
      </c>
      <c r="N76" s="34" t="s">
        <v>72</v>
      </c>
      <c r="O76" s="33" t="n">
        <f>28400</f>
        <v>28400.0</v>
      </c>
      <c r="P76" s="34" t="s">
        <v>272</v>
      </c>
      <c r="Q76" s="33" t="n">
        <f>28400</f>
        <v>28400.0</v>
      </c>
      <c r="R76" s="34" t="s">
        <v>272</v>
      </c>
      <c r="S76" s="35" t="n">
        <f>28573.33</f>
        <v>28573.33</v>
      </c>
      <c r="T76" s="32" t="n">
        <f>3</f>
        <v>3.0</v>
      </c>
      <c r="U76" s="32" t="str">
        <f>"－"</f>
        <v>－</v>
      </c>
      <c r="V76" s="32" t="n">
        <f>85720</f>
        <v>85720.0</v>
      </c>
      <c r="W76" s="32" t="str">
        <f>"－"</f>
        <v>－</v>
      </c>
      <c r="X76" s="36" t="n">
        <f>3</f>
        <v>3.0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22185</f>
        <v>22185.0</v>
      </c>
      <c r="L77" s="34" t="s">
        <v>48</v>
      </c>
      <c r="M77" s="33" t="n">
        <f>23220</f>
        <v>23220.0</v>
      </c>
      <c r="N77" s="34" t="s">
        <v>51</v>
      </c>
      <c r="O77" s="33" t="n">
        <f>22135</f>
        <v>22135.0</v>
      </c>
      <c r="P77" s="34" t="s">
        <v>67</v>
      </c>
      <c r="Q77" s="33" t="n">
        <f>23120</f>
        <v>23120.0</v>
      </c>
      <c r="R77" s="34" t="s">
        <v>51</v>
      </c>
      <c r="S77" s="35" t="n">
        <f>22604.77</f>
        <v>22604.77</v>
      </c>
      <c r="T77" s="32" t="n">
        <f>186169</f>
        <v>186169.0</v>
      </c>
      <c r="U77" s="32" t="n">
        <f>107289</f>
        <v>107289.0</v>
      </c>
      <c r="V77" s="32" t="n">
        <f>4191064579</f>
        <v>4.191064579E9</v>
      </c>
      <c r="W77" s="32" t="n">
        <f>2415400779</f>
        <v>2.415400779E9</v>
      </c>
      <c r="X77" s="36" t="n">
        <f>22</f>
        <v>22.0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16180</f>
        <v>16180.0</v>
      </c>
      <c r="L78" s="34" t="s">
        <v>48</v>
      </c>
      <c r="M78" s="33" t="n">
        <f>16180</f>
        <v>16180.0</v>
      </c>
      <c r="N78" s="34" t="s">
        <v>48</v>
      </c>
      <c r="O78" s="33" t="n">
        <f>15360</f>
        <v>15360.0</v>
      </c>
      <c r="P78" s="34" t="s">
        <v>116</v>
      </c>
      <c r="Q78" s="33" t="n">
        <f>15860</f>
        <v>15860.0</v>
      </c>
      <c r="R78" s="34" t="s">
        <v>51</v>
      </c>
      <c r="S78" s="35" t="n">
        <f>15821.59</f>
        <v>15821.59</v>
      </c>
      <c r="T78" s="32" t="n">
        <f>737922</f>
        <v>737922.0</v>
      </c>
      <c r="U78" s="32" t="n">
        <f>651370</f>
        <v>651370.0</v>
      </c>
      <c r="V78" s="32" t="n">
        <f>11756145043</f>
        <v>1.1756145043E10</v>
      </c>
      <c r="W78" s="32" t="n">
        <f>10395279328</f>
        <v>1.0395279328E10</v>
      </c>
      <c r="X78" s="36" t="n">
        <f>22</f>
        <v>22.0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2075</f>
        <v>2075.0</v>
      </c>
      <c r="L79" s="34" t="s">
        <v>48</v>
      </c>
      <c r="M79" s="33" t="n">
        <f>2089</f>
        <v>2089.0</v>
      </c>
      <c r="N79" s="34" t="s">
        <v>129</v>
      </c>
      <c r="O79" s="33" t="n">
        <f>1928</f>
        <v>1928.0</v>
      </c>
      <c r="P79" s="34" t="s">
        <v>116</v>
      </c>
      <c r="Q79" s="33" t="n">
        <f>2027.5</f>
        <v>2027.5</v>
      </c>
      <c r="R79" s="34" t="s">
        <v>51</v>
      </c>
      <c r="S79" s="35" t="n">
        <f>2015.75</f>
        <v>2015.75</v>
      </c>
      <c r="T79" s="32" t="n">
        <f>2562930</f>
        <v>2562930.0</v>
      </c>
      <c r="U79" s="32" t="n">
        <f>1373420</f>
        <v>1373420.0</v>
      </c>
      <c r="V79" s="32" t="n">
        <f>5141267762</f>
        <v>5.141267762E9</v>
      </c>
      <c r="W79" s="32" t="n">
        <f>2763591137</f>
        <v>2.763591137E9</v>
      </c>
      <c r="X79" s="36" t="n">
        <f>22</f>
        <v>22.0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40950</f>
        <v>40950.0</v>
      </c>
      <c r="L80" s="34" t="s">
        <v>48</v>
      </c>
      <c r="M80" s="33" t="n">
        <f>42100</f>
        <v>42100.0</v>
      </c>
      <c r="N80" s="34" t="s">
        <v>49</v>
      </c>
      <c r="O80" s="33" t="n">
        <f>39680</f>
        <v>39680.0</v>
      </c>
      <c r="P80" s="34" t="s">
        <v>50</v>
      </c>
      <c r="Q80" s="33" t="n">
        <f>40450</f>
        <v>40450.0</v>
      </c>
      <c r="R80" s="34" t="s">
        <v>51</v>
      </c>
      <c r="S80" s="35" t="n">
        <f>40966.36</f>
        <v>40966.36</v>
      </c>
      <c r="T80" s="32" t="n">
        <f>127282</f>
        <v>127282.0</v>
      </c>
      <c r="U80" s="32" t="n">
        <f>10700</f>
        <v>10700.0</v>
      </c>
      <c r="V80" s="32" t="n">
        <f>5189627210</f>
        <v>5.18962721E9</v>
      </c>
      <c r="W80" s="32" t="n">
        <f>431396300</f>
        <v>4.313963E8</v>
      </c>
      <c r="X80" s="36" t="n">
        <f>22</f>
        <v>22.0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7813</f>
        <v>7813.0</v>
      </c>
      <c r="L81" s="34" t="s">
        <v>288</v>
      </c>
      <c r="M81" s="33" t="n">
        <f>7869</f>
        <v>7869.0</v>
      </c>
      <c r="N81" s="34" t="s">
        <v>51</v>
      </c>
      <c r="O81" s="33" t="n">
        <f>7813</f>
        <v>7813.0</v>
      </c>
      <c r="P81" s="34" t="s">
        <v>288</v>
      </c>
      <c r="Q81" s="33" t="n">
        <f>7869</f>
        <v>7869.0</v>
      </c>
      <c r="R81" s="34" t="s">
        <v>51</v>
      </c>
      <c r="S81" s="35" t="n">
        <f>7843.67</f>
        <v>7843.67</v>
      </c>
      <c r="T81" s="32" t="n">
        <f>90</f>
        <v>90.0</v>
      </c>
      <c r="U81" s="32" t="str">
        <f>"－"</f>
        <v>－</v>
      </c>
      <c r="V81" s="32" t="n">
        <f>704810</f>
        <v>704810.0</v>
      </c>
      <c r="W81" s="32" t="str">
        <f>"－"</f>
        <v>－</v>
      </c>
      <c r="X81" s="36" t="n">
        <f>3</f>
        <v>3.0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15300</f>
        <v>15300.0</v>
      </c>
      <c r="L82" s="34" t="s">
        <v>48</v>
      </c>
      <c r="M82" s="33" t="n">
        <f>15500</f>
        <v>15500.0</v>
      </c>
      <c r="N82" s="34" t="s">
        <v>99</v>
      </c>
      <c r="O82" s="33" t="n">
        <f>14320</f>
        <v>14320.0</v>
      </c>
      <c r="P82" s="34" t="s">
        <v>50</v>
      </c>
      <c r="Q82" s="33" t="n">
        <f>14850</f>
        <v>14850.0</v>
      </c>
      <c r="R82" s="34" t="s">
        <v>51</v>
      </c>
      <c r="S82" s="35" t="n">
        <f>14991.43</f>
        <v>14991.43</v>
      </c>
      <c r="T82" s="32" t="n">
        <f>502</f>
        <v>502.0</v>
      </c>
      <c r="U82" s="32" t="str">
        <f>"－"</f>
        <v>－</v>
      </c>
      <c r="V82" s="32" t="n">
        <f>7488180</f>
        <v>7488180.0</v>
      </c>
      <c r="W82" s="32" t="str">
        <f>"－"</f>
        <v>－</v>
      </c>
      <c r="X82" s="36" t="n">
        <f>21</f>
        <v>21.0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15250</f>
        <v>15250.0</v>
      </c>
      <c r="L83" s="34" t="s">
        <v>48</v>
      </c>
      <c r="M83" s="33" t="n">
        <f>15500</f>
        <v>15500.0</v>
      </c>
      <c r="N83" s="34" t="s">
        <v>49</v>
      </c>
      <c r="O83" s="33" t="n">
        <f>14100</f>
        <v>14100.0</v>
      </c>
      <c r="P83" s="34" t="s">
        <v>50</v>
      </c>
      <c r="Q83" s="33" t="n">
        <f>14885</f>
        <v>14885.0</v>
      </c>
      <c r="R83" s="34" t="s">
        <v>51</v>
      </c>
      <c r="S83" s="35" t="n">
        <f>14884.77</f>
        <v>14884.77</v>
      </c>
      <c r="T83" s="32" t="n">
        <f>1417</f>
        <v>1417.0</v>
      </c>
      <c r="U83" s="32" t="str">
        <f>"－"</f>
        <v>－</v>
      </c>
      <c r="V83" s="32" t="n">
        <f>21036395</f>
        <v>2.1036395E7</v>
      </c>
      <c r="W83" s="32" t="str">
        <f>"－"</f>
        <v>－</v>
      </c>
      <c r="X83" s="36" t="n">
        <f>22</f>
        <v>22.0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19480</f>
        <v>19480.0</v>
      </c>
      <c r="L84" s="34" t="s">
        <v>48</v>
      </c>
      <c r="M84" s="33" t="n">
        <f>20530</f>
        <v>20530.0</v>
      </c>
      <c r="N84" s="34" t="s">
        <v>86</v>
      </c>
      <c r="O84" s="33" t="n">
        <f>19255</f>
        <v>19255.0</v>
      </c>
      <c r="P84" s="34" t="s">
        <v>50</v>
      </c>
      <c r="Q84" s="33" t="n">
        <f>19980</f>
        <v>19980.0</v>
      </c>
      <c r="R84" s="34" t="s">
        <v>51</v>
      </c>
      <c r="S84" s="35" t="n">
        <f>19803.18</f>
        <v>19803.18</v>
      </c>
      <c r="T84" s="32" t="n">
        <f>7471</f>
        <v>7471.0</v>
      </c>
      <c r="U84" s="32" t="str">
        <f>"－"</f>
        <v>－</v>
      </c>
      <c r="V84" s="32" t="n">
        <f>147391860</f>
        <v>1.4739186E8</v>
      </c>
      <c r="W84" s="32" t="str">
        <f>"－"</f>
        <v>－</v>
      </c>
      <c r="X84" s="36" t="n">
        <f>22</f>
        <v>22.0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11220</f>
        <v>11220.0</v>
      </c>
      <c r="L85" s="34" t="s">
        <v>48</v>
      </c>
      <c r="M85" s="33" t="n">
        <f>11745</f>
        <v>11745.0</v>
      </c>
      <c r="N85" s="34" t="s">
        <v>129</v>
      </c>
      <c r="O85" s="33" t="n">
        <f>11060</f>
        <v>11060.0</v>
      </c>
      <c r="P85" s="34" t="s">
        <v>87</v>
      </c>
      <c r="Q85" s="33" t="n">
        <f>11700</f>
        <v>11700.0</v>
      </c>
      <c r="R85" s="34" t="s">
        <v>51</v>
      </c>
      <c r="S85" s="35" t="n">
        <f>11446.14</f>
        <v>11446.14</v>
      </c>
      <c r="T85" s="32" t="n">
        <f>5590</f>
        <v>5590.0</v>
      </c>
      <c r="U85" s="32" t="str">
        <f>"－"</f>
        <v>－</v>
      </c>
      <c r="V85" s="32" t="n">
        <f>64180350</f>
        <v>6.418035E7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2196</f>
        <v>2196.0</v>
      </c>
      <c r="L86" s="34" t="s">
        <v>48</v>
      </c>
      <c r="M86" s="33" t="n">
        <f>2207</f>
        <v>2207.0</v>
      </c>
      <c r="N86" s="34" t="s">
        <v>48</v>
      </c>
      <c r="O86" s="33" t="n">
        <f>2059</f>
        <v>2059.0</v>
      </c>
      <c r="P86" s="34" t="s">
        <v>116</v>
      </c>
      <c r="Q86" s="33" t="n">
        <f>2094</f>
        <v>2094.0</v>
      </c>
      <c r="R86" s="34" t="s">
        <v>51</v>
      </c>
      <c r="S86" s="35" t="n">
        <f>2120.05</f>
        <v>2120.05</v>
      </c>
      <c r="T86" s="32" t="n">
        <f>301058</f>
        <v>301058.0</v>
      </c>
      <c r="U86" s="32" t="n">
        <f>46034</f>
        <v>46034.0</v>
      </c>
      <c r="V86" s="32" t="n">
        <f>639567992</f>
        <v>6.39567992E8</v>
      </c>
      <c r="W86" s="32" t="n">
        <f>99503239</f>
        <v>9.9503239E7</v>
      </c>
      <c r="X86" s="36" t="n">
        <f>22</f>
        <v>22.0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2140</f>
        <v>2140.0</v>
      </c>
      <c r="L87" s="34" t="s">
        <v>48</v>
      </c>
      <c r="M87" s="33" t="n">
        <f>2140</f>
        <v>2140.0</v>
      </c>
      <c r="N87" s="34" t="s">
        <v>48</v>
      </c>
      <c r="O87" s="33" t="n">
        <f>1965</f>
        <v>1965.0</v>
      </c>
      <c r="P87" s="34" t="s">
        <v>307</v>
      </c>
      <c r="Q87" s="33" t="n">
        <f>1969</f>
        <v>1969.0</v>
      </c>
      <c r="R87" s="34" t="s">
        <v>51</v>
      </c>
      <c r="S87" s="35" t="n">
        <f>2035.91</f>
        <v>2035.91</v>
      </c>
      <c r="T87" s="32" t="n">
        <f>227315</f>
        <v>227315.0</v>
      </c>
      <c r="U87" s="32" t="str">
        <f>"－"</f>
        <v>－</v>
      </c>
      <c r="V87" s="32" t="n">
        <f>459087987</f>
        <v>4.59087987E8</v>
      </c>
      <c r="W87" s="32" t="str">
        <f>"－"</f>
        <v>－</v>
      </c>
      <c r="X87" s="36" t="n">
        <f>22</f>
        <v>22.0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14975</f>
        <v>14975.0</v>
      </c>
      <c r="L88" s="34" t="s">
        <v>48</v>
      </c>
      <c r="M88" s="33" t="n">
        <f>15340</f>
        <v>15340.0</v>
      </c>
      <c r="N88" s="34" t="s">
        <v>49</v>
      </c>
      <c r="O88" s="33" t="n">
        <f>14060</f>
        <v>14060.0</v>
      </c>
      <c r="P88" s="34" t="s">
        <v>50</v>
      </c>
      <c r="Q88" s="33" t="n">
        <f>14485</f>
        <v>14485.0</v>
      </c>
      <c r="R88" s="34" t="s">
        <v>51</v>
      </c>
      <c r="S88" s="35" t="n">
        <f>14705.45</f>
        <v>14705.45</v>
      </c>
      <c r="T88" s="32" t="n">
        <f>52743</f>
        <v>52743.0</v>
      </c>
      <c r="U88" s="32" t="n">
        <f>6807</f>
        <v>6807.0</v>
      </c>
      <c r="V88" s="32" t="n">
        <f>774676476</f>
        <v>7.74676476E8</v>
      </c>
      <c r="W88" s="32" t="n">
        <f>100833886</f>
        <v>1.00833886E8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9050</f>
        <v>9050.0</v>
      </c>
      <c r="L89" s="34" t="s">
        <v>48</v>
      </c>
      <c r="M89" s="33" t="n">
        <f>9250</f>
        <v>9250.0</v>
      </c>
      <c r="N89" s="34" t="s">
        <v>253</v>
      </c>
      <c r="O89" s="33" t="n">
        <f>8766</f>
        <v>8766.0</v>
      </c>
      <c r="P89" s="34" t="s">
        <v>87</v>
      </c>
      <c r="Q89" s="33" t="n">
        <f>9150</f>
        <v>9150.0</v>
      </c>
      <c r="R89" s="34" t="s">
        <v>51</v>
      </c>
      <c r="S89" s="35" t="n">
        <f>9123.68</f>
        <v>9123.68</v>
      </c>
      <c r="T89" s="32" t="n">
        <f>3373</f>
        <v>3373.0</v>
      </c>
      <c r="U89" s="32" t="n">
        <f>6</f>
        <v>6.0</v>
      </c>
      <c r="V89" s="32" t="n">
        <f>30754628</f>
        <v>3.0754628E7</v>
      </c>
      <c r="W89" s="32" t="n">
        <f>54691</f>
        <v>54691.0</v>
      </c>
      <c r="X89" s="36" t="n">
        <f>22</f>
        <v>22.0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7253</f>
        <v>7253.0</v>
      </c>
      <c r="L90" s="34" t="s">
        <v>48</v>
      </c>
      <c r="M90" s="33" t="n">
        <f>7735</f>
        <v>7735.0</v>
      </c>
      <c r="N90" s="34" t="s">
        <v>103</v>
      </c>
      <c r="O90" s="33" t="n">
        <f>7239</f>
        <v>7239.0</v>
      </c>
      <c r="P90" s="34" t="s">
        <v>48</v>
      </c>
      <c r="Q90" s="33" t="n">
        <f>7560</f>
        <v>7560.0</v>
      </c>
      <c r="R90" s="34" t="s">
        <v>51</v>
      </c>
      <c r="S90" s="35" t="n">
        <f>7520.55</f>
        <v>7520.55</v>
      </c>
      <c r="T90" s="32" t="n">
        <f>2246234</f>
        <v>2246234.0</v>
      </c>
      <c r="U90" s="32" t="n">
        <f>161698</f>
        <v>161698.0</v>
      </c>
      <c r="V90" s="32" t="n">
        <f>16935960801</f>
        <v>1.6935960801E10</v>
      </c>
      <c r="W90" s="32" t="n">
        <f>1226735521</f>
        <v>1.226735521E9</v>
      </c>
      <c r="X90" s="36" t="n">
        <f>22</f>
        <v>22.0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3715</f>
        <v>3715.0</v>
      </c>
      <c r="L91" s="34" t="s">
        <v>48</v>
      </c>
      <c r="M91" s="33" t="n">
        <f>3910</f>
        <v>3910.0</v>
      </c>
      <c r="N91" s="34" t="s">
        <v>49</v>
      </c>
      <c r="O91" s="33" t="n">
        <f>3685</f>
        <v>3685.0</v>
      </c>
      <c r="P91" s="34" t="s">
        <v>253</v>
      </c>
      <c r="Q91" s="33" t="n">
        <f>3750</f>
        <v>3750.0</v>
      </c>
      <c r="R91" s="34" t="s">
        <v>51</v>
      </c>
      <c r="S91" s="35" t="n">
        <f>3787.05</f>
        <v>3787.05</v>
      </c>
      <c r="T91" s="32" t="n">
        <f>940196</f>
        <v>940196.0</v>
      </c>
      <c r="U91" s="32" t="str">
        <f>"－"</f>
        <v>－</v>
      </c>
      <c r="V91" s="32" t="n">
        <f>3573129080</f>
        <v>3.57312908E9</v>
      </c>
      <c r="W91" s="32" t="str">
        <f>"－"</f>
        <v>－</v>
      </c>
      <c r="X91" s="36" t="n">
        <f>22</f>
        <v>22.0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8400</f>
        <v>8400.0</v>
      </c>
      <c r="L92" s="34" t="s">
        <v>48</v>
      </c>
      <c r="M92" s="33" t="n">
        <f>8880</f>
        <v>8880.0</v>
      </c>
      <c r="N92" s="34" t="s">
        <v>49</v>
      </c>
      <c r="O92" s="33" t="n">
        <f>8343</f>
        <v>8343.0</v>
      </c>
      <c r="P92" s="34" t="s">
        <v>323</v>
      </c>
      <c r="Q92" s="33" t="n">
        <f>8419</f>
        <v>8419.0</v>
      </c>
      <c r="R92" s="34" t="s">
        <v>51</v>
      </c>
      <c r="S92" s="35" t="n">
        <f>8631</f>
        <v>8631.0</v>
      </c>
      <c r="T92" s="32" t="n">
        <f>203316</f>
        <v>203316.0</v>
      </c>
      <c r="U92" s="32" t="n">
        <f>10</f>
        <v>10.0</v>
      </c>
      <c r="V92" s="32" t="n">
        <f>1753407076</f>
        <v>1.753407076E9</v>
      </c>
      <c r="W92" s="32" t="n">
        <f>87500</f>
        <v>87500.0</v>
      </c>
      <c r="X92" s="36" t="n">
        <f>22</f>
        <v>22.0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77610</f>
        <v>77610.0</v>
      </c>
      <c r="L93" s="34" t="s">
        <v>48</v>
      </c>
      <c r="M93" s="33" t="n">
        <f>79500</f>
        <v>79500.0</v>
      </c>
      <c r="N93" s="34" t="s">
        <v>71</v>
      </c>
      <c r="O93" s="33" t="n">
        <f>71800</f>
        <v>71800.0</v>
      </c>
      <c r="P93" s="34" t="s">
        <v>307</v>
      </c>
      <c r="Q93" s="33" t="n">
        <f>78600</f>
        <v>78600.0</v>
      </c>
      <c r="R93" s="34" t="s">
        <v>51</v>
      </c>
      <c r="S93" s="35" t="n">
        <f>75960.91</f>
        <v>75960.91</v>
      </c>
      <c r="T93" s="32" t="n">
        <f>6874</f>
        <v>6874.0</v>
      </c>
      <c r="U93" s="32" t="n">
        <f>1</f>
        <v>1.0</v>
      </c>
      <c r="V93" s="32" t="n">
        <f>522859120</f>
        <v>5.2285912E8</v>
      </c>
      <c r="W93" s="32" t="n">
        <f>78010</f>
        <v>78010.0</v>
      </c>
      <c r="X93" s="36" t="n">
        <f>22</f>
        <v>22.0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16595</f>
        <v>16595.0</v>
      </c>
      <c r="L94" s="34" t="s">
        <v>48</v>
      </c>
      <c r="M94" s="33" t="n">
        <f>17250</f>
        <v>17250.0</v>
      </c>
      <c r="N94" s="34" t="s">
        <v>49</v>
      </c>
      <c r="O94" s="33" t="n">
        <f>14950</f>
        <v>14950.0</v>
      </c>
      <c r="P94" s="34" t="s">
        <v>67</v>
      </c>
      <c r="Q94" s="33" t="n">
        <f>16025</f>
        <v>16025.0</v>
      </c>
      <c r="R94" s="34" t="s">
        <v>51</v>
      </c>
      <c r="S94" s="35" t="n">
        <f>16231.59</f>
        <v>16231.59</v>
      </c>
      <c r="T94" s="32" t="n">
        <f>2664319</f>
        <v>2664319.0</v>
      </c>
      <c r="U94" s="32" t="n">
        <f>18002</f>
        <v>18002.0</v>
      </c>
      <c r="V94" s="32" t="n">
        <f>42958780780</f>
        <v>4.295878078E10</v>
      </c>
      <c r="W94" s="32" t="n">
        <f>298677030</f>
        <v>2.9867703E8</v>
      </c>
      <c r="X94" s="36" t="n">
        <f>22</f>
        <v>22.0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41970</f>
        <v>41970.0</v>
      </c>
      <c r="L95" s="34" t="s">
        <v>48</v>
      </c>
      <c r="M95" s="33" t="n">
        <f>43650</f>
        <v>43650.0</v>
      </c>
      <c r="N95" s="34" t="s">
        <v>49</v>
      </c>
      <c r="O95" s="33" t="n">
        <f>38960</f>
        <v>38960.0</v>
      </c>
      <c r="P95" s="34" t="s">
        <v>67</v>
      </c>
      <c r="Q95" s="33" t="n">
        <f>41370</f>
        <v>41370.0</v>
      </c>
      <c r="R95" s="34" t="s">
        <v>51</v>
      </c>
      <c r="S95" s="35" t="n">
        <f>41475.45</f>
        <v>41475.45</v>
      </c>
      <c r="T95" s="32" t="n">
        <f>281479</f>
        <v>281479.0</v>
      </c>
      <c r="U95" s="32" t="n">
        <f>47620</f>
        <v>47620.0</v>
      </c>
      <c r="V95" s="32" t="n">
        <f>11606467826</f>
        <v>1.1606467826E10</v>
      </c>
      <c r="W95" s="32" t="n">
        <f>1979427376</f>
        <v>1.979427376E9</v>
      </c>
      <c r="X95" s="36" t="n">
        <f>22</f>
        <v>22.0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5815</f>
        <v>5815.0</v>
      </c>
      <c r="L96" s="34" t="s">
        <v>48</v>
      </c>
      <c r="M96" s="33" t="n">
        <f>6034</f>
        <v>6034.0</v>
      </c>
      <c r="N96" s="34" t="s">
        <v>49</v>
      </c>
      <c r="O96" s="33" t="n">
        <f>5285</f>
        <v>5285.0</v>
      </c>
      <c r="P96" s="34" t="s">
        <v>67</v>
      </c>
      <c r="Q96" s="33" t="n">
        <f>5634</f>
        <v>5634.0</v>
      </c>
      <c r="R96" s="34" t="s">
        <v>51</v>
      </c>
      <c r="S96" s="35" t="n">
        <f>5691.41</f>
        <v>5691.41</v>
      </c>
      <c r="T96" s="32" t="n">
        <f>2990490</f>
        <v>2990490.0</v>
      </c>
      <c r="U96" s="32" t="n">
        <f>521310</f>
        <v>521310.0</v>
      </c>
      <c r="V96" s="32" t="n">
        <f>16880998042</f>
        <v>1.6880998042E10</v>
      </c>
      <c r="W96" s="32" t="n">
        <f>2975999362</f>
        <v>2.975999362E9</v>
      </c>
      <c r="X96" s="36" t="n">
        <f>22</f>
        <v>22.0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3757</f>
        <v>3757.0</v>
      </c>
      <c r="L97" s="34" t="s">
        <v>48</v>
      </c>
      <c r="M97" s="33" t="n">
        <f>3862</f>
        <v>3862.0</v>
      </c>
      <c r="N97" s="34" t="s">
        <v>49</v>
      </c>
      <c r="O97" s="33" t="n">
        <f>3426</f>
        <v>3426.0</v>
      </c>
      <c r="P97" s="34" t="s">
        <v>67</v>
      </c>
      <c r="Q97" s="33" t="n">
        <f>3599</f>
        <v>3599.0</v>
      </c>
      <c r="R97" s="34" t="s">
        <v>51</v>
      </c>
      <c r="S97" s="35" t="n">
        <f>3651.64</f>
        <v>3651.64</v>
      </c>
      <c r="T97" s="32" t="n">
        <f>119490</f>
        <v>119490.0</v>
      </c>
      <c r="U97" s="32" t="str">
        <f>"－"</f>
        <v>－</v>
      </c>
      <c r="V97" s="32" t="n">
        <f>435972560</f>
        <v>4.3597256E8</v>
      </c>
      <c r="W97" s="32" t="str">
        <f>"－"</f>
        <v>－</v>
      </c>
      <c r="X97" s="36" t="n">
        <f>22</f>
        <v>22.0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4323</f>
        <v>4323.0</v>
      </c>
      <c r="L98" s="34" t="s">
        <v>48</v>
      </c>
      <c r="M98" s="33" t="n">
        <f>4455</f>
        <v>4455.0</v>
      </c>
      <c r="N98" s="34" t="s">
        <v>49</v>
      </c>
      <c r="O98" s="33" t="n">
        <f>3975</f>
        <v>3975.0</v>
      </c>
      <c r="P98" s="34" t="s">
        <v>50</v>
      </c>
      <c r="Q98" s="33" t="n">
        <f>4120</f>
        <v>4120.0</v>
      </c>
      <c r="R98" s="34" t="s">
        <v>51</v>
      </c>
      <c r="S98" s="35" t="n">
        <f>4234.73</f>
        <v>4234.73</v>
      </c>
      <c r="T98" s="32" t="n">
        <f>8860</f>
        <v>8860.0</v>
      </c>
      <c r="U98" s="32" t="str">
        <f>"－"</f>
        <v>－</v>
      </c>
      <c r="V98" s="32" t="n">
        <f>37610050</f>
        <v>3.761005E7</v>
      </c>
      <c r="W98" s="32" t="str">
        <f>"－"</f>
        <v>－</v>
      </c>
      <c r="X98" s="36" t="n">
        <f>22</f>
        <v>22.0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 t="s">
        <v>345</v>
      </c>
      <c r="I99" s="31" t="s">
        <v>47</v>
      </c>
      <c r="J99" s="32" t="n">
        <v>1.0</v>
      </c>
      <c r="K99" s="33" t="n">
        <f>2202</f>
        <v>2202.0</v>
      </c>
      <c r="L99" s="34" t="s">
        <v>48</v>
      </c>
      <c r="M99" s="33" t="n">
        <f>2739</f>
        <v>2739.0</v>
      </c>
      <c r="N99" s="34" t="s">
        <v>307</v>
      </c>
      <c r="O99" s="33" t="n">
        <f>2161</f>
        <v>2161.0</v>
      </c>
      <c r="P99" s="34" t="s">
        <v>99</v>
      </c>
      <c r="Q99" s="33" t="n">
        <f>2444</f>
        <v>2444.0</v>
      </c>
      <c r="R99" s="34" t="s">
        <v>51</v>
      </c>
      <c r="S99" s="35" t="n">
        <f>2407.27</f>
        <v>2407.27</v>
      </c>
      <c r="T99" s="32" t="n">
        <f>36081347</f>
        <v>3.6081347E7</v>
      </c>
      <c r="U99" s="32" t="n">
        <f>280363</f>
        <v>280363.0</v>
      </c>
      <c r="V99" s="32" t="n">
        <f>88786496185</f>
        <v>8.8786496185E10</v>
      </c>
      <c r="W99" s="32" t="n">
        <f>700853480</f>
        <v>7.0085348E8</v>
      </c>
      <c r="X99" s="36" t="n">
        <f>22</f>
        <v>22.0</v>
      </c>
    </row>
    <row r="100">
      <c r="A100" s="27" t="s">
        <v>42</v>
      </c>
      <c r="B100" s="27" t="s">
        <v>346</v>
      </c>
      <c r="C100" s="27" t="s">
        <v>347</v>
      </c>
      <c r="D100" s="27" t="s">
        <v>348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3169</f>
        <v>3169.0</v>
      </c>
      <c r="L100" s="34" t="s">
        <v>48</v>
      </c>
      <c r="M100" s="33" t="n">
        <f>3299</f>
        <v>3299.0</v>
      </c>
      <c r="N100" s="34" t="s">
        <v>49</v>
      </c>
      <c r="O100" s="33" t="n">
        <f>2930</f>
        <v>2930.0</v>
      </c>
      <c r="P100" s="34" t="s">
        <v>67</v>
      </c>
      <c r="Q100" s="33" t="n">
        <f>3076</f>
        <v>3076.0</v>
      </c>
      <c r="R100" s="34" t="s">
        <v>51</v>
      </c>
      <c r="S100" s="35" t="n">
        <f>3112.27</f>
        <v>3112.27</v>
      </c>
      <c r="T100" s="32" t="n">
        <f>125520</f>
        <v>125520.0</v>
      </c>
      <c r="U100" s="32" t="n">
        <f>60</f>
        <v>60.0</v>
      </c>
      <c r="V100" s="32" t="n">
        <f>386772885</f>
        <v>3.86772885E8</v>
      </c>
      <c r="W100" s="32" t="n">
        <f>194100</f>
        <v>194100.0</v>
      </c>
      <c r="X100" s="36" t="n">
        <f>22</f>
        <v>22.0</v>
      </c>
    </row>
    <row r="101">
      <c r="A101" s="27" t="s">
        <v>42</v>
      </c>
      <c r="B101" s="27" t="s">
        <v>349</v>
      </c>
      <c r="C101" s="27" t="s">
        <v>350</v>
      </c>
      <c r="D101" s="27" t="s">
        <v>351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1846</f>
        <v>1846.0</v>
      </c>
      <c r="L101" s="34" t="s">
        <v>48</v>
      </c>
      <c r="M101" s="33" t="n">
        <f>1860</f>
        <v>1860.0</v>
      </c>
      <c r="N101" s="34" t="s">
        <v>71</v>
      </c>
      <c r="O101" s="33" t="n">
        <f>1602</f>
        <v>1602.0</v>
      </c>
      <c r="P101" s="34" t="s">
        <v>67</v>
      </c>
      <c r="Q101" s="33" t="n">
        <f>1724</f>
        <v>1724.0</v>
      </c>
      <c r="R101" s="34" t="s">
        <v>51</v>
      </c>
      <c r="S101" s="35" t="n">
        <f>1735.93</f>
        <v>1735.93</v>
      </c>
      <c r="T101" s="32" t="n">
        <f>168730</f>
        <v>168730.0</v>
      </c>
      <c r="U101" s="32" t="str">
        <f>"－"</f>
        <v>－</v>
      </c>
      <c r="V101" s="32" t="n">
        <f>288451560</f>
        <v>2.8845156E8</v>
      </c>
      <c r="W101" s="32" t="str">
        <f>"－"</f>
        <v>－</v>
      </c>
      <c r="X101" s="36" t="n">
        <f>22</f>
        <v>22.0</v>
      </c>
    </row>
    <row r="102">
      <c r="A102" s="27" t="s">
        <v>42</v>
      </c>
      <c r="B102" s="27" t="s">
        <v>352</v>
      </c>
      <c r="C102" s="27" t="s">
        <v>353</v>
      </c>
      <c r="D102" s="27" t="s">
        <v>354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53340</f>
        <v>53340.0</v>
      </c>
      <c r="L102" s="34" t="s">
        <v>48</v>
      </c>
      <c r="M102" s="33" t="n">
        <f>55400</f>
        <v>55400.0</v>
      </c>
      <c r="N102" s="34" t="s">
        <v>49</v>
      </c>
      <c r="O102" s="33" t="n">
        <f>48500</f>
        <v>48500.0</v>
      </c>
      <c r="P102" s="34" t="s">
        <v>67</v>
      </c>
      <c r="Q102" s="33" t="n">
        <f>51510</f>
        <v>51510.0</v>
      </c>
      <c r="R102" s="34" t="s">
        <v>51</v>
      </c>
      <c r="S102" s="35" t="n">
        <f>52185.45</f>
        <v>52185.45</v>
      </c>
      <c r="T102" s="32" t="n">
        <f>182219</f>
        <v>182219.0</v>
      </c>
      <c r="U102" s="32" t="n">
        <f>27500</f>
        <v>27500.0</v>
      </c>
      <c r="V102" s="32" t="n">
        <f>9446597751</f>
        <v>9.446597751E9</v>
      </c>
      <c r="W102" s="32" t="n">
        <f>1423571611</f>
        <v>1.423571611E9</v>
      </c>
      <c r="X102" s="36" t="n">
        <f>22</f>
        <v>22.0</v>
      </c>
    </row>
    <row r="103">
      <c r="A103" s="27" t="s">
        <v>42</v>
      </c>
      <c r="B103" s="27" t="s">
        <v>355</v>
      </c>
      <c r="C103" s="27" t="s">
        <v>356</v>
      </c>
      <c r="D103" s="27" t="s">
        <v>357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3380</f>
        <v>3380.0</v>
      </c>
      <c r="L103" s="34" t="s">
        <v>48</v>
      </c>
      <c r="M103" s="33" t="n">
        <f>3475</f>
        <v>3475.0</v>
      </c>
      <c r="N103" s="34" t="s">
        <v>86</v>
      </c>
      <c r="O103" s="33" t="n">
        <f>3210</f>
        <v>3210.0</v>
      </c>
      <c r="P103" s="34" t="s">
        <v>67</v>
      </c>
      <c r="Q103" s="33" t="n">
        <f>3385</f>
        <v>3385.0</v>
      </c>
      <c r="R103" s="34" t="s">
        <v>51</v>
      </c>
      <c r="S103" s="35" t="n">
        <f>3368.64</f>
        <v>3368.64</v>
      </c>
      <c r="T103" s="32" t="n">
        <f>9028</f>
        <v>9028.0</v>
      </c>
      <c r="U103" s="32" t="str">
        <f>"－"</f>
        <v>－</v>
      </c>
      <c r="V103" s="32" t="n">
        <f>30248020</f>
        <v>3.024802E7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358</v>
      </c>
      <c r="C104" s="27" t="s">
        <v>359</v>
      </c>
      <c r="D104" s="27" t="s">
        <v>360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4385</f>
        <v>4385.0</v>
      </c>
      <c r="L104" s="34" t="s">
        <v>48</v>
      </c>
      <c r="M104" s="33" t="n">
        <f>4545</f>
        <v>4545.0</v>
      </c>
      <c r="N104" s="34" t="s">
        <v>49</v>
      </c>
      <c r="O104" s="33" t="n">
        <f>4305</f>
        <v>4305.0</v>
      </c>
      <c r="P104" s="34" t="s">
        <v>51</v>
      </c>
      <c r="Q104" s="33" t="n">
        <f>4305</f>
        <v>4305.0</v>
      </c>
      <c r="R104" s="34" t="s">
        <v>51</v>
      </c>
      <c r="S104" s="35" t="n">
        <f>4429.09</f>
        <v>4429.09</v>
      </c>
      <c r="T104" s="32" t="n">
        <f>3534</f>
        <v>3534.0</v>
      </c>
      <c r="U104" s="32" t="str">
        <f>"－"</f>
        <v>－</v>
      </c>
      <c r="V104" s="32" t="n">
        <f>15633675</f>
        <v>1.5633675E7</v>
      </c>
      <c r="W104" s="32" t="str">
        <f>"－"</f>
        <v>－</v>
      </c>
      <c r="X104" s="36" t="n">
        <f>22</f>
        <v>22.0</v>
      </c>
    </row>
    <row r="105">
      <c r="A105" s="27" t="s">
        <v>42</v>
      </c>
      <c r="B105" s="27" t="s">
        <v>361</v>
      </c>
      <c r="C105" s="27" t="s">
        <v>362</v>
      </c>
      <c r="D105" s="27" t="s">
        <v>363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2273</f>
        <v>2273.0</v>
      </c>
      <c r="L105" s="34" t="s">
        <v>48</v>
      </c>
      <c r="M105" s="33" t="n">
        <f>2273</f>
        <v>2273.0</v>
      </c>
      <c r="N105" s="34" t="s">
        <v>48</v>
      </c>
      <c r="O105" s="33" t="n">
        <f>1809</f>
        <v>1809.0</v>
      </c>
      <c r="P105" s="34" t="s">
        <v>50</v>
      </c>
      <c r="Q105" s="33" t="n">
        <f>2173</f>
        <v>2173.0</v>
      </c>
      <c r="R105" s="34" t="s">
        <v>51</v>
      </c>
      <c r="S105" s="35" t="n">
        <f>2083.14</f>
        <v>2083.14</v>
      </c>
      <c r="T105" s="32" t="n">
        <f>1457913</f>
        <v>1457913.0</v>
      </c>
      <c r="U105" s="32" t="n">
        <f>8</f>
        <v>8.0</v>
      </c>
      <c r="V105" s="32" t="n">
        <f>2990195171</f>
        <v>2.990195171E9</v>
      </c>
      <c r="W105" s="32" t="n">
        <f>17544</f>
        <v>17544.0</v>
      </c>
      <c r="X105" s="36" t="n">
        <f>22</f>
        <v>22.0</v>
      </c>
    </row>
    <row r="106">
      <c r="A106" s="27" t="s">
        <v>42</v>
      </c>
      <c r="B106" s="27" t="s">
        <v>364</v>
      </c>
      <c r="C106" s="27" t="s">
        <v>365</v>
      </c>
      <c r="D106" s="27" t="s">
        <v>366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42850</f>
        <v>42850.0</v>
      </c>
      <c r="L106" s="34" t="s">
        <v>48</v>
      </c>
      <c r="M106" s="33" t="n">
        <f>44450</f>
        <v>44450.0</v>
      </c>
      <c r="N106" s="34" t="s">
        <v>129</v>
      </c>
      <c r="O106" s="33" t="n">
        <f>42400</f>
        <v>42400.0</v>
      </c>
      <c r="P106" s="34" t="s">
        <v>67</v>
      </c>
      <c r="Q106" s="33" t="n">
        <f>43560</f>
        <v>43560.0</v>
      </c>
      <c r="R106" s="34" t="s">
        <v>51</v>
      </c>
      <c r="S106" s="35" t="n">
        <f>43520</f>
        <v>43520.0</v>
      </c>
      <c r="T106" s="32" t="n">
        <f>12642</f>
        <v>12642.0</v>
      </c>
      <c r="U106" s="32" t="str">
        <f>"－"</f>
        <v>－</v>
      </c>
      <c r="V106" s="32" t="n">
        <f>551981380</f>
        <v>5.5198138E8</v>
      </c>
      <c r="W106" s="32" t="str">
        <f>"－"</f>
        <v>－</v>
      </c>
      <c r="X106" s="36" t="n">
        <f>22</f>
        <v>22.0</v>
      </c>
    </row>
    <row r="107">
      <c r="A107" s="27" t="s">
        <v>42</v>
      </c>
      <c r="B107" s="27" t="s">
        <v>367</v>
      </c>
      <c r="C107" s="27" t="s">
        <v>368</v>
      </c>
      <c r="D107" s="27" t="s">
        <v>369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23355</f>
        <v>23355.0</v>
      </c>
      <c r="L107" s="34" t="s">
        <v>48</v>
      </c>
      <c r="M107" s="33" t="n">
        <f>24900</f>
        <v>24900.0</v>
      </c>
      <c r="N107" s="34" t="s">
        <v>49</v>
      </c>
      <c r="O107" s="33" t="n">
        <f>20725</f>
        <v>20725.0</v>
      </c>
      <c r="P107" s="34" t="s">
        <v>50</v>
      </c>
      <c r="Q107" s="33" t="n">
        <f>22220</f>
        <v>22220.0</v>
      </c>
      <c r="R107" s="34" t="s">
        <v>51</v>
      </c>
      <c r="S107" s="35" t="n">
        <f>22822.5</f>
        <v>22822.5</v>
      </c>
      <c r="T107" s="32" t="n">
        <f>2888850</f>
        <v>2888850.0</v>
      </c>
      <c r="U107" s="32" t="n">
        <f>1110</f>
        <v>1110.0</v>
      </c>
      <c r="V107" s="32" t="n">
        <f>65751372250</f>
        <v>6.575137225E10</v>
      </c>
      <c r="W107" s="32" t="n">
        <f>23833200</f>
        <v>2.38332E7</v>
      </c>
      <c r="X107" s="36" t="n">
        <f>22</f>
        <v>22.0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2123.5</f>
        <v>2123.5</v>
      </c>
      <c r="L108" s="34" t="s">
        <v>48</v>
      </c>
      <c r="M108" s="33" t="n">
        <f>2241</f>
        <v>2241.0</v>
      </c>
      <c r="N108" s="34" t="s">
        <v>50</v>
      </c>
      <c r="O108" s="33" t="n">
        <f>2052</f>
        <v>2052.0</v>
      </c>
      <c r="P108" s="34" t="s">
        <v>49</v>
      </c>
      <c r="Q108" s="33" t="n">
        <f>2160</f>
        <v>2160.0</v>
      </c>
      <c r="R108" s="34" t="s">
        <v>51</v>
      </c>
      <c r="S108" s="35" t="n">
        <f>2140.93</f>
        <v>2140.93</v>
      </c>
      <c r="T108" s="32" t="n">
        <f>251050</f>
        <v>251050.0</v>
      </c>
      <c r="U108" s="32" t="n">
        <f>23000</f>
        <v>23000.0</v>
      </c>
      <c r="V108" s="32" t="n">
        <f>536826070</f>
        <v>5.3682607E8</v>
      </c>
      <c r="W108" s="32" t="n">
        <f>51037000</f>
        <v>5.1037E7</v>
      </c>
      <c r="X108" s="36" t="n">
        <f>22</f>
        <v>22.0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14005</f>
        <v>14005.0</v>
      </c>
      <c r="L109" s="34" t="s">
        <v>48</v>
      </c>
      <c r="M109" s="33" t="n">
        <f>15140</f>
        <v>15140.0</v>
      </c>
      <c r="N109" s="34" t="s">
        <v>49</v>
      </c>
      <c r="O109" s="33" t="n">
        <f>12185</f>
        <v>12185.0</v>
      </c>
      <c r="P109" s="34" t="s">
        <v>50</v>
      </c>
      <c r="Q109" s="33" t="n">
        <f>13040</f>
        <v>13040.0</v>
      </c>
      <c r="R109" s="34" t="s">
        <v>51</v>
      </c>
      <c r="S109" s="35" t="n">
        <f>13640.23</f>
        <v>13640.23</v>
      </c>
      <c r="T109" s="32" t="n">
        <f>235841167</f>
        <v>2.35841167E8</v>
      </c>
      <c r="U109" s="32" t="n">
        <f>987331</f>
        <v>987331.0</v>
      </c>
      <c r="V109" s="32" t="n">
        <f>3196447464701</f>
        <v>3.196447464701E12</v>
      </c>
      <c r="W109" s="32" t="n">
        <f>13249479396</f>
        <v>1.3249479396E10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1001</f>
        <v>1001.0</v>
      </c>
      <c r="L110" s="34" t="s">
        <v>48</v>
      </c>
      <c r="M110" s="33" t="n">
        <f>1067</f>
        <v>1067.0</v>
      </c>
      <c r="N110" s="34" t="s">
        <v>50</v>
      </c>
      <c r="O110" s="33" t="n">
        <f>961</f>
        <v>961.0</v>
      </c>
      <c r="P110" s="34" t="s">
        <v>49</v>
      </c>
      <c r="Q110" s="33" t="n">
        <f>1028</f>
        <v>1028.0</v>
      </c>
      <c r="R110" s="34" t="s">
        <v>51</v>
      </c>
      <c r="S110" s="35" t="n">
        <f>1010.77</f>
        <v>1010.77</v>
      </c>
      <c r="T110" s="32" t="n">
        <f>93205467</f>
        <v>9.3205467E7</v>
      </c>
      <c r="U110" s="32" t="n">
        <f>8972008</f>
        <v>8972008.0</v>
      </c>
      <c r="V110" s="32" t="n">
        <f>94770938793</f>
        <v>9.4770938793E10</v>
      </c>
      <c r="W110" s="32" t="n">
        <f>9057594549</f>
        <v>9.057594549E9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5975</f>
        <v>5975.0</v>
      </c>
      <c r="L111" s="34" t="s">
        <v>48</v>
      </c>
      <c r="M111" s="33" t="n">
        <f>6998</f>
        <v>6998.0</v>
      </c>
      <c r="N111" s="34" t="s">
        <v>288</v>
      </c>
      <c r="O111" s="33" t="n">
        <f>5561</f>
        <v>5561.0</v>
      </c>
      <c r="P111" s="34" t="s">
        <v>87</v>
      </c>
      <c r="Q111" s="33" t="n">
        <f>6721</f>
        <v>6721.0</v>
      </c>
      <c r="R111" s="34" t="s">
        <v>51</v>
      </c>
      <c r="S111" s="35" t="n">
        <f>6276.77</f>
        <v>6276.77</v>
      </c>
      <c r="T111" s="32" t="n">
        <f>190430</f>
        <v>190430.0</v>
      </c>
      <c r="U111" s="32" t="str">
        <f>"－"</f>
        <v>－</v>
      </c>
      <c r="V111" s="32" t="n">
        <f>1202627400</f>
        <v>1.2026274E9</v>
      </c>
      <c r="W111" s="32" t="str">
        <f>"－"</f>
        <v>－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9889</f>
        <v>9889.0</v>
      </c>
      <c r="L112" s="34" t="s">
        <v>48</v>
      </c>
      <c r="M112" s="33" t="n">
        <f>10630</f>
        <v>10630.0</v>
      </c>
      <c r="N112" s="34" t="s">
        <v>307</v>
      </c>
      <c r="O112" s="33" t="n">
        <f>9600</f>
        <v>9600.0</v>
      </c>
      <c r="P112" s="34" t="s">
        <v>288</v>
      </c>
      <c r="Q112" s="33" t="n">
        <f>9855</f>
        <v>9855.0</v>
      </c>
      <c r="R112" s="34" t="s">
        <v>51</v>
      </c>
      <c r="S112" s="35" t="n">
        <f>10071</f>
        <v>10071.0</v>
      </c>
      <c r="T112" s="32" t="n">
        <f>14950</f>
        <v>14950.0</v>
      </c>
      <c r="U112" s="32" t="str">
        <f>"－"</f>
        <v>－</v>
      </c>
      <c r="V112" s="32" t="n">
        <f>151365650</f>
        <v>1.5136565E8</v>
      </c>
      <c r="W112" s="32" t="str">
        <f>"－"</f>
        <v>－</v>
      </c>
      <c r="X112" s="36" t="n">
        <f>22</f>
        <v>22.0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775</f>
        <v>775.0</v>
      </c>
      <c r="L113" s="34" t="s">
        <v>48</v>
      </c>
      <c r="M113" s="33" t="n">
        <f>860</f>
        <v>860.0</v>
      </c>
      <c r="N113" s="34" t="s">
        <v>86</v>
      </c>
      <c r="O113" s="33" t="n">
        <f>745.1</f>
        <v>745.1</v>
      </c>
      <c r="P113" s="34" t="s">
        <v>71</v>
      </c>
      <c r="Q113" s="33" t="n">
        <f>851.8</f>
        <v>851.8</v>
      </c>
      <c r="R113" s="34" t="s">
        <v>51</v>
      </c>
      <c r="S113" s="35" t="n">
        <f>808.85</f>
        <v>808.85</v>
      </c>
      <c r="T113" s="32" t="n">
        <f>77660</f>
        <v>77660.0</v>
      </c>
      <c r="U113" s="32" t="n">
        <f>50000</f>
        <v>50000.0</v>
      </c>
      <c r="V113" s="32" t="n">
        <f>61162641</f>
        <v>6.1162641E7</v>
      </c>
      <c r="W113" s="32" t="n">
        <f>38454960</f>
        <v>3.845496E7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24125</f>
        <v>24125.0</v>
      </c>
      <c r="L114" s="34" t="s">
        <v>48</v>
      </c>
      <c r="M114" s="33" t="n">
        <f>24900</f>
        <v>24900.0</v>
      </c>
      <c r="N114" s="34" t="s">
        <v>49</v>
      </c>
      <c r="O114" s="33" t="n">
        <f>23615</f>
        <v>23615.0</v>
      </c>
      <c r="P114" s="34" t="s">
        <v>50</v>
      </c>
      <c r="Q114" s="33" t="n">
        <f>24135</f>
        <v>24135.0</v>
      </c>
      <c r="R114" s="34" t="s">
        <v>51</v>
      </c>
      <c r="S114" s="35" t="n">
        <f>24292.5</f>
        <v>24292.5</v>
      </c>
      <c r="T114" s="32" t="n">
        <f>90954</f>
        <v>90954.0</v>
      </c>
      <c r="U114" s="32" t="n">
        <f>49526</f>
        <v>49526.0</v>
      </c>
      <c r="V114" s="32" t="n">
        <f>2202627947</f>
        <v>2.202627947E9</v>
      </c>
      <c r="W114" s="32" t="n">
        <f>1198402777</f>
        <v>1.198402777E9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2196</f>
        <v>2196.0</v>
      </c>
      <c r="L115" s="34" t="s">
        <v>48</v>
      </c>
      <c r="M115" s="33" t="n">
        <f>2272</f>
        <v>2272.0</v>
      </c>
      <c r="N115" s="34" t="s">
        <v>49</v>
      </c>
      <c r="O115" s="33" t="n">
        <f>2048</f>
        <v>2048.0</v>
      </c>
      <c r="P115" s="34" t="s">
        <v>50</v>
      </c>
      <c r="Q115" s="33" t="n">
        <f>2115</f>
        <v>2115.0</v>
      </c>
      <c r="R115" s="34" t="s">
        <v>51</v>
      </c>
      <c r="S115" s="35" t="n">
        <f>2161.95</f>
        <v>2161.95</v>
      </c>
      <c r="T115" s="32" t="n">
        <f>501415</f>
        <v>501415.0</v>
      </c>
      <c r="U115" s="32" t="n">
        <f>462000</f>
        <v>462000.0</v>
      </c>
      <c r="V115" s="32" t="n">
        <f>1085678901</f>
        <v>1.085678901E9</v>
      </c>
      <c r="W115" s="32" t="n">
        <f>1001477400</f>
        <v>1.0014774E9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14985</f>
        <v>14985.0</v>
      </c>
      <c r="L116" s="34" t="s">
        <v>48</v>
      </c>
      <c r="M116" s="33" t="n">
        <f>16205</f>
        <v>16205.0</v>
      </c>
      <c r="N116" s="34" t="s">
        <v>49</v>
      </c>
      <c r="O116" s="33" t="n">
        <f>13045</f>
        <v>13045.0</v>
      </c>
      <c r="P116" s="34" t="s">
        <v>50</v>
      </c>
      <c r="Q116" s="33" t="n">
        <f>13950</f>
        <v>13950.0</v>
      </c>
      <c r="R116" s="34" t="s">
        <v>51</v>
      </c>
      <c r="S116" s="35" t="n">
        <f>14599.77</f>
        <v>14599.77</v>
      </c>
      <c r="T116" s="32" t="n">
        <f>27890330</f>
        <v>2.789033E7</v>
      </c>
      <c r="U116" s="32" t="n">
        <f>80270</f>
        <v>80270.0</v>
      </c>
      <c r="V116" s="32" t="n">
        <f>407994394050</f>
        <v>4.0799439405E11</v>
      </c>
      <c r="W116" s="32" t="n">
        <f>1163272350</f>
        <v>1.16327235E9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2657.5</f>
        <v>2657.5</v>
      </c>
      <c r="L117" s="34" t="s">
        <v>48</v>
      </c>
      <c r="M117" s="33" t="n">
        <f>2833</f>
        <v>2833.0</v>
      </c>
      <c r="N117" s="34" t="s">
        <v>50</v>
      </c>
      <c r="O117" s="33" t="n">
        <f>2552.5</f>
        <v>2552.5</v>
      </c>
      <c r="P117" s="34" t="s">
        <v>49</v>
      </c>
      <c r="Q117" s="33" t="n">
        <f>2734</f>
        <v>2734.0</v>
      </c>
      <c r="R117" s="34" t="s">
        <v>51</v>
      </c>
      <c r="S117" s="35" t="n">
        <f>2685.93</f>
        <v>2685.93</v>
      </c>
      <c r="T117" s="32" t="n">
        <f>4157910</f>
        <v>4157910.0</v>
      </c>
      <c r="U117" s="32" t="n">
        <f>2528000</f>
        <v>2528000.0</v>
      </c>
      <c r="V117" s="32" t="n">
        <f>11244490305</f>
        <v>1.1244490305E10</v>
      </c>
      <c r="W117" s="32" t="n">
        <f>6820303700</f>
        <v>6.8203037E9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892.2</f>
        <v>892.2</v>
      </c>
      <c r="L118" s="34" t="s">
        <v>48</v>
      </c>
      <c r="M118" s="33" t="n">
        <f>990.5</f>
        <v>990.5</v>
      </c>
      <c r="N118" s="34" t="s">
        <v>288</v>
      </c>
      <c r="O118" s="33" t="n">
        <f>850.2</f>
        <v>850.2</v>
      </c>
      <c r="P118" s="34" t="s">
        <v>403</v>
      </c>
      <c r="Q118" s="33" t="n">
        <f>910</f>
        <v>910.0</v>
      </c>
      <c r="R118" s="34" t="s">
        <v>288</v>
      </c>
      <c r="S118" s="35" t="n">
        <f>903.4</f>
        <v>903.4</v>
      </c>
      <c r="T118" s="32" t="n">
        <f>2450</f>
        <v>2450.0</v>
      </c>
      <c r="U118" s="32" t="str">
        <f>"－"</f>
        <v>－</v>
      </c>
      <c r="V118" s="32" t="n">
        <f>2267841</f>
        <v>2267841.0</v>
      </c>
      <c r="W118" s="32" t="str">
        <f>"－"</f>
        <v>－</v>
      </c>
      <c r="X118" s="36" t="n">
        <f>16</f>
        <v>16.0</v>
      </c>
    </row>
    <row r="119">
      <c r="A119" s="27" t="s">
        <v>42</v>
      </c>
      <c r="B119" s="27" t="s">
        <v>404</v>
      </c>
      <c r="C119" s="27" t="s">
        <v>405</v>
      </c>
      <c r="D119" s="27" t="s">
        <v>406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1540</f>
        <v>1540.0</v>
      </c>
      <c r="L119" s="34" t="s">
        <v>48</v>
      </c>
      <c r="M119" s="33" t="n">
        <f>1545</f>
        <v>1545.0</v>
      </c>
      <c r="N119" s="34" t="s">
        <v>71</v>
      </c>
      <c r="O119" s="33" t="n">
        <f>1460</f>
        <v>1460.0</v>
      </c>
      <c r="P119" s="34" t="s">
        <v>407</v>
      </c>
      <c r="Q119" s="33" t="n">
        <f>1488</f>
        <v>1488.0</v>
      </c>
      <c r="R119" s="34" t="s">
        <v>51</v>
      </c>
      <c r="S119" s="35" t="n">
        <f>1506.4</f>
        <v>1506.4</v>
      </c>
      <c r="T119" s="32" t="n">
        <f>220230</f>
        <v>220230.0</v>
      </c>
      <c r="U119" s="32" t="n">
        <f>199910</f>
        <v>199910.0</v>
      </c>
      <c r="V119" s="32" t="n">
        <f>331810583</f>
        <v>3.31810583E8</v>
      </c>
      <c r="W119" s="32" t="n">
        <f>300547583</f>
        <v>3.00547583E8</v>
      </c>
      <c r="X119" s="36" t="n">
        <f>10</f>
        <v>10.0</v>
      </c>
    </row>
    <row r="120">
      <c r="A120" s="27" t="s">
        <v>42</v>
      </c>
      <c r="B120" s="27" t="s">
        <v>408</v>
      </c>
      <c r="C120" s="27" t="s">
        <v>409</v>
      </c>
      <c r="D120" s="27" t="s">
        <v>410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1642</f>
        <v>1642.0</v>
      </c>
      <c r="L120" s="34" t="s">
        <v>48</v>
      </c>
      <c r="M120" s="33" t="n">
        <f>1686</f>
        <v>1686.0</v>
      </c>
      <c r="N120" s="34" t="s">
        <v>103</v>
      </c>
      <c r="O120" s="33" t="n">
        <f>1557</f>
        <v>1557.0</v>
      </c>
      <c r="P120" s="34" t="s">
        <v>50</v>
      </c>
      <c r="Q120" s="33" t="n">
        <f>1613</f>
        <v>1613.0</v>
      </c>
      <c r="R120" s="34" t="s">
        <v>51</v>
      </c>
      <c r="S120" s="35" t="n">
        <f>1632.23</f>
        <v>1632.23</v>
      </c>
      <c r="T120" s="32" t="n">
        <f>7995</f>
        <v>7995.0</v>
      </c>
      <c r="U120" s="32" t="str">
        <f>"－"</f>
        <v>－</v>
      </c>
      <c r="V120" s="32" t="n">
        <f>12954667</f>
        <v>1.2954667E7</v>
      </c>
      <c r="W120" s="32" t="str">
        <f>"－"</f>
        <v>－</v>
      </c>
      <c r="X120" s="36" t="n">
        <f>22</f>
        <v>22.0</v>
      </c>
    </row>
    <row r="121">
      <c r="A121" s="27" t="s">
        <v>42</v>
      </c>
      <c r="B121" s="27" t="s">
        <v>411</v>
      </c>
      <c r="C121" s="27" t="s">
        <v>412</v>
      </c>
      <c r="D121" s="27" t="s">
        <v>413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17295</f>
        <v>17295.0</v>
      </c>
      <c r="L121" s="34" t="s">
        <v>48</v>
      </c>
      <c r="M121" s="33" t="n">
        <f>17870</f>
        <v>17870.0</v>
      </c>
      <c r="N121" s="34" t="s">
        <v>49</v>
      </c>
      <c r="O121" s="33" t="n">
        <f>16300</f>
        <v>16300.0</v>
      </c>
      <c r="P121" s="34" t="s">
        <v>50</v>
      </c>
      <c r="Q121" s="33" t="n">
        <f>16860</f>
        <v>16860.0</v>
      </c>
      <c r="R121" s="34" t="s">
        <v>51</v>
      </c>
      <c r="S121" s="35" t="n">
        <f>17107.5</f>
        <v>17107.5</v>
      </c>
      <c r="T121" s="32" t="n">
        <f>38708</f>
        <v>38708.0</v>
      </c>
      <c r="U121" s="32" t="n">
        <f>12002</f>
        <v>12002.0</v>
      </c>
      <c r="V121" s="32" t="n">
        <f>667694440</f>
        <v>6.6769444E8</v>
      </c>
      <c r="W121" s="32" t="n">
        <f>208571130</f>
        <v>2.0857113E8</v>
      </c>
      <c r="X121" s="36" t="n">
        <f>22</f>
        <v>22.0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1605</f>
        <v>1605.0</v>
      </c>
      <c r="L122" s="34" t="s">
        <v>48</v>
      </c>
      <c r="M122" s="33" t="n">
        <f>1650</f>
        <v>1650.0</v>
      </c>
      <c r="N122" s="34" t="s">
        <v>99</v>
      </c>
      <c r="O122" s="33" t="n">
        <f>1511</f>
        <v>1511.0</v>
      </c>
      <c r="P122" s="34" t="s">
        <v>50</v>
      </c>
      <c r="Q122" s="33" t="n">
        <f>1559</f>
        <v>1559.0</v>
      </c>
      <c r="R122" s="34" t="s">
        <v>51</v>
      </c>
      <c r="S122" s="35" t="n">
        <f>1581.86</f>
        <v>1581.86</v>
      </c>
      <c r="T122" s="32" t="n">
        <f>231376</f>
        <v>231376.0</v>
      </c>
      <c r="U122" s="32" t="n">
        <f>24765</f>
        <v>24765.0</v>
      </c>
      <c r="V122" s="32" t="n">
        <f>366499873</f>
        <v>3.66499873E8</v>
      </c>
      <c r="W122" s="32" t="n">
        <f>39804246</f>
        <v>3.9804246E7</v>
      </c>
      <c r="X122" s="36" t="n">
        <f>22</f>
        <v>22.0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17830</f>
        <v>17830.0</v>
      </c>
      <c r="L123" s="34" t="s">
        <v>48</v>
      </c>
      <c r="M123" s="33" t="n">
        <f>18450</f>
        <v>18450.0</v>
      </c>
      <c r="N123" s="34" t="s">
        <v>129</v>
      </c>
      <c r="O123" s="33" t="n">
        <f>16830</f>
        <v>16830.0</v>
      </c>
      <c r="P123" s="34" t="s">
        <v>50</v>
      </c>
      <c r="Q123" s="33" t="n">
        <f>17400</f>
        <v>17400.0</v>
      </c>
      <c r="R123" s="34" t="s">
        <v>51</v>
      </c>
      <c r="S123" s="35" t="n">
        <f>17694.32</f>
        <v>17694.32</v>
      </c>
      <c r="T123" s="32" t="n">
        <f>20754</f>
        <v>20754.0</v>
      </c>
      <c r="U123" s="32" t="n">
        <f>576</f>
        <v>576.0</v>
      </c>
      <c r="V123" s="32" t="n">
        <f>364592490</f>
        <v>3.6459249E8</v>
      </c>
      <c r="W123" s="32" t="n">
        <f>9963820</f>
        <v>9963820.0</v>
      </c>
      <c r="X123" s="36" t="n">
        <f>22</f>
        <v>22.0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2041</f>
        <v>2041.0</v>
      </c>
      <c r="L124" s="34" t="s">
        <v>48</v>
      </c>
      <c r="M124" s="33" t="n">
        <f>2062.5</f>
        <v>2062.5</v>
      </c>
      <c r="N124" s="34" t="s">
        <v>129</v>
      </c>
      <c r="O124" s="33" t="n">
        <f>1915</f>
        <v>1915.0</v>
      </c>
      <c r="P124" s="34" t="s">
        <v>116</v>
      </c>
      <c r="Q124" s="33" t="n">
        <f>2007.5</f>
        <v>2007.5</v>
      </c>
      <c r="R124" s="34" t="s">
        <v>51</v>
      </c>
      <c r="S124" s="35" t="n">
        <f>1997.68</f>
        <v>1997.68</v>
      </c>
      <c r="T124" s="32" t="n">
        <f>2656010</f>
        <v>2656010.0</v>
      </c>
      <c r="U124" s="32" t="n">
        <f>904840</f>
        <v>904840.0</v>
      </c>
      <c r="V124" s="32" t="n">
        <f>5370120071</f>
        <v>5.370120071E9</v>
      </c>
      <c r="W124" s="32" t="n">
        <f>1847725876</f>
        <v>1.847725876E9</v>
      </c>
      <c r="X124" s="36" t="n">
        <f>22</f>
        <v>22.0</v>
      </c>
    </row>
    <row r="125">
      <c r="A125" s="27" t="s">
        <v>42</v>
      </c>
      <c r="B125" s="27" t="s">
        <v>423</v>
      </c>
      <c r="C125" s="27" t="s">
        <v>424</v>
      </c>
      <c r="D125" s="27" t="s">
        <v>425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str">
        <f>"－"</f>
        <v>－</v>
      </c>
      <c r="L125" s="34"/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5" t="str">
        <f>"－"</f>
        <v>－</v>
      </c>
      <c r="T125" s="32" t="str">
        <f>"－"</f>
        <v>－</v>
      </c>
      <c r="U125" s="32" t="str">
        <f>"－"</f>
        <v>－</v>
      </c>
      <c r="V125" s="32" t="str">
        <f>"－"</f>
        <v>－</v>
      </c>
      <c r="W125" s="32" t="str">
        <f>"－"</f>
        <v>－</v>
      </c>
      <c r="X125" s="36" t="str">
        <f>"－"</f>
        <v>－</v>
      </c>
    </row>
    <row r="126">
      <c r="A126" s="27" t="s">
        <v>42</v>
      </c>
      <c r="B126" s="27" t="s">
        <v>426</v>
      </c>
      <c r="C126" s="27" t="s">
        <v>427</v>
      </c>
      <c r="D126" s="27" t="s">
        <v>428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2058.5</f>
        <v>2058.5</v>
      </c>
      <c r="L126" s="34" t="s">
        <v>48</v>
      </c>
      <c r="M126" s="33" t="n">
        <f>2073.5</f>
        <v>2073.5</v>
      </c>
      <c r="N126" s="34" t="s">
        <v>71</v>
      </c>
      <c r="O126" s="33" t="n">
        <f>1918.5</f>
        <v>1918.5</v>
      </c>
      <c r="P126" s="34" t="s">
        <v>116</v>
      </c>
      <c r="Q126" s="33" t="n">
        <f>2016.5</f>
        <v>2016.5</v>
      </c>
      <c r="R126" s="34" t="s">
        <v>51</v>
      </c>
      <c r="S126" s="35" t="n">
        <f>2006.18</f>
        <v>2006.18</v>
      </c>
      <c r="T126" s="32" t="n">
        <f>2223190</f>
        <v>2223190.0</v>
      </c>
      <c r="U126" s="32" t="n">
        <f>539950</f>
        <v>539950.0</v>
      </c>
      <c r="V126" s="32" t="n">
        <f>4520005240</f>
        <v>4.52000524E9</v>
      </c>
      <c r="W126" s="32" t="n">
        <f>1105823500</f>
        <v>1.1058235E9</v>
      </c>
      <c r="X126" s="36" t="n">
        <f>22</f>
        <v>22.0</v>
      </c>
    </row>
    <row r="127">
      <c r="A127" s="27" t="s">
        <v>42</v>
      </c>
      <c r="B127" s="27" t="s">
        <v>429</v>
      </c>
      <c r="C127" s="27" t="s">
        <v>430</v>
      </c>
      <c r="D127" s="27" t="s">
        <v>431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17640</f>
        <v>17640.0</v>
      </c>
      <c r="L127" s="34" t="s">
        <v>48</v>
      </c>
      <c r="M127" s="33" t="n">
        <f>18175</f>
        <v>18175.0</v>
      </c>
      <c r="N127" s="34" t="s">
        <v>49</v>
      </c>
      <c r="O127" s="33" t="n">
        <f>16750</f>
        <v>16750.0</v>
      </c>
      <c r="P127" s="34" t="s">
        <v>67</v>
      </c>
      <c r="Q127" s="33" t="n">
        <f>17285</f>
        <v>17285.0</v>
      </c>
      <c r="R127" s="34" t="s">
        <v>51</v>
      </c>
      <c r="S127" s="35" t="n">
        <f>17565.88</f>
        <v>17565.88</v>
      </c>
      <c r="T127" s="32" t="n">
        <f>30048</f>
        <v>30048.0</v>
      </c>
      <c r="U127" s="32" t="n">
        <f>29435</f>
        <v>29435.0</v>
      </c>
      <c r="V127" s="32" t="n">
        <f>514954421</f>
        <v>5.14954421E8</v>
      </c>
      <c r="W127" s="32" t="n">
        <f>504287361</f>
        <v>5.04287361E8</v>
      </c>
      <c r="X127" s="36" t="n">
        <f>17</f>
        <v>17.0</v>
      </c>
    </row>
    <row r="128">
      <c r="A128" s="27" t="s">
        <v>42</v>
      </c>
      <c r="B128" s="27" t="s">
        <v>432</v>
      </c>
      <c r="C128" s="27" t="s">
        <v>433</v>
      </c>
      <c r="D128" s="27" t="s">
        <v>434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100.0</v>
      </c>
      <c r="K128" s="33" t="n">
        <f>165.8</f>
        <v>165.8</v>
      </c>
      <c r="L128" s="34" t="s">
        <v>48</v>
      </c>
      <c r="M128" s="33" t="n">
        <f>172</f>
        <v>172.0</v>
      </c>
      <c r="N128" s="34" t="s">
        <v>407</v>
      </c>
      <c r="O128" s="33" t="n">
        <f>165.5</f>
        <v>165.5</v>
      </c>
      <c r="P128" s="34" t="s">
        <v>103</v>
      </c>
      <c r="Q128" s="33" t="n">
        <f>168.9</f>
        <v>168.9</v>
      </c>
      <c r="R128" s="34" t="s">
        <v>51</v>
      </c>
      <c r="S128" s="35" t="n">
        <f>168.74</f>
        <v>168.74</v>
      </c>
      <c r="T128" s="32" t="n">
        <f>20232300</f>
        <v>2.02323E7</v>
      </c>
      <c r="U128" s="32" t="n">
        <f>3600</f>
        <v>3600.0</v>
      </c>
      <c r="V128" s="32" t="n">
        <f>3409307540</f>
        <v>3.40930754E9</v>
      </c>
      <c r="W128" s="32" t="n">
        <f>593290</f>
        <v>593290.0</v>
      </c>
      <c r="X128" s="36" t="n">
        <f>22</f>
        <v>22.0</v>
      </c>
    </row>
    <row r="129">
      <c r="A129" s="27" t="s">
        <v>42</v>
      </c>
      <c r="B129" s="27" t="s">
        <v>435</v>
      </c>
      <c r="C129" s="27" t="s">
        <v>436</v>
      </c>
      <c r="D129" s="27" t="s">
        <v>437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27170</f>
        <v>27170.0</v>
      </c>
      <c r="L129" s="34" t="s">
        <v>48</v>
      </c>
      <c r="M129" s="33" t="n">
        <f>29105</f>
        <v>29105.0</v>
      </c>
      <c r="N129" s="34" t="s">
        <v>51</v>
      </c>
      <c r="O129" s="33" t="n">
        <f>27090</f>
        <v>27090.0</v>
      </c>
      <c r="P129" s="34" t="s">
        <v>116</v>
      </c>
      <c r="Q129" s="33" t="n">
        <f>28860</f>
        <v>28860.0</v>
      </c>
      <c r="R129" s="34" t="s">
        <v>51</v>
      </c>
      <c r="S129" s="35" t="n">
        <f>27834.32</f>
        <v>27834.32</v>
      </c>
      <c r="T129" s="32" t="n">
        <f>1746</f>
        <v>1746.0</v>
      </c>
      <c r="U129" s="32" t="str">
        <f>"－"</f>
        <v>－</v>
      </c>
      <c r="V129" s="32" t="n">
        <f>48414175</f>
        <v>4.8414175E7</v>
      </c>
      <c r="W129" s="32" t="str">
        <f>"－"</f>
        <v>－</v>
      </c>
      <c r="X129" s="36" t="n">
        <f>22</f>
        <v>22.0</v>
      </c>
    </row>
    <row r="130">
      <c r="A130" s="27" t="s">
        <v>42</v>
      </c>
      <c r="B130" s="27" t="s">
        <v>438</v>
      </c>
      <c r="C130" s="27" t="s">
        <v>439</v>
      </c>
      <c r="D130" s="27" t="s">
        <v>440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14850</f>
        <v>14850.0</v>
      </c>
      <c r="L130" s="34" t="s">
        <v>48</v>
      </c>
      <c r="M130" s="33" t="n">
        <f>16460</f>
        <v>16460.0</v>
      </c>
      <c r="N130" s="34" t="s">
        <v>49</v>
      </c>
      <c r="O130" s="33" t="n">
        <f>13450</f>
        <v>13450.0</v>
      </c>
      <c r="P130" s="34" t="s">
        <v>323</v>
      </c>
      <c r="Q130" s="33" t="n">
        <f>14080</f>
        <v>14080.0</v>
      </c>
      <c r="R130" s="34" t="s">
        <v>51</v>
      </c>
      <c r="S130" s="35" t="n">
        <f>14852.95</f>
        <v>14852.95</v>
      </c>
      <c r="T130" s="32" t="n">
        <f>38708</f>
        <v>38708.0</v>
      </c>
      <c r="U130" s="32" t="n">
        <f>2</f>
        <v>2.0</v>
      </c>
      <c r="V130" s="32" t="n">
        <f>571562365</f>
        <v>5.71562365E8</v>
      </c>
      <c r="W130" s="32" t="n">
        <f>26600</f>
        <v>26600.0</v>
      </c>
      <c r="X130" s="36" t="n">
        <f>22</f>
        <v>22.0</v>
      </c>
    </row>
    <row r="131">
      <c r="A131" s="27" t="s">
        <v>42</v>
      </c>
      <c r="B131" s="27" t="s">
        <v>441</v>
      </c>
      <c r="C131" s="27" t="s">
        <v>442</v>
      </c>
      <c r="D131" s="27" t="s">
        <v>443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21000</f>
        <v>21000.0</v>
      </c>
      <c r="L131" s="34" t="s">
        <v>48</v>
      </c>
      <c r="M131" s="33" t="n">
        <f>21795</f>
        <v>21795.0</v>
      </c>
      <c r="N131" s="34" t="s">
        <v>99</v>
      </c>
      <c r="O131" s="33" t="n">
        <f>20515</f>
        <v>20515.0</v>
      </c>
      <c r="P131" s="34" t="s">
        <v>50</v>
      </c>
      <c r="Q131" s="33" t="n">
        <f>21440</f>
        <v>21440.0</v>
      </c>
      <c r="R131" s="34" t="s">
        <v>51</v>
      </c>
      <c r="S131" s="35" t="n">
        <f>21251.36</f>
        <v>21251.36</v>
      </c>
      <c r="T131" s="32" t="n">
        <f>663</f>
        <v>663.0</v>
      </c>
      <c r="U131" s="32" t="str">
        <f>"－"</f>
        <v>－</v>
      </c>
      <c r="V131" s="32" t="n">
        <f>14165385</f>
        <v>1.4165385E7</v>
      </c>
      <c r="W131" s="32" t="str">
        <f>"－"</f>
        <v>－</v>
      </c>
      <c r="X131" s="36" t="n">
        <f>22</f>
        <v>22.0</v>
      </c>
    </row>
    <row r="132">
      <c r="A132" s="27" t="s">
        <v>42</v>
      </c>
      <c r="B132" s="27" t="s">
        <v>444</v>
      </c>
      <c r="C132" s="27" t="s">
        <v>445</v>
      </c>
      <c r="D132" s="27" t="s">
        <v>446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24740</f>
        <v>24740.0</v>
      </c>
      <c r="L132" s="34" t="s">
        <v>48</v>
      </c>
      <c r="M132" s="33" t="n">
        <f>25595</f>
        <v>25595.0</v>
      </c>
      <c r="N132" s="34" t="s">
        <v>99</v>
      </c>
      <c r="O132" s="33" t="n">
        <f>23260</f>
        <v>23260.0</v>
      </c>
      <c r="P132" s="34" t="s">
        <v>50</v>
      </c>
      <c r="Q132" s="33" t="n">
        <f>24110</f>
        <v>24110.0</v>
      </c>
      <c r="R132" s="34" t="s">
        <v>51</v>
      </c>
      <c r="S132" s="35" t="n">
        <f>24500.23</f>
        <v>24500.23</v>
      </c>
      <c r="T132" s="32" t="n">
        <f>2334</f>
        <v>2334.0</v>
      </c>
      <c r="U132" s="32" t="str">
        <f>"－"</f>
        <v>－</v>
      </c>
      <c r="V132" s="32" t="n">
        <f>56101230</f>
        <v>5.610123E7</v>
      </c>
      <c r="W132" s="32" t="str">
        <f>"－"</f>
        <v>－</v>
      </c>
      <c r="X132" s="36" t="n">
        <f>22</f>
        <v>22.0</v>
      </c>
    </row>
    <row r="133">
      <c r="A133" s="27" t="s">
        <v>42</v>
      </c>
      <c r="B133" s="27" t="s">
        <v>447</v>
      </c>
      <c r="C133" s="27" t="s">
        <v>448</v>
      </c>
      <c r="D133" s="27" t="s">
        <v>449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23495</f>
        <v>23495.0</v>
      </c>
      <c r="L133" s="34" t="s">
        <v>48</v>
      </c>
      <c r="M133" s="33" t="n">
        <f>24380</f>
        <v>24380.0</v>
      </c>
      <c r="N133" s="34" t="s">
        <v>51</v>
      </c>
      <c r="O133" s="33" t="n">
        <f>22050</f>
        <v>22050.0</v>
      </c>
      <c r="P133" s="34" t="s">
        <v>67</v>
      </c>
      <c r="Q133" s="33" t="n">
        <f>24150</f>
        <v>24150.0</v>
      </c>
      <c r="R133" s="34" t="s">
        <v>51</v>
      </c>
      <c r="S133" s="35" t="n">
        <f>23229.09</f>
        <v>23229.09</v>
      </c>
      <c r="T133" s="32" t="n">
        <f>4593</f>
        <v>4593.0</v>
      </c>
      <c r="U133" s="32" t="str">
        <f>"－"</f>
        <v>－</v>
      </c>
      <c r="V133" s="32" t="n">
        <f>107434135</f>
        <v>1.07434135E8</v>
      </c>
      <c r="W133" s="32" t="str">
        <f>"－"</f>
        <v>－</v>
      </c>
      <c r="X133" s="36" t="n">
        <f>22</f>
        <v>22.0</v>
      </c>
    </row>
    <row r="134">
      <c r="A134" s="27" t="s">
        <v>42</v>
      </c>
      <c r="B134" s="27" t="s">
        <v>450</v>
      </c>
      <c r="C134" s="27" t="s">
        <v>451</v>
      </c>
      <c r="D134" s="27" t="s">
        <v>452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23865</f>
        <v>23865.0</v>
      </c>
      <c r="L134" s="34" t="s">
        <v>48</v>
      </c>
      <c r="M134" s="33" t="n">
        <f>25330</f>
        <v>25330.0</v>
      </c>
      <c r="N134" s="34" t="s">
        <v>49</v>
      </c>
      <c r="O134" s="33" t="n">
        <f>23075</f>
        <v>23075.0</v>
      </c>
      <c r="P134" s="34" t="s">
        <v>67</v>
      </c>
      <c r="Q134" s="33" t="n">
        <f>23725</f>
        <v>23725.0</v>
      </c>
      <c r="R134" s="34" t="s">
        <v>51</v>
      </c>
      <c r="S134" s="35" t="n">
        <f>24158.18</f>
        <v>24158.18</v>
      </c>
      <c r="T134" s="32" t="n">
        <f>6131</f>
        <v>6131.0</v>
      </c>
      <c r="U134" s="32" t="str">
        <f>"－"</f>
        <v>－</v>
      </c>
      <c r="V134" s="32" t="n">
        <f>148476400</f>
        <v>1.484764E8</v>
      </c>
      <c r="W134" s="32" t="str">
        <f>"－"</f>
        <v>－</v>
      </c>
      <c r="X134" s="36" t="n">
        <f>22</f>
        <v>22.0</v>
      </c>
    </row>
    <row r="135">
      <c r="A135" s="27" t="s">
        <v>42</v>
      </c>
      <c r="B135" s="27" t="s">
        <v>453</v>
      </c>
      <c r="C135" s="27" t="s">
        <v>454</v>
      </c>
      <c r="D135" s="27" t="s">
        <v>455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17725</f>
        <v>17725.0</v>
      </c>
      <c r="L135" s="34" t="s">
        <v>48</v>
      </c>
      <c r="M135" s="33" t="n">
        <f>18400</f>
        <v>18400.0</v>
      </c>
      <c r="N135" s="34" t="s">
        <v>99</v>
      </c>
      <c r="O135" s="33" t="n">
        <f>15960</f>
        <v>15960.0</v>
      </c>
      <c r="P135" s="34" t="s">
        <v>323</v>
      </c>
      <c r="Q135" s="33" t="n">
        <f>16320</f>
        <v>16320.0</v>
      </c>
      <c r="R135" s="34" t="s">
        <v>51</v>
      </c>
      <c r="S135" s="35" t="n">
        <f>17158.86</f>
        <v>17158.86</v>
      </c>
      <c r="T135" s="32" t="n">
        <f>7001</f>
        <v>7001.0</v>
      </c>
      <c r="U135" s="32" t="n">
        <f>3001</f>
        <v>3001.0</v>
      </c>
      <c r="V135" s="32" t="n">
        <f>120774695</f>
        <v>1.20774695E8</v>
      </c>
      <c r="W135" s="32" t="n">
        <f>51627235</f>
        <v>5.1627235E7</v>
      </c>
      <c r="X135" s="36" t="n">
        <f>22</f>
        <v>22.0</v>
      </c>
    </row>
    <row r="136">
      <c r="A136" s="27" t="s">
        <v>42</v>
      </c>
      <c r="B136" s="27" t="s">
        <v>456</v>
      </c>
      <c r="C136" s="27" t="s">
        <v>457</v>
      </c>
      <c r="D136" s="27" t="s">
        <v>458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39240</f>
        <v>39240.0</v>
      </c>
      <c r="L136" s="34" t="s">
        <v>48</v>
      </c>
      <c r="M136" s="33" t="n">
        <f>42050</f>
        <v>42050.0</v>
      </c>
      <c r="N136" s="34" t="s">
        <v>49</v>
      </c>
      <c r="O136" s="33" t="n">
        <f>36350</f>
        <v>36350.0</v>
      </c>
      <c r="P136" s="34" t="s">
        <v>50</v>
      </c>
      <c r="Q136" s="33" t="n">
        <f>37660</f>
        <v>37660.0</v>
      </c>
      <c r="R136" s="34" t="s">
        <v>51</v>
      </c>
      <c r="S136" s="35" t="n">
        <f>38992.27</f>
        <v>38992.27</v>
      </c>
      <c r="T136" s="32" t="n">
        <f>9278</f>
        <v>9278.0</v>
      </c>
      <c r="U136" s="32" t="str">
        <f>"－"</f>
        <v>－</v>
      </c>
      <c r="V136" s="32" t="n">
        <f>384872720</f>
        <v>3.8487272E8</v>
      </c>
      <c r="W136" s="32" t="str">
        <f>"－"</f>
        <v>－</v>
      </c>
      <c r="X136" s="36" t="n">
        <f>22</f>
        <v>22.0</v>
      </c>
    </row>
    <row r="137">
      <c r="A137" s="27" t="s">
        <v>42</v>
      </c>
      <c r="B137" s="27" t="s">
        <v>459</v>
      </c>
      <c r="C137" s="27" t="s">
        <v>460</v>
      </c>
      <c r="D137" s="27" t="s">
        <v>461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28065</f>
        <v>28065.0</v>
      </c>
      <c r="L137" s="34" t="s">
        <v>48</v>
      </c>
      <c r="M137" s="33" t="n">
        <f>28850</f>
        <v>28850.0</v>
      </c>
      <c r="N137" s="34" t="s">
        <v>99</v>
      </c>
      <c r="O137" s="33" t="n">
        <f>25430</f>
        <v>25430.0</v>
      </c>
      <c r="P137" s="34" t="s">
        <v>50</v>
      </c>
      <c r="Q137" s="33" t="n">
        <f>25890</f>
        <v>25890.0</v>
      </c>
      <c r="R137" s="34" t="s">
        <v>51</v>
      </c>
      <c r="S137" s="35" t="n">
        <f>27124.55</f>
        <v>27124.55</v>
      </c>
      <c r="T137" s="32" t="n">
        <f>3139</f>
        <v>3139.0</v>
      </c>
      <c r="U137" s="32" t="str">
        <f>"－"</f>
        <v>－</v>
      </c>
      <c r="V137" s="32" t="n">
        <f>84581775</f>
        <v>8.4581775E7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462</v>
      </c>
      <c r="C138" s="27" t="s">
        <v>463</v>
      </c>
      <c r="D138" s="27" t="s">
        <v>464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28330</f>
        <v>28330.0</v>
      </c>
      <c r="L138" s="34" t="s">
        <v>48</v>
      </c>
      <c r="M138" s="33" t="n">
        <f>28600</f>
        <v>28600.0</v>
      </c>
      <c r="N138" s="34" t="s">
        <v>49</v>
      </c>
      <c r="O138" s="33" t="n">
        <f>26180</f>
        <v>26180.0</v>
      </c>
      <c r="P138" s="34" t="s">
        <v>67</v>
      </c>
      <c r="Q138" s="33" t="n">
        <f>27440</f>
        <v>27440.0</v>
      </c>
      <c r="R138" s="34" t="s">
        <v>51</v>
      </c>
      <c r="S138" s="35" t="n">
        <f>27520.68</f>
        <v>27520.68</v>
      </c>
      <c r="T138" s="32" t="n">
        <f>2213</f>
        <v>2213.0</v>
      </c>
      <c r="U138" s="32" t="str">
        <f>"－"</f>
        <v>－</v>
      </c>
      <c r="V138" s="32" t="n">
        <f>59836575</f>
        <v>5.9836575E7</v>
      </c>
      <c r="W138" s="32" t="str">
        <f>"－"</f>
        <v>－</v>
      </c>
      <c r="X138" s="36" t="n">
        <f>22</f>
        <v>22.0</v>
      </c>
    </row>
    <row r="139">
      <c r="A139" s="27" t="s">
        <v>42</v>
      </c>
      <c r="B139" s="27" t="s">
        <v>465</v>
      </c>
      <c r="C139" s="27" t="s">
        <v>466</v>
      </c>
      <c r="D139" s="27" t="s">
        <v>467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6275</f>
        <v>6275.0</v>
      </c>
      <c r="L139" s="34" t="s">
        <v>48</v>
      </c>
      <c r="M139" s="33" t="n">
        <f>6847</f>
        <v>6847.0</v>
      </c>
      <c r="N139" s="34" t="s">
        <v>51</v>
      </c>
      <c r="O139" s="33" t="n">
        <f>6200</f>
        <v>6200.0</v>
      </c>
      <c r="P139" s="34" t="s">
        <v>50</v>
      </c>
      <c r="Q139" s="33" t="n">
        <f>6800</f>
        <v>6800.0</v>
      </c>
      <c r="R139" s="34" t="s">
        <v>51</v>
      </c>
      <c r="S139" s="35" t="n">
        <f>6437.95</f>
        <v>6437.95</v>
      </c>
      <c r="T139" s="32" t="n">
        <f>29414</f>
        <v>29414.0</v>
      </c>
      <c r="U139" s="32" t="n">
        <f>2</f>
        <v>2.0</v>
      </c>
      <c r="V139" s="32" t="n">
        <f>190932332</f>
        <v>1.90932332E8</v>
      </c>
      <c r="W139" s="32" t="n">
        <f>12794</f>
        <v>12794.0</v>
      </c>
      <c r="X139" s="36" t="n">
        <f>22</f>
        <v>22.0</v>
      </c>
    </row>
    <row r="140">
      <c r="A140" s="27" t="s">
        <v>42</v>
      </c>
      <c r="B140" s="27" t="s">
        <v>468</v>
      </c>
      <c r="C140" s="27" t="s">
        <v>469</v>
      </c>
      <c r="D140" s="27" t="s">
        <v>470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15355</f>
        <v>15355.0</v>
      </c>
      <c r="L140" s="34" t="s">
        <v>48</v>
      </c>
      <c r="M140" s="33" t="n">
        <f>15950</f>
        <v>15950.0</v>
      </c>
      <c r="N140" s="34" t="s">
        <v>99</v>
      </c>
      <c r="O140" s="33" t="n">
        <f>14775</f>
        <v>14775.0</v>
      </c>
      <c r="P140" s="34" t="s">
        <v>67</v>
      </c>
      <c r="Q140" s="33" t="n">
        <f>15450</f>
        <v>15450.0</v>
      </c>
      <c r="R140" s="34" t="s">
        <v>51</v>
      </c>
      <c r="S140" s="35" t="n">
        <f>15413.41</f>
        <v>15413.41</v>
      </c>
      <c r="T140" s="32" t="n">
        <f>17774</f>
        <v>17774.0</v>
      </c>
      <c r="U140" s="32" t="n">
        <f>6000</f>
        <v>6000.0</v>
      </c>
      <c r="V140" s="32" t="n">
        <f>276624240</f>
        <v>2.7662424E8</v>
      </c>
      <c r="W140" s="32" t="n">
        <f>94962000</f>
        <v>9.4962E7</v>
      </c>
      <c r="X140" s="36" t="n">
        <f>22</f>
        <v>22.0</v>
      </c>
    </row>
    <row r="141">
      <c r="A141" s="27" t="s">
        <v>42</v>
      </c>
      <c r="B141" s="27" t="s">
        <v>471</v>
      </c>
      <c r="C141" s="27" t="s">
        <v>472</v>
      </c>
      <c r="D141" s="27" t="s">
        <v>473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45640</f>
        <v>45640.0</v>
      </c>
      <c r="L141" s="34" t="s">
        <v>48</v>
      </c>
      <c r="M141" s="33" t="n">
        <f>48570</f>
        <v>48570.0</v>
      </c>
      <c r="N141" s="34" t="s">
        <v>49</v>
      </c>
      <c r="O141" s="33" t="n">
        <f>42330</f>
        <v>42330.0</v>
      </c>
      <c r="P141" s="34" t="s">
        <v>323</v>
      </c>
      <c r="Q141" s="33" t="n">
        <f>43660</f>
        <v>43660.0</v>
      </c>
      <c r="R141" s="34" t="s">
        <v>51</v>
      </c>
      <c r="S141" s="35" t="n">
        <f>45295.45</f>
        <v>45295.45</v>
      </c>
      <c r="T141" s="32" t="n">
        <f>8705</f>
        <v>8705.0</v>
      </c>
      <c r="U141" s="32" t="n">
        <f>1100</f>
        <v>1100.0</v>
      </c>
      <c r="V141" s="32" t="n">
        <f>395237610</f>
        <v>3.9523761E8</v>
      </c>
      <c r="W141" s="32" t="n">
        <f>51544900</f>
        <v>5.15449E7</v>
      </c>
      <c r="X141" s="36" t="n">
        <f>22</f>
        <v>22.0</v>
      </c>
    </row>
    <row r="142">
      <c r="A142" s="27" t="s">
        <v>42</v>
      </c>
      <c r="B142" s="27" t="s">
        <v>474</v>
      </c>
      <c r="C142" s="27" t="s">
        <v>475</v>
      </c>
      <c r="D142" s="27" t="s">
        <v>476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20590</f>
        <v>20590.0</v>
      </c>
      <c r="L142" s="34" t="s">
        <v>48</v>
      </c>
      <c r="M142" s="33" t="n">
        <f>21290</f>
        <v>21290.0</v>
      </c>
      <c r="N142" s="34" t="s">
        <v>51</v>
      </c>
      <c r="O142" s="33" t="n">
        <f>19820</f>
        <v>19820.0</v>
      </c>
      <c r="P142" s="34" t="s">
        <v>67</v>
      </c>
      <c r="Q142" s="33" t="n">
        <f>21190</f>
        <v>21190.0</v>
      </c>
      <c r="R142" s="34" t="s">
        <v>51</v>
      </c>
      <c r="S142" s="35" t="n">
        <f>20743.64</f>
        <v>20743.64</v>
      </c>
      <c r="T142" s="32" t="n">
        <f>1470</f>
        <v>1470.0</v>
      </c>
      <c r="U142" s="32" t="str">
        <f>"－"</f>
        <v>－</v>
      </c>
      <c r="V142" s="32" t="n">
        <f>30076095</f>
        <v>3.0076095E7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477</v>
      </c>
      <c r="C143" s="27" t="s">
        <v>478</v>
      </c>
      <c r="D143" s="27" t="s">
        <v>479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8675</f>
        <v>8675.0</v>
      </c>
      <c r="L143" s="34" t="s">
        <v>48</v>
      </c>
      <c r="M143" s="33" t="n">
        <f>9010</f>
        <v>9010.0</v>
      </c>
      <c r="N143" s="34" t="s">
        <v>407</v>
      </c>
      <c r="O143" s="33" t="n">
        <f>8675</f>
        <v>8675.0</v>
      </c>
      <c r="P143" s="34" t="s">
        <v>48</v>
      </c>
      <c r="Q143" s="33" t="n">
        <f>8900</f>
        <v>8900.0</v>
      </c>
      <c r="R143" s="34" t="s">
        <v>51</v>
      </c>
      <c r="S143" s="35" t="n">
        <f>8851.68</f>
        <v>8851.68</v>
      </c>
      <c r="T143" s="32" t="n">
        <f>8261</f>
        <v>8261.0</v>
      </c>
      <c r="U143" s="32" t="str">
        <f>"－"</f>
        <v>－</v>
      </c>
      <c r="V143" s="32" t="n">
        <f>72856992</f>
        <v>7.2856992E7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480</v>
      </c>
      <c r="C144" s="27" t="s">
        <v>481</v>
      </c>
      <c r="D144" s="27" t="s">
        <v>482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15160</f>
        <v>15160.0</v>
      </c>
      <c r="L144" s="34" t="s">
        <v>48</v>
      </c>
      <c r="M144" s="33" t="n">
        <f>15450</f>
        <v>15450.0</v>
      </c>
      <c r="N144" s="34" t="s">
        <v>71</v>
      </c>
      <c r="O144" s="33" t="n">
        <f>14550</f>
        <v>14550.0</v>
      </c>
      <c r="P144" s="34" t="s">
        <v>50</v>
      </c>
      <c r="Q144" s="33" t="n">
        <f>15020</f>
        <v>15020.0</v>
      </c>
      <c r="R144" s="34" t="s">
        <v>51</v>
      </c>
      <c r="S144" s="35" t="n">
        <f>15120.23</f>
        <v>15120.23</v>
      </c>
      <c r="T144" s="32" t="n">
        <f>7146</f>
        <v>7146.0</v>
      </c>
      <c r="U144" s="32" t="n">
        <f>3500</f>
        <v>3500.0</v>
      </c>
      <c r="V144" s="32" t="n">
        <f>106886965</f>
        <v>1.06886965E8</v>
      </c>
      <c r="W144" s="32" t="n">
        <f>52328500</f>
        <v>5.23285E7</v>
      </c>
      <c r="X144" s="36" t="n">
        <f>22</f>
        <v>22.0</v>
      </c>
    </row>
    <row r="145">
      <c r="A145" s="27" t="s">
        <v>42</v>
      </c>
      <c r="B145" s="27" t="s">
        <v>483</v>
      </c>
      <c r="C145" s="27" t="s">
        <v>484</v>
      </c>
      <c r="D145" s="27" t="s">
        <v>485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30540</f>
        <v>30540.0</v>
      </c>
      <c r="L145" s="34" t="s">
        <v>48</v>
      </c>
      <c r="M145" s="33" t="n">
        <f>31700</f>
        <v>31700.0</v>
      </c>
      <c r="N145" s="34" t="s">
        <v>86</v>
      </c>
      <c r="O145" s="33" t="n">
        <f>29780</f>
        <v>29780.0</v>
      </c>
      <c r="P145" s="34" t="s">
        <v>67</v>
      </c>
      <c r="Q145" s="33" t="n">
        <f>31030</f>
        <v>31030.0</v>
      </c>
      <c r="R145" s="34" t="s">
        <v>51</v>
      </c>
      <c r="S145" s="35" t="n">
        <f>30798.64</f>
        <v>30798.64</v>
      </c>
      <c r="T145" s="32" t="n">
        <f>1754</f>
        <v>1754.0</v>
      </c>
      <c r="U145" s="32" t="str">
        <f>"－"</f>
        <v>－</v>
      </c>
      <c r="V145" s="32" t="n">
        <f>54289355</f>
        <v>5.4289355E7</v>
      </c>
      <c r="W145" s="32" t="str">
        <f>"－"</f>
        <v>－</v>
      </c>
      <c r="X145" s="36" t="n">
        <f>22</f>
        <v>22.0</v>
      </c>
    </row>
    <row r="146">
      <c r="A146" s="27" t="s">
        <v>42</v>
      </c>
      <c r="B146" s="27" t="s">
        <v>486</v>
      </c>
      <c r="C146" s="27" t="s">
        <v>487</v>
      </c>
      <c r="D146" s="27" t="s">
        <v>488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1219</f>
        <v>1219.0</v>
      </c>
      <c r="L146" s="34" t="s">
        <v>48</v>
      </c>
      <c r="M146" s="33" t="n">
        <f>1258.5</f>
        <v>1258.5</v>
      </c>
      <c r="N146" s="34" t="s">
        <v>129</v>
      </c>
      <c r="O146" s="33" t="n">
        <f>1187.5</f>
        <v>1187.5</v>
      </c>
      <c r="P146" s="34" t="s">
        <v>50</v>
      </c>
      <c r="Q146" s="33" t="n">
        <f>1207</f>
        <v>1207.0</v>
      </c>
      <c r="R146" s="34" t="s">
        <v>51</v>
      </c>
      <c r="S146" s="35" t="n">
        <f>1224.39</f>
        <v>1224.39</v>
      </c>
      <c r="T146" s="32" t="n">
        <f>1580000</f>
        <v>1580000.0</v>
      </c>
      <c r="U146" s="32" t="n">
        <f>467900</f>
        <v>467900.0</v>
      </c>
      <c r="V146" s="32" t="n">
        <f>1927520930</f>
        <v>1.92752093E9</v>
      </c>
      <c r="W146" s="32" t="n">
        <f>575231380</f>
        <v>5.7523138E8</v>
      </c>
      <c r="X146" s="36" t="n">
        <f>22</f>
        <v>22.0</v>
      </c>
    </row>
    <row r="147">
      <c r="A147" s="27" t="s">
        <v>42</v>
      </c>
      <c r="B147" s="27" t="s">
        <v>489</v>
      </c>
      <c r="C147" s="27" t="s">
        <v>490</v>
      </c>
      <c r="D147" s="27" t="s">
        <v>491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2349</f>
        <v>2349.0</v>
      </c>
      <c r="L147" s="34" t="s">
        <v>48</v>
      </c>
      <c r="M147" s="33" t="n">
        <f>2399</f>
        <v>2399.0</v>
      </c>
      <c r="N147" s="34" t="s">
        <v>49</v>
      </c>
      <c r="O147" s="33" t="n">
        <f>2197.5</f>
        <v>2197.5</v>
      </c>
      <c r="P147" s="34" t="s">
        <v>67</v>
      </c>
      <c r="Q147" s="33" t="n">
        <f>2270</f>
        <v>2270.0</v>
      </c>
      <c r="R147" s="34" t="s">
        <v>51</v>
      </c>
      <c r="S147" s="35" t="n">
        <f>2300.27</f>
        <v>2300.27</v>
      </c>
      <c r="T147" s="32" t="n">
        <f>430</f>
        <v>430.0</v>
      </c>
      <c r="U147" s="32" t="str">
        <f>"－"</f>
        <v>－</v>
      </c>
      <c r="V147" s="32" t="n">
        <f>992475</f>
        <v>992475.0</v>
      </c>
      <c r="W147" s="32" t="str">
        <f>"－"</f>
        <v>－</v>
      </c>
      <c r="X147" s="36" t="n">
        <f>11</f>
        <v>11.0</v>
      </c>
    </row>
    <row r="148">
      <c r="A148" s="27" t="s">
        <v>42</v>
      </c>
      <c r="B148" s="27" t="s">
        <v>492</v>
      </c>
      <c r="C148" s="27" t="s">
        <v>493</v>
      </c>
      <c r="D148" s="27" t="s">
        <v>494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2520</f>
        <v>2520.0</v>
      </c>
      <c r="L148" s="34" t="s">
        <v>48</v>
      </c>
      <c r="M148" s="33" t="n">
        <f>2573</f>
        <v>2573.0</v>
      </c>
      <c r="N148" s="34" t="s">
        <v>49</v>
      </c>
      <c r="O148" s="33" t="n">
        <f>2361</f>
        <v>2361.0</v>
      </c>
      <c r="P148" s="34" t="s">
        <v>50</v>
      </c>
      <c r="Q148" s="33" t="n">
        <f>2427</f>
        <v>2427.0</v>
      </c>
      <c r="R148" s="34" t="s">
        <v>51</v>
      </c>
      <c r="S148" s="35" t="n">
        <f>2470.67</f>
        <v>2470.67</v>
      </c>
      <c r="T148" s="32" t="n">
        <f>169070</f>
        <v>169070.0</v>
      </c>
      <c r="U148" s="32" t="str">
        <f>"－"</f>
        <v>－</v>
      </c>
      <c r="V148" s="32" t="n">
        <f>413607750</f>
        <v>4.1360775E8</v>
      </c>
      <c r="W148" s="32" t="str">
        <f>"－"</f>
        <v>－</v>
      </c>
      <c r="X148" s="36" t="n">
        <f>15</f>
        <v>15.0</v>
      </c>
    </row>
    <row r="149">
      <c r="A149" s="27" t="s">
        <v>42</v>
      </c>
      <c r="B149" s="27" t="s">
        <v>495</v>
      </c>
      <c r="C149" s="27" t="s">
        <v>496</v>
      </c>
      <c r="D149" s="27" t="s">
        <v>497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1554.5</f>
        <v>1554.5</v>
      </c>
      <c r="L149" s="34" t="s">
        <v>87</v>
      </c>
      <c r="M149" s="33" t="n">
        <f>1593</f>
        <v>1593.0</v>
      </c>
      <c r="N149" s="34" t="s">
        <v>49</v>
      </c>
      <c r="O149" s="33" t="n">
        <f>1484.5</f>
        <v>1484.5</v>
      </c>
      <c r="P149" s="34" t="s">
        <v>67</v>
      </c>
      <c r="Q149" s="33" t="n">
        <f>1511.5</f>
        <v>1511.5</v>
      </c>
      <c r="R149" s="34" t="s">
        <v>51</v>
      </c>
      <c r="S149" s="35" t="n">
        <f>1530.69</f>
        <v>1530.69</v>
      </c>
      <c r="T149" s="32" t="n">
        <f>49390</f>
        <v>49390.0</v>
      </c>
      <c r="U149" s="32" t="n">
        <f>14000</f>
        <v>14000.0</v>
      </c>
      <c r="V149" s="32" t="n">
        <f>74696266</f>
        <v>7.4696266E7</v>
      </c>
      <c r="W149" s="32" t="n">
        <f>21223521</f>
        <v>2.1223521E7</v>
      </c>
      <c r="X149" s="36" t="n">
        <f>13</f>
        <v>13.0</v>
      </c>
    </row>
    <row r="150">
      <c r="A150" s="27" t="s">
        <v>42</v>
      </c>
      <c r="B150" s="27" t="s">
        <v>498</v>
      </c>
      <c r="C150" s="27" t="s">
        <v>499</v>
      </c>
      <c r="D150" s="27" t="s">
        <v>500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384.6</f>
        <v>384.6</v>
      </c>
      <c r="L150" s="34" t="s">
        <v>48</v>
      </c>
      <c r="M150" s="33" t="n">
        <f>399.4</f>
        <v>399.4</v>
      </c>
      <c r="N150" s="34" t="s">
        <v>49</v>
      </c>
      <c r="O150" s="33" t="n">
        <f>349.4</f>
        <v>349.4</v>
      </c>
      <c r="P150" s="34" t="s">
        <v>67</v>
      </c>
      <c r="Q150" s="33" t="n">
        <f>372.6</f>
        <v>372.6</v>
      </c>
      <c r="R150" s="34" t="s">
        <v>51</v>
      </c>
      <c r="S150" s="35" t="n">
        <f>376.5</f>
        <v>376.5</v>
      </c>
      <c r="T150" s="32" t="n">
        <f>89173550</f>
        <v>8.917355E7</v>
      </c>
      <c r="U150" s="32" t="n">
        <f>12745340</f>
        <v>1.274534E7</v>
      </c>
      <c r="V150" s="32" t="n">
        <f>33377018339</f>
        <v>3.3377018339E10</v>
      </c>
      <c r="W150" s="32" t="n">
        <f>4773091093</f>
        <v>4.773091093E9</v>
      </c>
      <c r="X150" s="36" t="n">
        <f>22</f>
        <v>22.0</v>
      </c>
    </row>
    <row r="151">
      <c r="A151" s="27" t="s">
        <v>42</v>
      </c>
      <c r="B151" s="27" t="s">
        <v>501</v>
      </c>
      <c r="C151" s="27" t="s">
        <v>502</v>
      </c>
      <c r="D151" s="27" t="s">
        <v>503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2732</f>
        <v>2732.0</v>
      </c>
      <c r="L151" s="34" t="s">
        <v>48</v>
      </c>
      <c r="M151" s="33" t="n">
        <f>2862</f>
        <v>2862.0</v>
      </c>
      <c r="N151" s="34" t="s">
        <v>51</v>
      </c>
      <c r="O151" s="33" t="n">
        <f>2725</f>
        <v>2725.0</v>
      </c>
      <c r="P151" s="34" t="s">
        <v>67</v>
      </c>
      <c r="Q151" s="33" t="n">
        <f>2852</f>
        <v>2852.0</v>
      </c>
      <c r="R151" s="34" t="s">
        <v>51</v>
      </c>
      <c r="S151" s="35" t="n">
        <f>2786.5</f>
        <v>2786.5</v>
      </c>
      <c r="T151" s="32" t="n">
        <f>2618553</f>
        <v>2618553.0</v>
      </c>
      <c r="U151" s="32" t="n">
        <f>1677860</f>
        <v>1677860.0</v>
      </c>
      <c r="V151" s="32" t="n">
        <f>7223312610</f>
        <v>7.22331261E9</v>
      </c>
      <c r="W151" s="32" t="n">
        <f>4622349300</f>
        <v>4.6223493E9</v>
      </c>
      <c r="X151" s="36" t="n">
        <f>22</f>
        <v>22.0</v>
      </c>
    </row>
    <row r="152">
      <c r="A152" s="27" t="s">
        <v>42</v>
      </c>
      <c r="B152" s="27" t="s">
        <v>504</v>
      </c>
      <c r="C152" s="27" t="s">
        <v>505</v>
      </c>
      <c r="D152" s="27" t="s">
        <v>506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3370</f>
        <v>3370.0</v>
      </c>
      <c r="L152" s="34" t="s">
        <v>48</v>
      </c>
      <c r="M152" s="33" t="n">
        <f>3490</f>
        <v>3490.0</v>
      </c>
      <c r="N152" s="34" t="s">
        <v>99</v>
      </c>
      <c r="O152" s="33" t="n">
        <f>3085</f>
        <v>3085.0</v>
      </c>
      <c r="P152" s="34" t="s">
        <v>67</v>
      </c>
      <c r="Q152" s="33" t="n">
        <f>3250</f>
        <v>3250.0</v>
      </c>
      <c r="R152" s="34" t="s">
        <v>51</v>
      </c>
      <c r="S152" s="35" t="n">
        <f>3292.95</f>
        <v>3292.95</v>
      </c>
      <c r="T152" s="32" t="n">
        <f>104607</f>
        <v>104607.0</v>
      </c>
      <c r="U152" s="32" t="n">
        <f>61734</f>
        <v>61734.0</v>
      </c>
      <c r="V152" s="32" t="n">
        <f>345544083</f>
        <v>3.45544083E8</v>
      </c>
      <c r="W152" s="32" t="n">
        <f>205259333</f>
        <v>2.05259333E8</v>
      </c>
      <c r="X152" s="36" t="n">
        <f>22</f>
        <v>22.0</v>
      </c>
    </row>
    <row r="153">
      <c r="A153" s="27" t="s">
        <v>42</v>
      </c>
      <c r="B153" s="27" t="s">
        <v>507</v>
      </c>
      <c r="C153" s="27" t="s">
        <v>508</v>
      </c>
      <c r="D153" s="27" t="s">
        <v>509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2278</f>
        <v>2278.0</v>
      </c>
      <c r="L153" s="34" t="s">
        <v>48</v>
      </c>
      <c r="M153" s="33" t="n">
        <f>2377</f>
        <v>2377.0</v>
      </c>
      <c r="N153" s="34" t="s">
        <v>49</v>
      </c>
      <c r="O153" s="33" t="n">
        <f>2165</f>
        <v>2165.0</v>
      </c>
      <c r="P153" s="34" t="s">
        <v>67</v>
      </c>
      <c r="Q153" s="33" t="n">
        <f>2262</f>
        <v>2262.0</v>
      </c>
      <c r="R153" s="34" t="s">
        <v>51</v>
      </c>
      <c r="S153" s="35" t="n">
        <f>2274.82</f>
        <v>2274.82</v>
      </c>
      <c r="T153" s="32" t="n">
        <f>125796</f>
        <v>125796.0</v>
      </c>
      <c r="U153" s="32" t="n">
        <f>2</f>
        <v>2.0</v>
      </c>
      <c r="V153" s="32" t="n">
        <f>289797550</f>
        <v>2.8979755E8</v>
      </c>
      <c r="W153" s="32" t="n">
        <f>4561</f>
        <v>4561.0</v>
      </c>
      <c r="X153" s="36" t="n">
        <f>22</f>
        <v>22.0</v>
      </c>
    </row>
    <row r="154">
      <c r="A154" s="27" t="s">
        <v>42</v>
      </c>
      <c r="B154" s="27" t="s">
        <v>510</v>
      </c>
      <c r="C154" s="27" t="s">
        <v>511</v>
      </c>
      <c r="D154" s="27" t="s">
        <v>512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2780</f>
        <v>2780.0</v>
      </c>
      <c r="L154" s="34" t="s">
        <v>48</v>
      </c>
      <c r="M154" s="33" t="n">
        <f>2855</f>
        <v>2855.0</v>
      </c>
      <c r="N154" s="34" t="s">
        <v>99</v>
      </c>
      <c r="O154" s="33" t="n">
        <f>2512</f>
        <v>2512.0</v>
      </c>
      <c r="P154" s="34" t="s">
        <v>67</v>
      </c>
      <c r="Q154" s="33" t="n">
        <f>2697</f>
        <v>2697.0</v>
      </c>
      <c r="R154" s="34" t="s">
        <v>51</v>
      </c>
      <c r="S154" s="35" t="n">
        <f>2693.86</f>
        <v>2693.86</v>
      </c>
      <c r="T154" s="32" t="n">
        <f>256121</f>
        <v>256121.0</v>
      </c>
      <c r="U154" s="32" t="str">
        <f>"－"</f>
        <v>－</v>
      </c>
      <c r="V154" s="32" t="n">
        <f>690835908</f>
        <v>6.90835908E8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513</v>
      </c>
      <c r="C155" s="27" t="s">
        <v>514</v>
      </c>
      <c r="D155" s="27" t="s">
        <v>515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11345</f>
        <v>11345.0</v>
      </c>
      <c r="L155" s="34" t="s">
        <v>48</v>
      </c>
      <c r="M155" s="33" t="n">
        <f>11420</f>
        <v>11420.0</v>
      </c>
      <c r="N155" s="34" t="s">
        <v>49</v>
      </c>
      <c r="O155" s="33" t="n">
        <f>10650</f>
        <v>10650.0</v>
      </c>
      <c r="P155" s="34" t="s">
        <v>116</v>
      </c>
      <c r="Q155" s="33" t="n">
        <f>11185</f>
        <v>11185.0</v>
      </c>
      <c r="R155" s="34" t="s">
        <v>51</v>
      </c>
      <c r="S155" s="35" t="n">
        <f>11106.59</f>
        <v>11106.59</v>
      </c>
      <c r="T155" s="32" t="n">
        <f>109521</f>
        <v>109521.0</v>
      </c>
      <c r="U155" s="32" t="n">
        <f>37854</f>
        <v>37854.0</v>
      </c>
      <c r="V155" s="32" t="n">
        <f>1201396198</f>
        <v>1.201396198E9</v>
      </c>
      <c r="W155" s="32" t="n">
        <f>409074018</f>
        <v>4.09074018E8</v>
      </c>
      <c r="X155" s="36" t="n">
        <f>22</f>
        <v>22.0</v>
      </c>
    </row>
    <row r="156">
      <c r="A156" s="27" t="s">
        <v>42</v>
      </c>
      <c r="B156" s="27" t="s">
        <v>516</v>
      </c>
      <c r="C156" s="27" t="s">
        <v>517</v>
      </c>
      <c r="D156" s="27" t="s">
        <v>518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3200</f>
        <v>3200.0</v>
      </c>
      <c r="L156" s="34" t="s">
        <v>48</v>
      </c>
      <c r="M156" s="33" t="n">
        <f>3570</f>
        <v>3570.0</v>
      </c>
      <c r="N156" s="34" t="s">
        <v>49</v>
      </c>
      <c r="O156" s="33" t="n">
        <f>3060</f>
        <v>3060.0</v>
      </c>
      <c r="P156" s="34" t="s">
        <v>407</v>
      </c>
      <c r="Q156" s="33" t="n">
        <f>3290</f>
        <v>3290.0</v>
      </c>
      <c r="R156" s="34" t="s">
        <v>51</v>
      </c>
      <c r="S156" s="35" t="n">
        <f>3325.45</f>
        <v>3325.45</v>
      </c>
      <c r="T156" s="32" t="n">
        <f>14311554</f>
        <v>1.4311554E7</v>
      </c>
      <c r="U156" s="32" t="n">
        <f>6979</f>
        <v>6979.0</v>
      </c>
      <c r="V156" s="32" t="n">
        <f>47459655392</f>
        <v>4.7459655392E10</v>
      </c>
      <c r="W156" s="32" t="n">
        <f>23181097</f>
        <v>2.3181097E7</v>
      </c>
      <c r="X156" s="36" t="n">
        <f>22</f>
        <v>22.0</v>
      </c>
    </row>
    <row r="157">
      <c r="A157" s="27" t="s">
        <v>42</v>
      </c>
      <c r="B157" s="27" t="s">
        <v>519</v>
      </c>
      <c r="C157" s="27" t="s">
        <v>520</v>
      </c>
      <c r="D157" s="27" t="s">
        <v>521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22370</f>
        <v>22370.0</v>
      </c>
      <c r="L157" s="34" t="s">
        <v>48</v>
      </c>
      <c r="M157" s="33" t="n">
        <f>23870</f>
        <v>23870.0</v>
      </c>
      <c r="N157" s="34" t="s">
        <v>103</v>
      </c>
      <c r="O157" s="33" t="n">
        <f>22260</f>
        <v>22260.0</v>
      </c>
      <c r="P157" s="34" t="s">
        <v>48</v>
      </c>
      <c r="Q157" s="33" t="n">
        <f>23340</f>
        <v>23340.0</v>
      </c>
      <c r="R157" s="34" t="s">
        <v>51</v>
      </c>
      <c r="S157" s="35" t="n">
        <f>23178.41</f>
        <v>23178.41</v>
      </c>
      <c r="T157" s="32" t="n">
        <f>5128</f>
        <v>5128.0</v>
      </c>
      <c r="U157" s="32" t="str">
        <f>"－"</f>
        <v>－</v>
      </c>
      <c r="V157" s="32" t="n">
        <f>119495645</f>
        <v>1.19495645E8</v>
      </c>
      <c r="W157" s="32" t="str">
        <f>"－"</f>
        <v>－</v>
      </c>
      <c r="X157" s="36" t="n">
        <f>22</f>
        <v>22.0</v>
      </c>
    </row>
    <row r="158">
      <c r="A158" s="27" t="s">
        <v>42</v>
      </c>
      <c r="B158" s="27" t="s">
        <v>522</v>
      </c>
      <c r="C158" s="27" t="s">
        <v>523</v>
      </c>
      <c r="D158" s="27" t="s">
        <v>524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2597</f>
        <v>2597.0</v>
      </c>
      <c r="L158" s="34" t="s">
        <v>48</v>
      </c>
      <c r="M158" s="33" t="n">
        <f>2769.5</f>
        <v>2769.5</v>
      </c>
      <c r="N158" s="34" t="s">
        <v>103</v>
      </c>
      <c r="O158" s="33" t="n">
        <f>2571</f>
        <v>2571.0</v>
      </c>
      <c r="P158" s="34" t="s">
        <v>48</v>
      </c>
      <c r="Q158" s="33" t="n">
        <f>2621</f>
        <v>2621.0</v>
      </c>
      <c r="R158" s="34" t="s">
        <v>51</v>
      </c>
      <c r="S158" s="35" t="n">
        <f>2689.05</f>
        <v>2689.05</v>
      </c>
      <c r="T158" s="32" t="n">
        <f>30070</f>
        <v>30070.0</v>
      </c>
      <c r="U158" s="32" t="str">
        <f>"－"</f>
        <v>－</v>
      </c>
      <c r="V158" s="32" t="n">
        <f>80519450</f>
        <v>8.051945E7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525</v>
      </c>
      <c r="C159" s="27" t="s">
        <v>526</v>
      </c>
      <c r="D159" s="27" t="s">
        <v>527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11645</f>
        <v>11645.0</v>
      </c>
      <c r="L159" s="34" t="s">
        <v>48</v>
      </c>
      <c r="M159" s="33" t="n">
        <f>12610</f>
        <v>12610.0</v>
      </c>
      <c r="N159" s="34" t="s">
        <v>49</v>
      </c>
      <c r="O159" s="33" t="n">
        <f>11300</f>
        <v>11300.0</v>
      </c>
      <c r="P159" s="34" t="s">
        <v>253</v>
      </c>
      <c r="Q159" s="33" t="n">
        <f>11580</f>
        <v>11580.0</v>
      </c>
      <c r="R159" s="34" t="s">
        <v>51</v>
      </c>
      <c r="S159" s="35" t="n">
        <f>11906.59</f>
        <v>11906.59</v>
      </c>
      <c r="T159" s="32" t="n">
        <f>6306</f>
        <v>6306.0</v>
      </c>
      <c r="U159" s="32" t="str">
        <f>"－"</f>
        <v>－</v>
      </c>
      <c r="V159" s="32" t="n">
        <f>75955705</f>
        <v>7.5955705E7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528</v>
      </c>
      <c r="C160" s="27" t="s">
        <v>529</v>
      </c>
      <c r="D160" s="27" t="s">
        <v>530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24300</f>
        <v>24300.0</v>
      </c>
      <c r="L160" s="34" t="s">
        <v>48</v>
      </c>
      <c r="M160" s="33" t="n">
        <f>24935</f>
        <v>24935.0</v>
      </c>
      <c r="N160" s="34" t="s">
        <v>71</v>
      </c>
      <c r="O160" s="33" t="n">
        <f>22065</f>
        <v>22065.0</v>
      </c>
      <c r="P160" s="34" t="s">
        <v>307</v>
      </c>
      <c r="Q160" s="33" t="n">
        <f>24800</f>
        <v>24800.0</v>
      </c>
      <c r="R160" s="34" t="s">
        <v>51</v>
      </c>
      <c r="S160" s="35" t="n">
        <f>23763.41</f>
        <v>23763.41</v>
      </c>
      <c r="T160" s="32" t="n">
        <f>4135</f>
        <v>4135.0</v>
      </c>
      <c r="U160" s="32" t="str">
        <f>"－"</f>
        <v>－</v>
      </c>
      <c r="V160" s="32" t="n">
        <f>98508050</f>
        <v>9.850805E7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531</v>
      </c>
      <c r="C161" s="27" t="s">
        <v>532</v>
      </c>
      <c r="D161" s="27" t="s">
        <v>533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17830</f>
        <v>17830.0</v>
      </c>
      <c r="L161" s="34" t="s">
        <v>48</v>
      </c>
      <c r="M161" s="33" t="n">
        <f>19820</f>
        <v>19820.0</v>
      </c>
      <c r="N161" s="34" t="s">
        <v>103</v>
      </c>
      <c r="O161" s="33" t="n">
        <f>17830</f>
        <v>17830.0</v>
      </c>
      <c r="P161" s="34" t="s">
        <v>48</v>
      </c>
      <c r="Q161" s="33" t="n">
        <f>18730</f>
        <v>18730.0</v>
      </c>
      <c r="R161" s="34" t="s">
        <v>51</v>
      </c>
      <c r="S161" s="35" t="n">
        <f>18608.95</f>
        <v>18608.95</v>
      </c>
      <c r="T161" s="32" t="n">
        <f>521</f>
        <v>521.0</v>
      </c>
      <c r="U161" s="32" t="str">
        <f>"－"</f>
        <v>－</v>
      </c>
      <c r="V161" s="32" t="n">
        <f>9889835</f>
        <v>9889835.0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534</v>
      </c>
      <c r="C162" s="27" t="s">
        <v>535</v>
      </c>
      <c r="D162" s="27" t="s">
        <v>536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50940</f>
        <v>50940.0</v>
      </c>
      <c r="L162" s="34" t="s">
        <v>48</v>
      </c>
      <c r="M162" s="33" t="n">
        <f>52300</f>
        <v>52300.0</v>
      </c>
      <c r="N162" s="34" t="s">
        <v>49</v>
      </c>
      <c r="O162" s="33" t="n">
        <f>50160</f>
        <v>50160.0</v>
      </c>
      <c r="P162" s="34" t="s">
        <v>307</v>
      </c>
      <c r="Q162" s="33" t="n">
        <f>52300</f>
        <v>52300.0</v>
      </c>
      <c r="R162" s="34" t="s">
        <v>51</v>
      </c>
      <c r="S162" s="35" t="n">
        <f>51504.76</f>
        <v>51504.76</v>
      </c>
      <c r="T162" s="32" t="n">
        <f>5330</f>
        <v>5330.0</v>
      </c>
      <c r="U162" s="32" t="n">
        <f>1010</f>
        <v>1010.0</v>
      </c>
      <c r="V162" s="32" t="n">
        <f>274491290</f>
        <v>2.7449129E8</v>
      </c>
      <c r="W162" s="32" t="n">
        <f>51670390</f>
        <v>5.167039E7</v>
      </c>
      <c r="X162" s="36" t="n">
        <f>21</f>
        <v>21.0</v>
      </c>
    </row>
    <row r="163">
      <c r="A163" s="27" t="s">
        <v>42</v>
      </c>
      <c r="B163" s="27" t="s">
        <v>537</v>
      </c>
      <c r="C163" s="27" t="s">
        <v>538</v>
      </c>
      <c r="D163" s="27" t="s">
        <v>539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240.5</f>
        <v>240.5</v>
      </c>
      <c r="L163" s="34" t="s">
        <v>48</v>
      </c>
      <c r="M163" s="33" t="n">
        <f>248</f>
        <v>248.0</v>
      </c>
      <c r="N163" s="34" t="s">
        <v>99</v>
      </c>
      <c r="O163" s="33" t="n">
        <f>228.2</f>
        <v>228.2</v>
      </c>
      <c r="P163" s="34" t="s">
        <v>67</v>
      </c>
      <c r="Q163" s="33" t="n">
        <f>239.6</f>
        <v>239.6</v>
      </c>
      <c r="R163" s="34" t="s">
        <v>51</v>
      </c>
      <c r="S163" s="35" t="n">
        <f>240.48</f>
        <v>240.48</v>
      </c>
      <c r="T163" s="32" t="n">
        <f>10054800</f>
        <v>1.00548E7</v>
      </c>
      <c r="U163" s="32" t="n">
        <f>400</f>
        <v>400.0</v>
      </c>
      <c r="V163" s="32" t="n">
        <f>2414902860</f>
        <v>2.41490286E9</v>
      </c>
      <c r="W163" s="32" t="n">
        <f>95840</f>
        <v>95840.0</v>
      </c>
      <c r="X163" s="36" t="n">
        <f>22</f>
        <v>22.0</v>
      </c>
    </row>
    <row r="164">
      <c r="A164" s="27" t="s">
        <v>42</v>
      </c>
      <c r="B164" s="27" t="s">
        <v>540</v>
      </c>
      <c r="C164" s="27" t="s">
        <v>541</v>
      </c>
      <c r="D164" s="27" t="s">
        <v>542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36880</f>
        <v>36880.0</v>
      </c>
      <c r="L164" s="34" t="s">
        <v>48</v>
      </c>
      <c r="M164" s="33" t="n">
        <f>38340</f>
        <v>38340.0</v>
      </c>
      <c r="N164" s="34" t="s">
        <v>49</v>
      </c>
      <c r="O164" s="33" t="n">
        <f>34600</f>
        <v>34600.0</v>
      </c>
      <c r="P164" s="34" t="s">
        <v>67</v>
      </c>
      <c r="Q164" s="33" t="n">
        <f>36480</f>
        <v>36480.0</v>
      </c>
      <c r="R164" s="34" t="s">
        <v>51</v>
      </c>
      <c r="S164" s="35" t="n">
        <f>36546.82</f>
        <v>36546.82</v>
      </c>
      <c r="T164" s="32" t="n">
        <f>68180</f>
        <v>68180.0</v>
      </c>
      <c r="U164" s="32" t="n">
        <f>57520</f>
        <v>57520.0</v>
      </c>
      <c r="V164" s="32" t="n">
        <f>2554506900</f>
        <v>2.5545069E9</v>
      </c>
      <c r="W164" s="32" t="n">
        <f>2166485500</f>
        <v>2.1664855E9</v>
      </c>
      <c r="X164" s="36" t="n">
        <f>22</f>
        <v>22.0</v>
      </c>
    </row>
    <row r="165">
      <c r="A165" s="27" t="s">
        <v>42</v>
      </c>
      <c r="B165" s="27" t="s">
        <v>543</v>
      </c>
      <c r="C165" s="27" t="s">
        <v>544</v>
      </c>
      <c r="D165" s="27" t="s">
        <v>545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3830</f>
        <v>3830.0</v>
      </c>
      <c r="L165" s="34" t="s">
        <v>48</v>
      </c>
      <c r="M165" s="33" t="n">
        <f>3971</f>
        <v>3971.0</v>
      </c>
      <c r="N165" s="34" t="s">
        <v>49</v>
      </c>
      <c r="O165" s="33" t="n">
        <f>3518</f>
        <v>3518.0</v>
      </c>
      <c r="P165" s="34" t="s">
        <v>67</v>
      </c>
      <c r="Q165" s="33" t="n">
        <f>3696</f>
        <v>3696.0</v>
      </c>
      <c r="R165" s="34" t="s">
        <v>51</v>
      </c>
      <c r="S165" s="35" t="n">
        <f>3750.36</f>
        <v>3750.36</v>
      </c>
      <c r="T165" s="32" t="n">
        <f>117170</f>
        <v>117170.0</v>
      </c>
      <c r="U165" s="32" t="str">
        <f>"－"</f>
        <v>－</v>
      </c>
      <c r="V165" s="32" t="n">
        <f>434114880</f>
        <v>4.3411488E8</v>
      </c>
      <c r="W165" s="32" t="str">
        <f>"－"</f>
        <v>－</v>
      </c>
      <c r="X165" s="36" t="n">
        <f>22</f>
        <v>22.0</v>
      </c>
    </row>
    <row r="166">
      <c r="A166" s="27" t="s">
        <v>42</v>
      </c>
      <c r="B166" s="27" t="s">
        <v>546</v>
      </c>
      <c r="C166" s="27" t="s">
        <v>547</v>
      </c>
      <c r="D166" s="27" t="s">
        <v>548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1738</f>
        <v>1738.0</v>
      </c>
      <c r="L166" s="34" t="s">
        <v>48</v>
      </c>
      <c r="M166" s="33" t="n">
        <f>1816</f>
        <v>1816.0</v>
      </c>
      <c r="N166" s="34" t="s">
        <v>49</v>
      </c>
      <c r="O166" s="33" t="n">
        <f>1672.5</f>
        <v>1672.5</v>
      </c>
      <c r="P166" s="34" t="s">
        <v>50</v>
      </c>
      <c r="Q166" s="33" t="n">
        <f>1725</f>
        <v>1725.0</v>
      </c>
      <c r="R166" s="34" t="s">
        <v>51</v>
      </c>
      <c r="S166" s="35" t="n">
        <f>1736.52</f>
        <v>1736.52</v>
      </c>
      <c r="T166" s="32" t="n">
        <f>156850</f>
        <v>156850.0</v>
      </c>
      <c r="U166" s="32" t="str">
        <f>"－"</f>
        <v>－</v>
      </c>
      <c r="V166" s="32" t="n">
        <f>273258700</f>
        <v>2.732587E8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549</v>
      </c>
      <c r="C167" s="27" t="s">
        <v>550</v>
      </c>
      <c r="D167" s="27" t="s">
        <v>551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100.0</v>
      </c>
      <c r="K167" s="33" t="n">
        <f>205.4</f>
        <v>205.4</v>
      </c>
      <c r="L167" s="34" t="s">
        <v>48</v>
      </c>
      <c r="M167" s="33" t="n">
        <f>222</f>
        <v>222.0</v>
      </c>
      <c r="N167" s="34" t="s">
        <v>49</v>
      </c>
      <c r="O167" s="33" t="n">
        <f>205.2</f>
        <v>205.2</v>
      </c>
      <c r="P167" s="34" t="s">
        <v>48</v>
      </c>
      <c r="Q167" s="33" t="n">
        <f>211.6</f>
        <v>211.6</v>
      </c>
      <c r="R167" s="34" t="s">
        <v>51</v>
      </c>
      <c r="S167" s="35" t="n">
        <f>214.39</f>
        <v>214.39</v>
      </c>
      <c r="T167" s="32" t="n">
        <f>456000</f>
        <v>456000.0</v>
      </c>
      <c r="U167" s="32" t="str">
        <f>"－"</f>
        <v>－</v>
      </c>
      <c r="V167" s="32" t="n">
        <f>98571990</f>
        <v>9.857199E7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552</v>
      </c>
      <c r="C168" s="27" t="s">
        <v>553</v>
      </c>
      <c r="D168" s="27" t="s">
        <v>554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1778</f>
        <v>1778.0</v>
      </c>
      <c r="L168" s="34" t="s">
        <v>48</v>
      </c>
      <c r="M168" s="33" t="n">
        <f>1971</f>
        <v>1971.0</v>
      </c>
      <c r="N168" s="34" t="s">
        <v>99</v>
      </c>
      <c r="O168" s="33" t="n">
        <f>1650</f>
        <v>1650.0</v>
      </c>
      <c r="P168" s="34" t="s">
        <v>323</v>
      </c>
      <c r="Q168" s="33" t="n">
        <f>1720</f>
        <v>1720.0</v>
      </c>
      <c r="R168" s="34" t="s">
        <v>51</v>
      </c>
      <c r="S168" s="35" t="n">
        <f>1781.86</f>
        <v>1781.86</v>
      </c>
      <c r="T168" s="32" t="n">
        <f>24030</f>
        <v>24030.0</v>
      </c>
      <c r="U168" s="32" t="str">
        <f>"－"</f>
        <v>－</v>
      </c>
      <c r="V168" s="32" t="n">
        <f>42929215</f>
        <v>4.2929215E7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555</v>
      </c>
      <c r="C169" s="27" t="s">
        <v>556</v>
      </c>
      <c r="D169" s="27" t="s">
        <v>557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791.1</f>
        <v>791.1</v>
      </c>
      <c r="L169" s="34" t="s">
        <v>48</v>
      </c>
      <c r="M169" s="33" t="n">
        <f>885</f>
        <v>885.0</v>
      </c>
      <c r="N169" s="34" t="s">
        <v>72</v>
      </c>
      <c r="O169" s="33" t="n">
        <f>731.4</f>
        <v>731.4</v>
      </c>
      <c r="P169" s="34" t="s">
        <v>323</v>
      </c>
      <c r="Q169" s="33" t="n">
        <f>766</f>
        <v>766.0</v>
      </c>
      <c r="R169" s="34" t="s">
        <v>51</v>
      </c>
      <c r="S169" s="35" t="n">
        <f>808.93</f>
        <v>808.93</v>
      </c>
      <c r="T169" s="32" t="n">
        <f>387230</f>
        <v>387230.0</v>
      </c>
      <c r="U169" s="32" t="str">
        <f>"－"</f>
        <v>－</v>
      </c>
      <c r="V169" s="32" t="n">
        <f>316018971</f>
        <v>3.16018971E8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558</v>
      </c>
      <c r="C170" s="27" t="s">
        <v>559</v>
      </c>
      <c r="D170" s="27" t="s">
        <v>560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2343</f>
        <v>2343.0</v>
      </c>
      <c r="L170" s="34" t="s">
        <v>48</v>
      </c>
      <c r="M170" s="33" t="n">
        <f>2499.5</f>
        <v>2499.5</v>
      </c>
      <c r="N170" s="34" t="s">
        <v>49</v>
      </c>
      <c r="O170" s="33" t="n">
        <f>2042.5</f>
        <v>2042.5</v>
      </c>
      <c r="P170" s="34" t="s">
        <v>288</v>
      </c>
      <c r="Q170" s="33" t="n">
        <f>2130</f>
        <v>2130.0</v>
      </c>
      <c r="R170" s="34" t="s">
        <v>51</v>
      </c>
      <c r="S170" s="35" t="n">
        <f>2257.5</f>
        <v>2257.5</v>
      </c>
      <c r="T170" s="32" t="n">
        <f>12300</f>
        <v>12300.0</v>
      </c>
      <c r="U170" s="32" t="str">
        <f>"－"</f>
        <v>－</v>
      </c>
      <c r="V170" s="32" t="n">
        <f>27806450</f>
        <v>2.780645E7</v>
      </c>
      <c r="W170" s="32" t="str">
        <f>"－"</f>
        <v>－</v>
      </c>
      <c r="X170" s="36" t="n">
        <f>22</f>
        <v>22.0</v>
      </c>
    </row>
    <row r="171">
      <c r="A171" s="27" t="s">
        <v>42</v>
      </c>
      <c r="B171" s="27" t="s">
        <v>561</v>
      </c>
      <c r="C171" s="27" t="s">
        <v>562</v>
      </c>
      <c r="D171" s="27" t="s">
        <v>563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945.9</f>
        <v>945.9</v>
      </c>
      <c r="L171" s="34" t="s">
        <v>48</v>
      </c>
      <c r="M171" s="33" t="n">
        <f>1007</f>
        <v>1007.0</v>
      </c>
      <c r="N171" s="34" t="s">
        <v>103</v>
      </c>
      <c r="O171" s="33" t="n">
        <f>888.7</f>
        <v>888.7</v>
      </c>
      <c r="P171" s="34" t="s">
        <v>323</v>
      </c>
      <c r="Q171" s="33" t="n">
        <f>922</f>
        <v>922.0</v>
      </c>
      <c r="R171" s="34" t="s">
        <v>51</v>
      </c>
      <c r="S171" s="35" t="n">
        <f>953</f>
        <v>953.0</v>
      </c>
      <c r="T171" s="32" t="n">
        <f>267000</f>
        <v>267000.0</v>
      </c>
      <c r="U171" s="32" t="str">
        <f>"－"</f>
        <v>－</v>
      </c>
      <c r="V171" s="32" t="n">
        <f>255238004</f>
        <v>2.55238004E8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564</v>
      </c>
      <c r="C172" s="27" t="s">
        <v>565</v>
      </c>
      <c r="D172" s="27" t="s">
        <v>566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715.8</f>
        <v>715.8</v>
      </c>
      <c r="L172" s="34" t="s">
        <v>48</v>
      </c>
      <c r="M172" s="33" t="n">
        <f>762</f>
        <v>762.0</v>
      </c>
      <c r="N172" s="34" t="s">
        <v>103</v>
      </c>
      <c r="O172" s="33" t="n">
        <f>665.5</f>
        <v>665.5</v>
      </c>
      <c r="P172" s="34" t="s">
        <v>288</v>
      </c>
      <c r="Q172" s="33" t="n">
        <f>685.2</f>
        <v>685.2</v>
      </c>
      <c r="R172" s="34" t="s">
        <v>51</v>
      </c>
      <c r="S172" s="35" t="n">
        <f>716.05</f>
        <v>716.05</v>
      </c>
      <c r="T172" s="32" t="n">
        <f>1231850</f>
        <v>1231850.0</v>
      </c>
      <c r="U172" s="32" t="str">
        <f>"－"</f>
        <v>－</v>
      </c>
      <c r="V172" s="32" t="n">
        <f>884863604</f>
        <v>8.84863604E8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567</v>
      </c>
      <c r="C173" s="27" t="s">
        <v>568</v>
      </c>
      <c r="D173" s="27" t="s">
        <v>569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4.4</f>
        <v>4.4</v>
      </c>
      <c r="L173" s="34" t="s">
        <v>48</v>
      </c>
      <c r="M173" s="33" t="n">
        <f>5.3</f>
        <v>5.3</v>
      </c>
      <c r="N173" s="34" t="s">
        <v>72</v>
      </c>
      <c r="O173" s="33" t="n">
        <f>3.4</f>
        <v>3.4</v>
      </c>
      <c r="P173" s="34" t="s">
        <v>323</v>
      </c>
      <c r="Q173" s="33" t="n">
        <f>3.6</f>
        <v>3.6</v>
      </c>
      <c r="R173" s="34" t="s">
        <v>51</v>
      </c>
      <c r="S173" s="35" t="n">
        <f>4.21</f>
        <v>4.21</v>
      </c>
      <c r="T173" s="32" t="n">
        <f>924080700</f>
        <v>9.240807E8</v>
      </c>
      <c r="U173" s="32" t="n">
        <f>2275100</f>
        <v>2275100.0</v>
      </c>
      <c r="V173" s="32" t="n">
        <f>4007635040</f>
        <v>4.00763504E9</v>
      </c>
      <c r="W173" s="32" t="n">
        <f>9788310</f>
        <v>9788310.0</v>
      </c>
      <c r="X173" s="36" t="n">
        <f>22</f>
        <v>22.0</v>
      </c>
    </row>
    <row r="174">
      <c r="A174" s="27" t="s">
        <v>42</v>
      </c>
      <c r="B174" s="27" t="s">
        <v>570</v>
      </c>
      <c r="C174" s="27" t="s">
        <v>571</v>
      </c>
      <c r="D174" s="27" t="s">
        <v>572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1470.5</f>
        <v>1470.5</v>
      </c>
      <c r="L174" s="34" t="s">
        <v>48</v>
      </c>
      <c r="M174" s="33" t="n">
        <f>1648.5</f>
        <v>1648.5</v>
      </c>
      <c r="N174" s="34" t="s">
        <v>49</v>
      </c>
      <c r="O174" s="33" t="n">
        <f>1411.5</f>
        <v>1411.5</v>
      </c>
      <c r="P174" s="34" t="s">
        <v>323</v>
      </c>
      <c r="Q174" s="33" t="n">
        <f>1520</f>
        <v>1520.0</v>
      </c>
      <c r="R174" s="34" t="s">
        <v>51</v>
      </c>
      <c r="S174" s="35" t="n">
        <f>1533.16</f>
        <v>1533.16</v>
      </c>
      <c r="T174" s="32" t="n">
        <f>378580</f>
        <v>378580.0</v>
      </c>
      <c r="U174" s="32" t="str">
        <f>"－"</f>
        <v>－</v>
      </c>
      <c r="V174" s="32" t="n">
        <f>580994805</f>
        <v>5.80994805E8</v>
      </c>
      <c r="W174" s="32" t="str">
        <f>"－"</f>
        <v>－</v>
      </c>
      <c r="X174" s="36" t="n">
        <f>22</f>
        <v>22.0</v>
      </c>
    </row>
    <row r="175">
      <c r="A175" s="27" t="s">
        <v>42</v>
      </c>
      <c r="B175" s="27" t="s">
        <v>573</v>
      </c>
      <c r="C175" s="27" t="s">
        <v>574</v>
      </c>
      <c r="D175" s="27" t="s">
        <v>575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7090</f>
        <v>7090.0</v>
      </c>
      <c r="L175" s="34" t="s">
        <v>48</v>
      </c>
      <c r="M175" s="33" t="n">
        <f>8056</f>
        <v>8056.0</v>
      </c>
      <c r="N175" s="34" t="s">
        <v>129</v>
      </c>
      <c r="O175" s="33" t="n">
        <f>7051</f>
        <v>7051.0</v>
      </c>
      <c r="P175" s="34" t="s">
        <v>50</v>
      </c>
      <c r="Q175" s="33" t="n">
        <f>7331</f>
        <v>7331.0</v>
      </c>
      <c r="R175" s="34" t="s">
        <v>51</v>
      </c>
      <c r="S175" s="35" t="n">
        <f>7540.82</f>
        <v>7540.82</v>
      </c>
      <c r="T175" s="32" t="n">
        <f>16408</f>
        <v>16408.0</v>
      </c>
      <c r="U175" s="32" t="str">
        <f>"－"</f>
        <v>－</v>
      </c>
      <c r="V175" s="32" t="n">
        <f>125166711</f>
        <v>1.25166711E8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576</v>
      </c>
      <c r="C176" s="27" t="s">
        <v>577</v>
      </c>
      <c r="D176" s="27" t="s">
        <v>578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503</f>
        <v>503.0</v>
      </c>
      <c r="L176" s="34" t="s">
        <v>48</v>
      </c>
      <c r="M176" s="33" t="n">
        <f>519.8</f>
        <v>519.8</v>
      </c>
      <c r="N176" s="34" t="s">
        <v>49</v>
      </c>
      <c r="O176" s="33" t="n">
        <f>450.4</f>
        <v>450.4</v>
      </c>
      <c r="P176" s="34" t="s">
        <v>288</v>
      </c>
      <c r="Q176" s="33" t="n">
        <f>465</f>
        <v>465.0</v>
      </c>
      <c r="R176" s="34" t="s">
        <v>51</v>
      </c>
      <c r="S176" s="35" t="n">
        <f>482.45</f>
        <v>482.45</v>
      </c>
      <c r="T176" s="32" t="n">
        <f>382300</f>
        <v>382300.0</v>
      </c>
      <c r="U176" s="32" t="str">
        <f>"－"</f>
        <v>－</v>
      </c>
      <c r="V176" s="32" t="n">
        <f>184783920</f>
        <v>1.8478392E8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579</v>
      </c>
      <c r="C177" s="27" t="s">
        <v>580</v>
      </c>
      <c r="D177" s="27" t="s">
        <v>581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4866</f>
        <v>4866.0</v>
      </c>
      <c r="L177" s="34" t="s">
        <v>48</v>
      </c>
      <c r="M177" s="33" t="n">
        <f>5251</f>
        <v>5251.0</v>
      </c>
      <c r="N177" s="34" t="s">
        <v>49</v>
      </c>
      <c r="O177" s="33" t="n">
        <f>4420</f>
        <v>4420.0</v>
      </c>
      <c r="P177" s="34" t="s">
        <v>323</v>
      </c>
      <c r="Q177" s="33" t="n">
        <f>4521</f>
        <v>4521.0</v>
      </c>
      <c r="R177" s="34" t="s">
        <v>51</v>
      </c>
      <c r="S177" s="35" t="n">
        <f>4868.18</f>
        <v>4868.18</v>
      </c>
      <c r="T177" s="32" t="n">
        <f>55650</f>
        <v>55650.0</v>
      </c>
      <c r="U177" s="32" t="str">
        <f>"－"</f>
        <v>－</v>
      </c>
      <c r="V177" s="32" t="n">
        <f>270877390</f>
        <v>2.7087739E8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582</v>
      </c>
      <c r="C178" s="27" t="s">
        <v>583</v>
      </c>
      <c r="D178" s="27" t="s">
        <v>584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3422</f>
        <v>3422.0</v>
      </c>
      <c r="L178" s="34" t="s">
        <v>48</v>
      </c>
      <c r="M178" s="33" t="n">
        <f>3647</f>
        <v>3647.0</v>
      </c>
      <c r="N178" s="34" t="s">
        <v>99</v>
      </c>
      <c r="O178" s="33" t="n">
        <f>2800</f>
        <v>2800.0</v>
      </c>
      <c r="P178" s="34" t="s">
        <v>288</v>
      </c>
      <c r="Q178" s="33" t="n">
        <f>3016</f>
        <v>3016.0</v>
      </c>
      <c r="R178" s="34" t="s">
        <v>51</v>
      </c>
      <c r="S178" s="35" t="n">
        <f>3258.52</f>
        <v>3258.52</v>
      </c>
      <c r="T178" s="32" t="n">
        <f>53770</f>
        <v>53770.0</v>
      </c>
      <c r="U178" s="32" t="str">
        <f>"－"</f>
        <v>－</v>
      </c>
      <c r="V178" s="32" t="n">
        <f>173063160</f>
        <v>1.7306316E8</v>
      </c>
      <c r="W178" s="32" t="str">
        <f>"－"</f>
        <v>－</v>
      </c>
      <c r="X178" s="36" t="n">
        <f>22</f>
        <v>22.0</v>
      </c>
    </row>
    <row r="179">
      <c r="A179" s="27" t="s">
        <v>42</v>
      </c>
      <c r="B179" s="27" t="s">
        <v>585</v>
      </c>
      <c r="C179" s="27" t="s">
        <v>586</v>
      </c>
      <c r="D179" s="27" t="s">
        <v>587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146.7</f>
        <v>146.7</v>
      </c>
      <c r="L179" s="34" t="s">
        <v>48</v>
      </c>
      <c r="M179" s="33" t="n">
        <f>153</f>
        <v>153.0</v>
      </c>
      <c r="N179" s="34" t="s">
        <v>103</v>
      </c>
      <c r="O179" s="33" t="n">
        <f>127.6</f>
        <v>127.6</v>
      </c>
      <c r="P179" s="34" t="s">
        <v>253</v>
      </c>
      <c r="Q179" s="33" t="n">
        <f>129.8</f>
        <v>129.8</v>
      </c>
      <c r="R179" s="34" t="s">
        <v>51</v>
      </c>
      <c r="S179" s="35" t="n">
        <f>141.8</f>
        <v>141.8</v>
      </c>
      <c r="T179" s="32" t="n">
        <f>22606800</f>
        <v>2.26068E7</v>
      </c>
      <c r="U179" s="32" t="str">
        <f>"－"</f>
        <v>－</v>
      </c>
      <c r="V179" s="32" t="n">
        <f>3213932780</f>
        <v>3.21393278E9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588</v>
      </c>
      <c r="C180" s="27" t="s">
        <v>589</v>
      </c>
      <c r="D180" s="27" t="s">
        <v>590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183</f>
        <v>183.0</v>
      </c>
      <c r="L180" s="34" t="s">
        <v>48</v>
      </c>
      <c r="M180" s="33" t="n">
        <f>198.1</f>
        <v>198.1</v>
      </c>
      <c r="N180" s="34" t="s">
        <v>50</v>
      </c>
      <c r="O180" s="33" t="n">
        <f>176.3</f>
        <v>176.3</v>
      </c>
      <c r="P180" s="34" t="s">
        <v>323</v>
      </c>
      <c r="Q180" s="33" t="n">
        <f>179.1</f>
        <v>179.1</v>
      </c>
      <c r="R180" s="34" t="s">
        <v>51</v>
      </c>
      <c r="S180" s="35" t="n">
        <f>186.81</f>
        <v>186.81</v>
      </c>
      <c r="T180" s="32" t="n">
        <f>2946400</f>
        <v>2946400.0</v>
      </c>
      <c r="U180" s="32" t="str">
        <f>"－"</f>
        <v>－</v>
      </c>
      <c r="V180" s="32" t="n">
        <f>550788650</f>
        <v>5.5078865E8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591</v>
      </c>
      <c r="C181" s="27" t="s">
        <v>592</v>
      </c>
      <c r="D181" s="27" t="s">
        <v>593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3969</f>
        <v>3969.0</v>
      </c>
      <c r="L181" s="34" t="s">
        <v>48</v>
      </c>
      <c r="M181" s="33" t="n">
        <f>4339</f>
        <v>4339.0</v>
      </c>
      <c r="N181" s="34" t="s">
        <v>129</v>
      </c>
      <c r="O181" s="33" t="n">
        <f>3843</f>
        <v>3843.0</v>
      </c>
      <c r="P181" s="34" t="s">
        <v>323</v>
      </c>
      <c r="Q181" s="33" t="n">
        <f>4107</f>
        <v>4107.0</v>
      </c>
      <c r="R181" s="34" t="s">
        <v>51</v>
      </c>
      <c r="S181" s="35" t="n">
        <f>4108.14</f>
        <v>4108.14</v>
      </c>
      <c r="T181" s="32" t="n">
        <f>50490</f>
        <v>50490.0</v>
      </c>
      <c r="U181" s="32" t="str">
        <f>"－"</f>
        <v>－</v>
      </c>
      <c r="V181" s="32" t="n">
        <f>207407640</f>
        <v>2.0740764E8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594</v>
      </c>
      <c r="C182" s="27" t="s">
        <v>595</v>
      </c>
      <c r="D182" s="27" t="s">
        <v>596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1993.5</f>
        <v>1993.5</v>
      </c>
      <c r="L182" s="34" t="s">
        <v>48</v>
      </c>
      <c r="M182" s="33" t="n">
        <f>2060</f>
        <v>2060.0</v>
      </c>
      <c r="N182" s="34" t="s">
        <v>49</v>
      </c>
      <c r="O182" s="33" t="n">
        <f>1940</f>
        <v>1940.0</v>
      </c>
      <c r="P182" s="34" t="s">
        <v>67</v>
      </c>
      <c r="Q182" s="33" t="n">
        <f>1970.5</f>
        <v>1970.5</v>
      </c>
      <c r="R182" s="34" t="s">
        <v>51</v>
      </c>
      <c r="S182" s="35" t="n">
        <f>1996.93</f>
        <v>1996.93</v>
      </c>
      <c r="T182" s="32" t="n">
        <f>133770</f>
        <v>133770.0</v>
      </c>
      <c r="U182" s="32" t="n">
        <f>5010</f>
        <v>5010.0</v>
      </c>
      <c r="V182" s="32" t="n">
        <f>267408382</f>
        <v>2.67408382E8</v>
      </c>
      <c r="W182" s="32" t="n">
        <f>10071397</f>
        <v>1.0071397E7</v>
      </c>
      <c r="X182" s="36" t="n">
        <f>22</f>
        <v>22.0</v>
      </c>
    </row>
    <row r="183">
      <c r="A183" s="27" t="s">
        <v>42</v>
      </c>
      <c r="B183" s="27" t="s">
        <v>597</v>
      </c>
      <c r="C183" s="27" t="s">
        <v>598</v>
      </c>
      <c r="D183" s="27" t="s">
        <v>599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395</f>
        <v>395.0</v>
      </c>
      <c r="L183" s="34" t="s">
        <v>48</v>
      </c>
      <c r="M183" s="33" t="n">
        <f>444.1</f>
        <v>444.1</v>
      </c>
      <c r="N183" s="34" t="s">
        <v>49</v>
      </c>
      <c r="O183" s="33" t="n">
        <f>380.7</f>
        <v>380.7</v>
      </c>
      <c r="P183" s="34" t="s">
        <v>323</v>
      </c>
      <c r="Q183" s="33" t="n">
        <f>409.5</f>
        <v>409.5</v>
      </c>
      <c r="R183" s="34" t="s">
        <v>51</v>
      </c>
      <c r="S183" s="35" t="n">
        <f>413.04</f>
        <v>413.04</v>
      </c>
      <c r="T183" s="32" t="n">
        <f>58666480</f>
        <v>5.866648E7</v>
      </c>
      <c r="U183" s="32" t="n">
        <f>29590</f>
        <v>29590.0</v>
      </c>
      <c r="V183" s="32" t="n">
        <f>23876398570</f>
        <v>2.387639857E10</v>
      </c>
      <c r="W183" s="32" t="n">
        <f>12201635</f>
        <v>1.2201635E7</v>
      </c>
      <c r="X183" s="36" t="n">
        <f>22</f>
        <v>22.0</v>
      </c>
    </row>
    <row r="184">
      <c r="A184" s="27" t="s">
        <v>42</v>
      </c>
      <c r="B184" s="27" t="s">
        <v>600</v>
      </c>
      <c r="C184" s="27" t="s">
        <v>601</v>
      </c>
      <c r="D184" s="27" t="s">
        <v>602</v>
      </c>
      <c r="E184" s="28" t="s">
        <v>46</v>
      </c>
      <c r="F184" s="29" t="s">
        <v>46</v>
      </c>
      <c r="G184" s="30" t="s">
        <v>46</v>
      </c>
      <c r="H184" s="31"/>
      <c r="I184" s="31" t="s">
        <v>603</v>
      </c>
      <c r="J184" s="32" t="n">
        <v>1.0</v>
      </c>
      <c r="K184" s="33" t="n">
        <f>7099</f>
        <v>7099.0</v>
      </c>
      <c r="L184" s="34" t="s">
        <v>48</v>
      </c>
      <c r="M184" s="33" t="n">
        <f>8000</f>
        <v>8000.0</v>
      </c>
      <c r="N184" s="34" t="s">
        <v>86</v>
      </c>
      <c r="O184" s="33" t="n">
        <f>6701</f>
        <v>6701.0</v>
      </c>
      <c r="P184" s="34" t="s">
        <v>67</v>
      </c>
      <c r="Q184" s="33" t="n">
        <f>7718</f>
        <v>7718.0</v>
      </c>
      <c r="R184" s="34" t="s">
        <v>51</v>
      </c>
      <c r="S184" s="35" t="n">
        <f>7375.82</f>
        <v>7375.82</v>
      </c>
      <c r="T184" s="32" t="n">
        <f>38367</f>
        <v>38367.0</v>
      </c>
      <c r="U184" s="32" t="str">
        <f>"－"</f>
        <v>－</v>
      </c>
      <c r="V184" s="32" t="n">
        <f>283900414</f>
        <v>2.83900414E8</v>
      </c>
      <c r="W184" s="32" t="str">
        <f>"－"</f>
        <v>－</v>
      </c>
      <c r="X184" s="36" t="n">
        <f>22</f>
        <v>22.0</v>
      </c>
    </row>
    <row r="185">
      <c r="A185" s="27" t="s">
        <v>42</v>
      </c>
      <c r="B185" s="27" t="s">
        <v>604</v>
      </c>
      <c r="C185" s="27" t="s">
        <v>605</v>
      </c>
      <c r="D185" s="27" t="s">
        <v>606</v>
      </c>
      <c r="E185" s="28" t="s">
        <v>46</v>
      </c>
      <c r="F185" s="29" t="s">
        <v>46</v>
      </c>
      <c r="G185" s="30" t="s">
        <v>46</v>
      </c>
      <c r="H185" s="31"/>
      <c r="I185" s="31" t="s">
        <v>603</v>
      </c>
      <c r="J185" s="32" t="n">
        <v>1.0</v>
      </c>
      <c r="K185" s="33" t="n">
        <f>7435</f>
        <v>7435.0</v>
      </c>
      <c r="L185" s="34" t="s">
        <v>48</v>
      </c>
      <c r="M185" s="33" t="n">
        <f>7943</f>
        <v>7943.0</v>
      </c>
      <c r="N185" s="34" t="s">
        <v>307</v>
      </c>
      <c r="O185" s="33" t="n">
        <f>7201</f>
        <v>7201.0</v>
      </c>
      <c r="P185" s="34" t="s">
        <v>288</v>
      </c>
      <c r="Q185" s="33" t="n">
        <f>7506</f>
        <v>7506.0</v>
      </c>
      <c r="R185" s="34" t="s">
        <v>51</v>
      </c>
      <c r="S185" s="35" t="n">
        <f>7541.86</f>
        <v>7541.86</v>
      </c>
      <c r="T185" s="32" t="n">
        <f>2758</f>
        <v>2758.0</v>
      </c>
      <c r="U185" s="32" t="str">
        <f>"－"</f>
        <v>－</v>
      </c>
      <c r="V185" s="32" t="n">
        <f>21025248</f>
        <v>2.1025248E7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607</v>
      </c>
      <c r="C186" s="27" t="s">
        <v>608</v>
      </c>
      <c r="D186" s="27" t="s">
        <v>609</v>
      </c>
      <c r="E186" s="28" t="s">
        <v>46</v>
      </c>
      <c r="F186" s="29" t="s">
        <v>46</v>
      </c>
      <c r="G186" s="30" t="s">
        <v>46</v>
      </c>
      <c r="H186" s="31"/>
      <c r="I186" s="31" t="s">
        <v>603</v>
      </c>
      <c r="J186" s="32" t="n">
        <v>1.0</v>
      </c>
      <c r="K186" s="33" t="n">
        <f>13610</f>
        <v>13610.0</v>
      </c>
      <c r="L186" s="34" t="s">
        <v>48</v>
      </c>
      <c r="M186" s="33" t="n">
        <f>14095</f>
        <v>14095.0</v>
      </c>
      <c r="N186" s="34" t="s">
        <v>71</v>
      </c>
      <c r="O186" s="33" t="n">
        <f>10320</f>
        <v>10320.0</v>
      </c>
      <c r="P186" s="34" t="s">
        <v>407</v>
      </c>
      <c r="Q186" s="33" t="n">
        <f>10730</f>
        <v>10730.0</v>
      </c>
      <c r="R186" s="34" t="s">
        <v>51</v>
      </c>
      <c r="S186" s="35" t="n">
        <f>12003</f>
        <v>12003.0</v>
      </c>
      <c r="T186" s="32" t="n">
        <f>1798</f>
        <v>1798.0</v>
      </c>
      <c r="U186" s="32" t="str">
        <f>"－"</f>
        <v>－</v>
      </c>
      <c r="V186" s="32" t="n">
        <f>20510800</f>
        <v>2.05108E7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610</v>
      </c>
      <c r="C187" s="27" t="s">
        <v>611</v>
      </c>
      <c r="D187" s="27" t="s">
        <v>612</v>
      </c>
      <c r="E187" s="28" t="s">
        <v>46</v>
      </c>
      <c r="F187" s="29" t="s">
        <v>46</v>
      </c>
      <c r="G187" s="30" t="s">
        <v>46</v>
      </c>
      <c r="H187" s="31"/>
      <c r="I187" s="31" t="s">
        <v>603</v>
      </c>
      <c r="J187" s="32" t="n">
        <v>1.0</v>
      </c>
      <c r="K187" s="33" t="n">
        <f>7260</f>
        <v>7260.0</v>
      </c>
      <c r="L187" s="34" t="s">
        <v>48</v>
      </c>
      <c r="M187" s="33" t="n">
        <f>8500</f>
        <v>8500.0</v>
      </c>
      <c r="N187" s="34" t="s">
        <v>407</v>
      </c>
      <c r="O187" s="33" t="n">
        <f>7183</f>
        <v>7183.0</v>
      </c>
      <c r="P187" s="34" t="s">
        <v>48</v>
      </c>
      <c r="Q187" s="33" t="n">
        <f>8383</f>
        <v>8383.0</v>
      </c>
      <c r="R187" s="34" t="s">
        <v>51</v>
      </c>
      <c r="S187" s="35" t="n">
        <f>7940.18</f>
        <v>7940.18</v>
      </c>
      <c r="T187" s="32" t="n">
        <f>22269</f>
        <v>22269.0</v>
      </c>
      <c r="U187" s="32" t="str">
        <f>"－"</f>
        <v>－</v>
      </c>
      <c r="V187" s="32" t="n">
        <f>177608177</f>
        <v>1.77608177E8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613</v>
      </c>
      <c r="C188" s="27" t="s">
        <v>614</v>
      </c>
      <c r="D188" s="27" t="s">
        <v>615</v>
      </c>
      <c r="E188" s="28" t="s">
        <v>46</v>
      </c>
      <c r="F188" s="29" t="s">
        <v>46</v>
      </c>
      <c r="G188" s="30" t="s">
        <v>46</v>
      </c>
      <c r="H188" s="31"/>
      <c r="I188" s="31" t="s">
        <v>603</v>
      </c>
      <c r="J188" s="32" t="n">
        <v>1.0</v>
      </c>
      <c r="K188" s="33" t="n">
        <f>24765</f>
        <v>24765.0</v>
      </c>
      <c r="L188" s="34" t="s">
        <v>48</v>
      </c>
      <c r="M188" s="33" t="n">
        <f>27990</f>
        <v>27990.0</v>
      </c>
      <c r="N188" s="34" t="s">
        <v>103</v>
      </c>
      <c r="O188" s="33" t="n">
        <f>24535</f>
        <v>24535.0</v>
      </c>
      <c r="P188" s="34" t="s">
        <v>48</v>
      </c>
      <c r="Q188" s="33" t="n">
        <f>26855</f>
        <v>26855.0</v>
      </c>
      <c r="R188" s="34" t="s">
        <v>51</v>
      </c>
      <c r="S188" s="35" t="n">
        <f>26487.5</f>
        <v>26487.5</v>
      </c>
      <c r="T188" s="32" t="n">
        <f>40846</f>
        <v>40846.0</v>
      </c>
      <c r="U188" s="32" t="n">
        <f>26</f>
        <v>26.0</v>
      </c>
      <c r="V188" s="32" t="n">
        <f>1084799565</f>
        <v>1.084799565E9</v>
      </c>
      <c r="W188" s="32" t="n">
        <f>690880</f>
        <v>690880.0</v>
      </c>
      <c r="X188" s="36" t="n">
        <f>22</f>
        <v>22.0</v>
      </c>
    </row>
    <row r="189">
      <c r="A189" s="27" t="s">
        <v>42</v>
      </c>
      <c r="B189" s="27" t="s">
        <v>616</v>
      </c>
      <c r="C189" s="27" t="s">
        <v>617</v>
      </c>
      <c r="D189" s="27" t="s">
        <v>618</v>
      </c>
      <c r="E189" s="28" t="s">
        <v>46</v>
      </c>
      <c r="F189" s="29" t="s">
        <v>46</v>
      </c>
      <c r="G189" s="30" t="s">
        <v>46</v>
      </c>
      <c r="H189" s="31"/>
      <c r="I189" s="31" t="s">
        <v>603</v>
      </c>
      <c r="J189" s="32" t="n">
        <v>1.0</v>
      </c>
      <c r="K189" s="33" t="n">
        <f>4580</f>
        <v>4580.0</v>
      </c>
      <c r="L189" s="34" t="s">
        <v>48</v>
      </c>
      <c r="M189" s="33" t="n">
        <f>4585</f>
        <v>4585.0</v>
      </c>
      <c r="N189" s="34" t="s">
        <v>48</v>
      </c>
      <c r="O189" s="33" t="n">
        <f>4280</f>
        <v>4280.0</v>
      </c>
      <c r="P189" s="34" t="s">
        <v>103</v>
      </c>
      <c r="Q189" s="33" t="n">
        <f>4320</f>
        <v>4320.0</v>
      </c>
      <c r="R189" s="34" t="s">
        <v>51</v>
      </c>
      <c r="S189" s="35" t="n">
        <f>4389.55</f>
        <v>4389.55</v>
      </c>
      <c r="T189" s="32" t="n">
        <f>10622</f>
        <v>10622.0</v>
      </c>
      <c r="U189" s="32" t="str">
        <f>"－"</f>
        <v>－</v>
      </c>
      <c r="V189" s="32" t="n">
        <f>46309975</f>
        <v>4.6309975E7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619</v>
      </c>
      <c r="C190" s="27" t="s">
        <v>620</v>
      </c>
      <c r="D190" s="27" t="s">
        <v>621</v>
      </c>
      <c r="E190" s="28" t="s">
        <v>46</v>
      </c>
      <c r="F190" s="29" t="s">
        <v>46</v>
      </c>
      <c r="G190" s="30" t="s">
        <v>46</v>
      </c>
      <c r="H190" s="31"/>
      <c r="I190" s="31" t="s">
        <v>603</v>
      </c>
      <c r="J190" s="32" t="n">
        <v>1.0</v>
      </c>
      <c r="K190" s="33" t="n">
        <f>1792</f>
        <v>1792.0</v>
      </c>
      <c r="L190" s="34" t="s">
        <v>48</v>
      </c>
      <c r="M190" s="33" t="n">
        <f>2248</f>
        <v>2248.0</v>
      </c>
      <c r="N190" s="34" t="s">
        <v>49</v>
      </c>
      <c r="O190" s="33" t="n">
        <f>1660</f>
        <v>1660.0</v>
      </c>
      <c r="P190" s="34" t="s">
        <v>323</v>
      </c>
      <c r="Q190" s="33" t="n">
        <f>1901</f>
        <v>1901.0</v>
      </c>
      <c r="R190" s="34" t="s">
        <v>51</v>
      </c>
      <c r="S190" s="35" t="n">
        <f>1945.09</f>
        <v>1945.09</v>
      </c>
      <c r="T190" s="32" t="n">
        <f>57919157</f>
        <v>5.7919157E7</v>
      </c>
      <c r="U190" s="32" t="n">
        <f>300015</f>
        <v>300015.0</v>
      </c>
      <c r="V190" s="32" t="n">
        <f>112538612995</f>
        <v>1.12538612995E11</v>
      </c>
      <c r="W190" s="32" t="n">
        <f>660027598</f>
        <v>6.60027598E8</v>
      </c>
      <c r="X190" s="36" t="n">
        <f>22</f>
        <v>22.0</v>
      </c>
    </row>
    <row r="191">
      <c r="A191" s="27" t="s">
        <v>42</v>
      </c>
      <c r="B191" s="27" t="s">
        <v>622</v>
      </c>
      <c r="C191" s="27" t="s">
        <v>623</v>
      </c>
      <c r="D191" s="27" t="s">
        <v>624</v>
      </c>
      <c r="E191" s="28" t="s">
        <v>46</v>
      </c>
      <c r="F191" s="29" t="s">
        <v>46</v>
      </c>
      <c r="G191" s="30" t="s">
        <v>46</v>
      </c>
      <c r="H191" s="31"/>
      <c r="I191" s="31" t="s">
        <v>603</v>
      </c>
      <c r="J191" s="32" t="n">
        <v>1.0</v>
      </c>
      <c r="K191" s="33" t="n">
        <f>1475</f>
        <v>1475.0</v>
      </c>
      <c r="L191" s="34" t="s">
        <v>48</v>
      </c>
      <c r="M191" s="33" t="n">
        <f>1497</f>
        <v>1497.0</v>
      </c>
      <c r="N191" s="34" t="s">
        <v>87</v>
      </c>
      <c r="O191" s="33" t="n">
        <f>1309</f>
        <v>1309.0</v>
      </c>
      <c r="P191" s="34" t="s">
        <v>49</v>
      </c>
      <c r="Q191" s="33" t="n">
        <f>1396</f>
        <v>1396.0</v>
      </c>
      <c r="R191" s="34" t="s">
        <v>51</v>
      </c>
      <c r="S191" s="35" t="n">
        <f>1400.23</f>
        <v>1400.23</v>
      </c>
      <c r="T191" s="32" t="n">
        <f>5582984</f>
        <v>5582984.0</v>
      </c>
      <c r="U191" s="32" t="str">
        <f>"－"</f>
        <v>－</v>
      </c>
      <c r="V191" s="32" t="n">
        <f>7830455602</f>
        <v>7.830455602E9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625</v>
      </c>
      <c r="C192" s="27" t="s">
        <v>626</v>
      </c>
      <c r="D192" s="27" t="s">
        <v>627</v>
      </c>
      <c r="E192" s="28" t="s">
        <v>46</v>
      </c>
      <c r="F192" s="29" t="s">
        <v>46</v>
      </c>
      <c r="G192" s="30" t="s">
        <v>46</v>
      </c>
      <c r="H192" s="31"/>
      <c r="I192" s="31" t="s">
        <v>603</v>
      </c>
      <c r="J192" s="32" t="n">
        <v>1.0</v>
      </c>
      <c r="K192" s="33" t="n">
        <f>27175</f>
        <v>27175.0</v>
      </c>
      <c r="L192" s="34" t="s">
        <v>48</v>
      </c>
      <c r="M192" s="33" t="n">
        <f>27315</f>
        <v>27315.0</v>
      </c>
      <c r="N192" s="34" t="s">
        <v>71</v>
      </c>
      <c r="O192" s="33" t="n">
        <f>21850</f>
        <v>21850.0</v>
      </c>
      <c r="P192" s="34" t="s">
        <v>50</v>
      </c>
      <c r="Q192" s="33" t="n">
        <f>23085</f>
        <v>23085.0</v>
      </c>
      <c r="R192" s="34" t="s">
        <v>51</v>
      </c>
      <c r="S192" s="35" t="n">
        <f>24449.32</f>
        <v>24449.32</v>
      </c>
      <c r="T192" s="32" t="n">
        <f>218119</f>
        <v>218119.0</v>
      </c>
      <c r="U192" s="32" t="n">
        <f>1</f>
        <v>1.0</v>
      </c>
      <c r="V192" s="32" t="n">
        <f>5181261245</f>
        <v>5.181261245E9</v>
      </c>
      <c r="W192" s="32" t="n">
        <f>24000</f>
        <v>24000.0</v>
      </c>
      <c r="X192" s="36" t="n">
        <f>22</f>
        <v>22.0</v>
      </c>
    </row>
    <row r="193">
      <c r="A193" s="27" t="s">
        <v>42</v>
      </c>
      <c r="B193" s="27" t="s">
        <v>628</v>
      </c>
      <c r="C193" s="27" t="s">
        <v>629</v>
      </c>
      <c r="D193" s="27" t="s">
        <v>630</v>
      </c>
      <c r="E193" s="28" t="s">
        <v>46</v>
      </c>
      <c r="F193" s="29" t="s">
        <v>46</v>
      </c>
      <c r="G193" s="30" t="s">
        <v>46</v>
      </c>
      <c r="H193" s="31"/>
      <c r="I193" s="31" t="s">
        <v>603</v>
      </c>
      <c r="J193" s="32" t="n">
        <v>1.0</v>
      </c>
      <c r="K193" s="33" t="n">
        <f>2976</f>
        <v>2976.0</v>
      </c>
      <c r="L193" s="34" t="s">
        <v>48</v>
      </c>
      <c r="M193" s="33" t="n">
        <f>3300</f>
        <v>3300.0</v>
      </c>
      <c r="N193" s="34" t="s">
        <v>50</v>
      </c>
      <c r="O193" s="33" t="n">
        <f>2957</f>
        <v>2957.0</v>
      </c>
      <c r="P193" s="34" t="s">
        <v>71</v>
      </c>
      <c r="Q193" s="33" t="n">
        <f>3220</f>
        <v>3220.0</v>
      </c>
      <c r="R193" s="34" t="s">
        <v>51</v>
      </c>
      <c r="S193" s="35" t="n">
        <f>3135</f>
        <v>3135.0</v>
      </c>
      <c r="T193" s="32" t="n">
        <f>982328</f>
        <v>982328.0</v>
      </c>
      <c r="U193" s="32" t="n">
        <f>99004</f>
        <v>99004.0</v>
      </c>
      <c r="V193" s="32" t="n">
        <f>3096218391</f>
        <v>3.096218391E9</v>
      </c>
      <c r="W193" s="32" t="n">
        <f>298482780</f>
        <v>2.9848278E8</v>
      </c>
      <c r="X193" s="36" t="n">
        <f>22</f>
        <v>22.0</v>
      </c>
    </row>
    <row r="194">
      <c r="A194" s="27" t="s">
        <v>42</v>
      </c>
      <c r="B194" s="27" t="s">
        <v>631</v>
      </c>
      <c r="C194" s="27" t="s">
        <v>632</v>
      </c>
      <c r="D194" s="27" t="s">
        <v>633</v>
      </c>
      <c r="E194" s="28" t="s">
        <v>46</v>
      </c>
      <c r="F194" s="29" t="s">
        <v>46</v>
      </c>
      <c r="G194" s="30" t="s">
        <v>46</v>
      </c>
      <c r="H194" s="31"/>
      <c r="I194" s="31" t="s">
        <v>603</v>
      </c>
      <c r="J194" s="32" t="n">
        <v>1.0</v>
      </c>
      <c r="K194" s="33" t="n">
        <f>7307</f>
        <v>7307.0</v>
      </c>
      <c r="L194" s="34" t="s">
        <v>48</v>
      </c>
      <c r="M194" s="33" t="n">
        <f>7487</f>
        <v>7487.0</v>
      </c>
      <c r="N194" s="34" t="s">
        <v>49</v>
      </c>
      <c r="O194" s="33" t="n">
        <f>6508</f>
        <v>6508.0</v>
      </c>
      <c r="P194" s="34" t="s">
        <v>50</v>
      </c>
      <c r="Q194" s="33" t="n">
        <f>7125</f>
        <v>7125.0</v>
      </c>
      <c r="R194" s="34" t="s">
        <v>51</v>
      </c>
      <c r="S194" s="35" t="n">
        <f>7056.5</f>
        <v>7056.5</v>
      </c>
      <c r="T194" s="32" t="n">
        <f>68229</f>
        <v>68229.0</v>
      </c>
      <c r="U194" s="32" t="n">
        <f>4131</f>
        <v>4131.0</v>
      </c>
      <c r="V194" s="32" t="n">
        <f>478279630</f>
        <v>4.7827963E8</v>
      </c>
      <c r="W194" s="32" t="n">
        <f>29129027</f>
        <v>2.9129027E7</v>
      </c>
      <c r="X194" s="36" t="n">
        <f>22</f>
        <v>22.0</v>
      </c>
    </row>
    <row r="195">
      <c r="A195" s="27" t="s">
        <v>42</v>
      </c>
      <c r="B195" s="27" t="s">
        <v>634</v>
      </c>
      <c r="C195" s="27" t="s">
        <v>635</v>
      </c>
      <c r="D195" s="27" t="s">
        <v>636</v>
      </c>
      <c r="E195" s="28" t="s">
        <v>46</v>
      </c>
      <c r="F195" s="29" t="s">
        <v>46</v>
      </c>
      <c r="G195" s="30" t="s">
        <v>46</v>
      </c>
      <c r="H195" s="31"/>
      <c r="I195" s="31" t="s">
        <v>603</v>
      </c>
      <c r="J195" s="32" t="n">
        <v>1.0</v>
      </c>
      <c r="K195" s="33" t="n">
        <f>15635</f>
        <v>15635.0</v>
      </c>
      <c r="L195" s="34" t="s">
        <v>48</v>
      </c>
      <c r="M195" s="33" t="n">
        <f>16480</f>
        <v>16480.0</v>
      </c>
      <c r="N195" s="34" t="s">
        <v>49</v>
      </c>
      <c r="O195" s="33" t="n">
        <f>15130</f>
        <v>15130.0</v>
      </c>
      <c r="P195" s="34" t="s">
        <v>407</v>
      </c>
      <c r="Q195" s="33" t="n">
        <f>15335</f>
        <v>15335.0</v>
      </c>
      <c r="R195" s="34" t="s">
        <v>288</v>
      </c>
      <c r="S195" s="35" t="n">
        <f>15726.33</f>
        <v>15726.33</v>
      </c>
      <c r="T195" s="32" t="n">
        <f>395</f>
        <v>395.0</v>
      </c>
      <c r="U195" s="32" t="str">
        <f>"－"</f>
        <v>－</v>
      </c>
      <c r="V195" s="32" t="n">
        <f>6306970</f>
        <v>6306970.0</v>
      </c>
      <c r="W195" s="32" t="str">
        <f>"－"</f>
        <v>－</v>
      </c>
      <c r="X195" s="36" t="n">
        <f>15</f>
        <v>15.0</v>
      </c>
    </row>
    <row r="196">
      <c r="A196" s="27" t="s">
        <v>42</v>
      </c>
      <c r="B196" s="27" t="s">
        <v>637</v>
      </c>
      <c r="C196" s="27" t="s">
        <v>638</v>
      </c>
      <c r="D196" s="27" t="s">
        <v>639</v>
      </c>
      <c r="E196" s="28" t="s">
        <v>46</v>
      </c>
      <c r="F196" s="29" t="s">
        <v>46</v>
      </c>
      <c r="G196" s="30" t="s">
        <v>46</v>
      </c>
      <c r="H196" s="31"/>
      <c r="I196" s="31" t="s">
        <v>603</v>
      </c>
      <c r="J196" s="32" t="n">
        <v>1.0</v>
      </c>
      <c r="K196" s="33" t="n">
        <f>22355</f>
        <v>22355.0</v>
      </c>
      <c r="L196" s="34" t="s">
        <v>48</v>
      </c>
      <c r="M196" s="33" t="n">
        <f>22990</f>
        <v>22990.0</v>
      </c>
      <c r="N196" s="34" t="s">
        <v>99</v>
      </c>
      <c r="O196" s="33" t="n">
        <f>20500</f>
        <v>20500.0</v>
      </c>
      <c r="P196" s="34" t="s">
        <v>67</v>
      </c>
      <c r="Q196" s="33" t="n">
        <f>21850</f>
        <v>21850.0</v>
      </c>
      <c r="R196" s="34" t="s">
        <v>51</v>
      </c>
      <c r="S196" s="35" t="n">
        <f>21901.14</f>
        <v>21901.14</v>
      </c>
      <c r="T196" s="32" t="n">
        <f>24473</f>
        <v>24473.0</v>
      </c>
      <c r="U196" s="32" t="n">
        <f>1007</f>
        <v>1007.0</v>
      </c>
      <c r="V196" s="32" t="n">
        <f>536376230</f>
        <v>5.3637623E8</v>
      </c>
      <c r="W196" s="32" t="n">
        <f>22130560</f>
        <v>2.213056E7</v>
      </c>
      <c r="X196" s="36" t="n">
        <f>22</f>
        <v>22.0</v>
      </c>
    </row>
    <row r="197">
      <c r="A197" s="27" t="s">
        <v>42</v>
      </c>
      <c r="B197" s="27" t="s">
        <v>640</v>
      </c>
      <c r="C197" s="27" t="s">
        <v>641</v>
      </c>
      <c r="D197" s="27" t="s">
        <v>642</v>
      </c>
      <c r="E197" s="28" t="s">
        <v>46</v>
      </c>
      <c r="F197" s="29" t="s">
        <v>46</v>
      </c>
      <c r="G197" s="30" t="s">
        <v>46</v>
      </c>
      <c r="H197" s="31"/>
      <c r="I197" s="31" t="s">
        <v>603</v>
      </c>
      <c r="J197" s="32" t="n">
        <v>1.0</v>
      </c>
      <c r="K197" s="33" t="n">
        <f>15495</f>
        <v>15495.0</v>
      </c>
      <c r="L197" s="34" t="s">
        <v>48</v>
      </c>
      <c r="M197" s="33" t="n">
        <f>16455</f>
        <v>16455.0</v>
      </c>
      <c r="N197" s="34" t="s">
        <v>49</v>
      </c>
      <c r="O197" s="33" t="n">
        <f>15005</f>
        <v>15005.0</v>
      </c>
      <c r="P197" s="34" t="s">
        <v>67</v>
      </c>
      <c r="Q197" s="33" t="n">
        <f>16005</f>
        <v>16005.0</v>
      </c>
      <c r="R197" s="34" t="s">
        <v>86</v>
      </c>
      <c r="S197" s="35" t="n">
        <f>15738.06</f>
        <v>15738.06</v>
      </c>
      <c r="T197" s="32" t="n">
        <f>313</f>
        <v>313.0</v>
      </c>
      <c r="U197" s="32" t="str">
        <f>"－"</f>
        <v>－</v>
      </c>
      <c r="V197" s="32" t="n">
        <f>4958920</f>
        <v>4958920.0</v>
      </c>
      <c r="W197" s="32" t="str">
        <f>"－"</f>
        <v>－</v>
      </c>
      <c r="X197" s="36" t="n">
        <f>18</f>
        <v>18.0</v>
      </c>
    </row>
    <row r="198">
      <c r="A198" s="27" t="s">
        <v>42</v>
      </c>
      <c r="B198" s="27" t="s">
        <v>643</v>
      </c>
      <c r="C198" s="27" t="s">
        <v>644</v>
      </c>
      <c r="D198" s="27" t="s">
        <v>645</v>
      </c>
      <c r="E198" s="28" t="s">
        <v>46</v>
      </c>
      <c r="F198" s="29" t="s">
        <v>46</v>
      </c>
      <c r="G198" s="30" t="s">
        <v>46</v>
      </c>
      <c r="H198" s="31"/>
      <c r="I198" s="31" t="s">
        <v>603</v>
      </c>
      <c r="J198" s="32" t="n">
        <v>1.0</v>
      </c>
      <c r="K198" s="33" t="n">
        <f>16940</f>
        <v>16940.0</v>
      </c>
      <c r="L198" s="34" t="s">
        <v>48</v>
      </c>
      <c r="M198" s="33" t="n">
        <f>17470</f>
        <v>17470.0</v>
      </c>
      <c r="N198" s="34" t="s">
        <v>71</v>
      </c>
      <c r="O198" s="33" t="n">
        <f>14830</f>
        <v>14830.0</v>
      </c>
      <c r="P198" s="34" t="s">
        <v>67</v>
      </c>
      <c r="Q198" s="33" t="n">
        <f>15760</f>
        <v>15760.0</v>
      </c>
      <c r="R198" s="34" t="s">
        <v>51</v>
      </c>
      <c r="S198" s="35" t="n">
        <f>16112.95</f>
        <v>16112.95</v>
      </c>
      <c r="T198" s="32" t="n">
        <f>24687</f>
        <v>24687.0</v>
      </c>
      <c r="U198" s="32" t="str">
        <f>"－"</f>
        <v>－</v>
      </c>
      <c r="V198" s="32" t="n">
        <f>397701905</f>
        <v>3.97701905E8</v>
      </c>
      <c r="W198" s="32" t="str">
        <f>"－"</f>
        <v>－</v>
      </c>
      <c r="X198" s="36" t="n">
        <f>22</f>
        <v>22.0</v>
      </c>
    </row>
    <row r="199">
      <c r="A199" s="27" t="s">
        <v>42</v>
      </c>
      <c r="B199" s="27" t="s">
        <v>646</v>
      </c>
      <c r="C199" s="27" t="s">
        <v>647</v>
      </c>
      <c r="D199" s="27" t="s">
        <v>648</v>
      </c>
      <c r="E199" s="28" t="s">
        <v>46</v>
      </c>
      <c r="F199" s="29" t="s">
        <v>46</v>
      </c>
      <c r="G199" s="30" t="s">
        <v>46</v>
      </c>
      <c r="H199" s="31"/>
      <c r="I199" s="31" t="s">
        <v>603</v>
      </c>
      <c r="J199" s="32" t="n">
        <v>1.0</v>
      </c>
      <c r="K199" s="33" t="n">
        <f>4585</f>
        <v>4585.0</v>
      </c>
      <c r="L199" s="34" t="s">
        <v>48</v>
      </c>
      <c r="M199" s="33" t="n">
        <f>5180</f>
        <v>5180.0</v>
      </c>
      <c r="N199" s="34" t="s">
        <v>407</v>
      </c>
      <c r="O199" s="33" t="n">
        <f>4505</f>
        <v>4505.0</v>
      </c>
      <c r="P199" s="34" t="s">
        <v>71</v>
      </c>
      <c r="Q199" s="33" t="n">
        <f>4985</f>
        <v>4985.0</v>
      </c>
      <c r="R199" s="34" t="s">
        <v>51</v>
      </c>
      <c r="S199" s="35" t="n">
        <f>4892.73</f>
        <v>4892.73</v>
      </c>
      <c r="T199" s="32" t="n">
        <f>6528</f>
        <v>6528.0</v>
      </c>
      <c r="U199" s="32" t="str">
        <f>"－"</f>
        <v>－</v>
      </c>
      <c r="V199" s="32" t="n">
        <f>32460260</f>
        <v>3.246026E7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649</v>
      </c>
      <c r="C200" s="27" t="s">
        <v>650</v>
      </c>
      <c r="D200" s="27" t="s">
        <v>651</v>
      </c>
      <c r="E200" s="28" t="s">
        <v>46</v>
      </c>
      <c r="F200" s="29" t="s">
        <v>46</v>
      </c>
      <c r="G200" s="30" t="s">
        <v>46</v>
      </c>
      <c r="H200" s="31"/>
      <c r="I200" s="31" t="s">
        <v>603</v>
      </c>
      <c r="J200" s="32" t="n">
        <v>1.0</v>
      </c>
      <c r="K200" s="33" t="n">
        <f>14245</f>
        <v>14245.0</v>
      </c>
      <c r="L200" s="34" t="s">
        <v>87</v>
      </c>
      <c r="M200" s="33" t="n">
        <f>15195</f>
        <v>15195.0</v>
      </c>
      <c r="N200" s="34" t="s">
        <v>49</v>
      </c>
      <c r="O200" s="33" t="n">
        <f>14185</f>
        <v>14185.0</v>
      </c>
      <c r="P200" s="34" t="s">
        <v>71</v>
      </c>
      <c r="Q200" s="33" t="n">
        <f>14780</f>
        <v>14780.0</v>
      </c>
      <c r="R200" s="34" t="s">
        <v>51</v>
      </c>
      <c r="S200" s="35" t="n">
        <f>14728.75</f>
        <v>14728.75</v>
      </c>
      <c r="T200" s="32" t="n">
        <f>3055</f>
        <v>3055.0</v>
      </c>
      <c r="U200" s="32" t="str">
        <f>"－"</f>
        <v>－</v>
      </c>
      <c r="V200" s="32" t="n">
        <f>45567820</f>
        <v>4.556782E7</v>
      </c>
      <c r="W200" s="32" t="str">
        <f>"－"</f>
        <v>－</v>
      </c>
      <c r="X200" s="36" t="n">
        <f>20</f>
        <v>20.0</v>
      </c>
    </row>
    <row r="201">
      <c r="A201" s="27" t="s">
        <v>42</v>
      </c>
      <c r="B201" s="27" t="s">
        <v>652</v>
      </c>
      <c r="C201" s="27" t="s">
        <v>653</v>
      </c>
      <c r="D201" s="27" t="s">
        <v>654</v>
      </c>
      <c r="E201" s="28" t="s">
        <v>46</v>
      </c>
      <c r="F201" s="29" t="s">
        <v>46</v>
      </c>
      <c r="G201" s="30" t="s">
        <v>46</v>
      </c>
      <c r="H201" s="31"/>
      <c r="I201" s="31" t="s">
        <v>603</v>
      </c>
      <c r="J201" s="32" t="n">
        <v>1.0</v>
      </c>
      <c r="K201" s="33" t="n">
        <f>12720</f>
        <v>12720.0</v>
      </c>
      <c r="L201" s="34" t="s">
        <v>129</v>
      </c>
      <c r="M201" s="33" t="n">
        <f>12720</f>
        <v>12720.0</v>
      </c>
      <c r="N201" s="34" t="s">
        <v>129</v>
      </c>
      <c r="O201" s="33" t="n">
        <f>11905</f>
        <v>11905.0</v>
      </c>
      <c r="P201" s="34" t="s">
        <v>50</v>
      </c>
      <c r="Q201" s="33" t="n">
        <f>12005</f>
        <v>12005.0</v>
      </c>
      <c r="R201" s="34" t="s">
        <v>403</v>
      </c>
      <c r="S201" s="35" t="n">
        <f>12243.75</f>
        <v>12243.75</v>
      </c>
      <c r="T201" s="32" t="n">
        <f>15</f>
        <v>15.0</v>
      </c>
      <c r="U201" s="32" t="str">
        <f>"－"</f>
        <v>－</v>
      </c>
      <c r="V201" s="32" t="n">
        <f>184085</f>
        <v>184085.0</v>
      </c>
      <c r="W201" s="32" t="str">
        <f>"－"</f>
        <v>－</v>
      </c>
      <c r="X201" s="36" t="n">
        <f>4</f>
        <v>4.0</v>
      </c>
    </row>
    <row r="202">
      <c r="A202" s="27" t="s">
        <v>42</v>
      </c>
      <c r="B202" s="27" t="s">
        <v>655</v>
      </c>
      <c r="C202" s="27" t="s">
        <v>656</v>
      </c>
      <c r="D202" s="27" t="s">
        <v>657</v>
      </c>
      <c r="E202" s="28" t="s">
        <v>46</v>
      </c>
      <c r="F202" s="29" t="s">
        <v>46</v>
      </c>
      <c r="G202" s="30" t="s">
        <v>46</v>
      </c>
      <c r="H202" s="31"/>
      <c r="I202" s="31" t="s">
        <v>603</v>
      </c>
      <c r="J202" s="32" t="n">
        <v>1.0</v>
      </c>
      <c r="K202" s="33" t="n">
        <f>16200</f>
        <v>16200.0</v>
      </c>
      <c r="L202" s="34" t="s">
        <v>48</v>
      </c>
      <c r="M202" s="33" t="n">
        <f>17440</f>
        <v>17440.0</v>
      </c>
      <c r="N202" s="34" t="s">
        <v>51</v>
      </c>
      <c r="O202" s="33" t="n">
        <f>16200</f>
        <v>16200.0</v>
      </c>
      <c r="P202" s="34" t="s">
        <v>48</v>
      </c>
      <c r="Q202" s="33" t="n">
        <f>17440</f>
        <v>17440.0</v>
      </c>
      <c r="R202" s="34" t="s">
        <v>51</v>
      </c>
      <c r="S202" s="35" t="n">
        <f>16930</f>
        <v>16930.0</v>
      </c>
      <c r="T202" s="32" t="n">
        <f>8873</f>
        <v>8873.0</v>
      </c>
      <c r="U202" s="32" t="n">
        <f>7900</f>
        <v>7900.0</v>
      </c>
      <c r="V202" s="32" t="n">
        <f>153876410</f>
        <v>1.5387641E8</v>
      </c>
      <c r="W202" s="32" t="n">
        <f>137460000</f>
        <v>1.3746E8</v>
      </c>
      <c r="X202" s="36" t="n">
        <f>11</f>
        <v>11.0</v>
      </c>
    </row>
    <row r="203">
      <c r="A203" s="27" t="s">
        <v>42</v>
      </c>
      <c r="B203" s="27" t="s">
        <v>658</v>
      </c>
      <c r="C203" s="27" t="s">
        <v>659</v>
      </c>
      <c r="D203" s="27" t="s">
        <v>660</v>
      </c>
      <c r="E203" s="28" t="s">
        <v>46</v>
      </c>
      <c r="F203" s="29" t="s">
        <v>46</v>
      </c>
      <c r="G203" s="30" t="s">
        <v>46</v>
      </c>
      <c r="H203" s="31"/>
      <c r="I203" s="31" t="s">
        <v>603</v>
      </c>
      <c r="J203" s="32" t="n">
        <v>1.0</v>
      </c>
      <c r="K203" s="33" t="n">
        <f>16220</f>
        <v>16220.0</v>
      </c>
      <c r="L203" s="34" t="s">
        <v>407</v>
      </c>
      <c r="M203" s="33" t="n">
        <f>16220</f>
        <v>16220.0</v>
      </c>
      <c r="N203" s="34" t="s">
        <v>407</v>
      </c>
      <c r="O203" s="33" t="n">
        <f>16220</f>
        <v>16220.0</v>
      </c>
      <c r="P203" s="34" t="s">
        <v>407</v>
      </c>
      <c r="Q203" s="33" t="n">
        <f>16220</f>
        <v>16220.0</v>
      </c>
      <c r="R203" s="34" t="s">
        <v>253</v>
      </c>
      <c r="S203" s="35" t="n">
        <f>16220</f>
        <v>16220.0</v>
      </c>
      <c r="T203" s="32" t="n">
        <f>88</f>
        <v>88.0</v>
      </c>
      <c r="U203" s="32" t="str">
        <f>"－"</f>
        <v>－</v>
      </c>
      <c r="V203" s="32" t="n">
        <f>1427360</f>
        <v>1427360.0</v>
      </c>
      <c r="W203" s="32" t="str">
        <f>"－"</f>
        <v>－</v>
      </c>
      <c r="X203" s="36" t="n">
        <f>2</f>
        <v>2.0</v>
      </c>
    </row>
    <row r="204">
      <c r="A204" s="27" t="s">
        <v>42</v>
      </c>
      <c r="B204" s="27" t="s">
        <v>661</v>
      </c>
      <c r="C204" s="27" t="s">
        <v>662</v>
      </c>
      <c r="D204" s="27" t="s">
        <v>663</v>
      </c>
      <c r="E204" s="28" t="s">
        <v>46</v>
      </c>
      <c r="F204" s="29" t="s">
        <v>46</v>
      </c>
      <c r="G204" s="30" t="s">
        <v>46</v>
      </c>
      <c r="H204" s="31"/>
      <c r="I204" s="31" t="s">
        <v>603</v>
      </c>
      <c r="J204" s="32" t="n">
        <v>1.0</v>
      </c>
      <c r="K204" s="33" t="n">
        <f>13070</f>
        <v>13070.0</v>
      </c>
      <c r="L204" s="34" t="s">
        <v>48</v>
      </c>
      <c r="M204" s="33" t="n">
        <f>13550</f>
        <v>13550.0</v>
      </c>
      <c r="N204" s="34" t="s">
        <v>49</v>
      </c>
      <c r="O204" s="33" t="n">
        <f>12720</f>
        <v>12720.0</v>
      </c>
      <c r="P204" s="34" t="s">
        <v>76</v>
      </c>
      <c r="Q204" s="33" t="n">
        <f>12975</f>
        <v>12975.0</v>
      </c>
      <c r="R204" s="34" t="s">
        <v>253</v>
      </c>
      <c r="S204" s="35" t="n">
        <f>13117.14</f>
        <v>13117.14</v>
      </c>
      <c r="T204" s="32" t="n">
        <f>2521</f>
        <v>2521.0</v>
      </c>
      <c r="U204" s="32" t="n">
        <f>1</f>
        <v>1.0</v>
      </c>
      <c r="V204" s="32" t="n">
        <f>33704080</f>
        <v>3.370408E7</v>
      </c>
      <c r="W204" s="32" t="n">
        <f>12920</f>
        <v>12920.0</v>
      </c>
      <c r="X204" s="36" t="n">
        <f>14</f>
        <v>14.0</v>
      </c>
    </row>
    <row r="205">
      <c r="A205" s="27" t="s">
        <v>42</v>
      </c>
      <c r="B205" s="27" t="s">
        <v>664</v>
      </c>
      <c r="C205" s="27" t="s">
        <v>665</v>
      </c>
      <c r="D205" s="27" t="s">
        <v>666</v>
      </c>
      <c r="E205" s="28" t="s">
        <v>46</v>
      </c>
      <c r="F205" s="29" t="s">
        <v>46</v>
      </c>
      <c r="G205" s="30" t="s">
        <v>46</v>
      </c>
      <c r="H205" s="31"/>
      <c r="I205" s="31" t="s">
        <v>603</v>
      </c>
      <c r="J205" s="32" t="n">
        <v>1.0</v>
      </c>
      <c r="K205" s="33" t="n">
        <f>14675</f>
        <v>14675.0</v>
      </c>
      <c r="L205" s="34" t="s">
        <v>253</v>
      </c>
      <c r="M205" s="33" t="n">
        <f>14675</f>
        <v>14675.0</v>
      </c>
      <c r="N205" s="34" t="s">
        <v>253</v>
      </c>
      <c r="O205" s="33" t="n">
        <f>14675</f>
        <v>14675.0</v>
      </c>
      <c r="P205" s="34" t="s">
        <v>253</v>
      </c>
      <c r="Q205" s="33" t="n">
        <f>14675</f>
        <v>14675.0</v>
      </c>
      <c r="R205" s="34" t="s">
        <v>253</v>
      </c>
      <c r="S205" s="35" t="n">
        <f>14675</f>
        <v>14675.0</v>
      </c>
      <c r="T205" s="32" t="n">
        <f>1</f>
        <v>1.0</v>
      </c>
      <c r="U205" s="32" t="str">
        <f>"－"</f>
        <v>－</v>
      </c>
      <c r="V205" s="32" t="n">
        <f>14675</f>
        <v>14675.0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667</v>
      </c>
      <c r="C206" s="27" t="s">
        <v>668</v>
      </c>
      <c r="D206" s="27" t="s">
        <v>669</v>
      </c>
      <c r="E206" s="28" t="s">
        <v>46</v>
      </c>
      <c r="F206" s="29" t="s">
        <v>46</v>
      </c>
      <c r="G206" s="30" t="s">
        <v>46</v>
      </c>
      <c r="H206" s="31"/>
      <c r="I206" s="31" t="s">
        <v>603</v>
      </c>
      <c r="J206" s="32" t="n">
        <v>1.0</v>
      </c>
      <c r="K206" s="33" t="n">
        <f>13310</f>
        <v>13310.0</v>
      </c>
      <c r="L206" s="34" t="s">
        <v>129</v>
      </c>
      <c r="M206" s="33" t="n">
        <f>13310</f>
        <v>13310.0</v>
      </c>
      <c r="N206" s="34" t="s">
        <v>129</v>
      </c>
      <c r="O206" s="33" t="n">
        <f>13310</f>
        <v>13310.0</v>
      </c>
      <c r="P206" s="34" t="s">
        <v>129</v>
      </c>
      <c r="Q206" s="33" t="n">
        <f>13310</f>
        <v>13310.0</v>
      </c>
      <c r="R206" s="34" t="s">
        <v>129</v>
      </c>
      <c r="S206" s="35" t="n">
        <f>13310</f>
        <v>13310.0</v>
      </c>
      <c r="T206" s="32" t="n">
        <f>1</f>
        <v>1.0</v>
      </c>
      <c r="U206" s="32" t="str">
        <f>"－"</f>
        <v>－</v>
      </c>
      <c r="V206" s="32" t="n">
        <f>13310</f>
        <v>13310.0</v>
      </c>
      <c r="W206" s="32" t="str">
        <f>"－"</f>
        <v>－</v>
      </c>
      <c r="X206" s="36" t="n">
        <f>1</f>
        <v>1.0</v>
      </c>
    </row>
    <row r="207">
      <c r="A207" s="27" t="s">
        <v>42</v>
      </c>
      <c r="B207" s="27" t="s">
        <v>670</v>
      </c>
      <c r="C207" s="27" t="s">
        <v>671</v>
      </c>
      <c r="D207" s="27" t="s">
        <v>672</v>
      </c>
      <c r="E207" s="28" t="s">
        <v>46</v>
      </c>
      <c r="F207" s="29" t="s">
        <v>46</v>
      </c>
      <c r="G207" s="30" t="s">
        <v>46</v>
      </c>
      <c r="H207" s="31"/>
      <c r="I207" s="31" t="s">
        <v>603</v>
      </c>
      <c r="J207" s="32" t="n">
        <v>1.0</v>
      </c>
      <c r="K207" s="33" t="n">
        <f>9243</f>
        <v>9243.0</v>
      </c>
      <c r="L207" s="34" t="s">
        <v>48</v>
      </c>
      <c r="M207" s="33" t="n">
        <f>9538</f>
        <v>9538.0</v>
      </c>
      <c r="N207" s="34" t="s">
        <v>49</v>
      </c>
      <c r="O207" s="33" t="n">
        <f>8986</f>
        <v>8986.0</v>
      </c>
      <c r="P207" s="34" t="s">
        <v>403</v>
      </c>
      <c r="Q207" s="33" t="n">
        <f>9269</f>
        <v>9269.0</v>
      </c>
      <c r="R207" s="34" t="s">
        <v>51</v>
      </c>
      <c r="S207" s="35" t="n">
        <f>9284.75</f>
        <v>9284.75</v>
      </c>
      <c r="T207" s="32" t="n">
        <f>8333</f>
        <v>8333.0</v>
      </c>
      <c r="U207" s="32" t="str">
        <f>"－"</f>
        <v>－</v>
      </c>
      <c r="V207" s="32" t="n">
        <f>77992442</f>
        <v>7.7992442E7</v>
      </c>
      <c r="W207" s="32" t="str">
        <f>"－"</f>
        <v>－</v>
      </c>
      <c r="X207" s="36" t="n">
        <f>12</f>
        <v>12.0</v>
      </c>
    </row>
    <row r="208">
      <c r="A208" s="27" t="s">
        <v>42</v>
      </c>
      <c r="B208" s="27" t="s">
        <v>673</v>
      </c>
      <c r="C208" s="27" t="s">
        <v>674</v>
      </c>
      <c r="D208" s="27" t="s">
        <v>675</v>
      </c>
      <c r="E208" s="28" t="s">
        <v>46</v>
      </c>
      <c r="F208" s="29" t="s">
        <v>46</v>
      </c>
      <c r="G208" s="30" t="s">
        <v>46</v>
      </c>
      <c r="H208" s="31"/>
      <c r="I208" s="31" t="s">
        <v>603</v>
      </c>
      <c r="J208" s="32" t="n">
        <v>1.0</v>
      </c>
      <c r="K208" s="33" t="n">
        <f>10040</f>
        <v>10040.0</v>
      </c>
      <c r="L208" s="34" t="s">
        <v>48</v>
      </c>
      <c r="M208" s="33" t="n">
        <f>10285</f>
        <v>10285.0</v>
      </c>
      <c r="N208" s="34" t="s">
        <v>49</v>
      </c>
      <c r="O208" s="33" t="n">
        <f>9202</f>
        <v>9202.0</v>
      </c>
      <c r="P208" s="34" t="s">
        <v>50</v>
      </c>
      <c r="Q208" s="33" t="n">
        <f>9563</f>
        <v>9563.0</v>
      </c>
      <c r="R208" s="34" t="s">
        <v>51</v>
      </c>
      <c r="S208" s="35" t="n">
        <f>9763.55</f>
        <v>9763.55</v>
      </c>
      <c r="T208" s="32" t="n">
        <f>68246</f>
        <v>68246.0</v>
      </c>
      <c r="U208" s="32" t="str">
        <f>"－"</f>
        <v>－</v>
      </c>
      <c r="V208" s="32" t="n">
        <f>662780311</f>
        <v>6.62780311E8</v>
      </c>
      <c r="W208" s="32" t="str">
        <f>"－"</f>
        <v>－</v>
      </c>
      <c r="X208" s="36" t="n">
        <f>22</f>
        <v>22.0</v>
      </c>
    </row>
    <row r="209">
      <c r="A209" s="27" t="s">
        <v>42</v>
      </c>
      <c r="B209" s="27" t="s">
        <v>676</v>
      </c>
      <c r="C209" s="27" t="s">
        <v>677</v>
      </c>
      <c r="D209" s="27" t="s">
        <v>678</v>
      </c>
      <c r="E209" s="28" t="s">
        <v>46</v>
      </c>
      <c r="F209" s="29" t="s">
        <v>46</v>
      </c>
      <c r="G209" s="30" t="s">
        <v>46</v>
      </c>
      <c r="H209" s="31"/>
      <c r="I209" s="31" t="s">
        <v>603</v>
      </c>
      <c r="J209" s="32" t="n">
        <v>1.0</v>
      </c>
      <c r="K209" s="33" t="n">
        <f>9334</f>
        <v>9334.0</v>
      </c>
      <c r="L209" s="34" t="s">
        <v>48</v>
      </c>
      <c r="M209" s="33" t="n">
        <f>9455</f>
        <v>9455.0</v>
      </c>
      <c r="N209" s="34" t="s">
        <v>49</v>
      </c>
      <c r="O209" s="33" t="n">
        <f>8678</f>
        <v>8678.0</v>
      </c>
      <c r="P209" s="34" t="s">
        <v>50</v>
      </c>
      <c r="Q209" s="33" t="n">
        <f>9228</f>
        <v>9228.0</v>
      </c>
      <c r="R209" s="34" t="s">
        <v>51</v>
      </c>
      <c r="S209" s="35" t="n">
        <f>9153.21</f>
        <v>9153.21</v>
      </c>
      <c r="T209" s="32" t="n">
        <f>12032</f>
        <v>12032.0</v>
      </c>
      <c r="U209" s="32" t="str">
        <f>"－"</f>
        <v>－</v>
      </c>
      <c r="V209" s="32" t="n">
        <f>109874873</f>
        <v>1.09874873E8</v>
      </c>
      <c r="W209" s="32" t="str">
        <f>"－"</f>
        <v>－</v>
      </c>
      <c r="X209" s="36" t="n">
        <f>14</f>
        <v>14.0</v>
      </c>
    </row>
    <row r="210">
      <c r="A210" s="27" t="s">
        <v>42</v>
      </c>
      <c r="B210" s="27" t="s">
        <v>679</v>
      </c>
      <c r="C210" s="27" t="s">
        <v>680</v>
      </c>
      <c r="D210" s="27" t="s">
        <v>681</v>
      </c>
      <c r="E210" s="28" t="s">
        <v>46</v>
      </c>
      <c r="F210" s="29" t="s">
        <v>46</v>
      </c>
      <c r="G210" s="30" t="s">
        <v>46</v>
      </c>
      <c r="H210" s="31"/>
      <c r="I210" s="31" t="s">
        <v>603</v>
      </c>
      <c r="J210" s="32" t="n">
        <v>1.0</v>
      </c>
      <c r="K210" s="33" t="n">
        <f>10015</f>
        <v>10015.0</v>
      </c>
      <c r="L210" s="34" t="s">
        <v>48</v>
      </c>
      <c r="M210" s="33" t="n">
        <f>10015</f>
        <v>10015.0</v>
      </c>
      <c r="N210" s="34" t="s">
        <v>48</v>
      </c>
      <c r="O210" s="33" t="n">
        <f>8997</f>
        <v>8997.0</v>
      </c>
      <c r="P210" s="34" t="s">
        <v>50</v>
      </c>
      <c r="Q210" s="33" t="n">
        <f>9466</f>
        <v>9466.0</v>
      </c>
      <c r="R210" s="34" t="s">
        <v>253</v>
      </c>
      <c r="S210" s="35" t="n">
        <f>9474.33</f>
        <v>9474.33</v>
      </c>
      <c r="T210" s="32" t="n">
        <f>356</f>
        <v>356.0</v>
      </c>
      <c r="U210" s="32" t="str">
        <f>"－"</f>
        <v>－</v>
      </c>
      <c r="V210" s="32" t="n">
        <f>3352107</f>
        <v>3352107.0</v>
      </c>
      <c r="W210" s="32" t="str">
        <f>"－"</f>
        <v>－</v>
      </c>
      <c r="X210" s="36" t="n">
        <f>6</f>
        <v>6.0</v>
      </c>
    </row>
    <row r="211">
      <c r="A211" s="27" t="s">
        <v>42</v>
      </c>
      <c r="B211" s="27" t="s">
        <v>682</v>
      </c>
      <c r="C211" s="27" t="s">
        <v>683</v>
      </c>
      <c r="D211" s="27" t="s">
        <v>684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973</f>
        <v>973.0</v>
      </c>
      <c r="L211" s="34" t="s">
        <v>48</v>
      </c>
      <c r="M211" s="33" t="n">
        <f>973.3</f>
        <v>973.3</v>
      </c>
      <c r="N211" s="34" t="s">
        <v>87</v>
      </c>
      <c r="O211" s="33" t="n">
        <f>954.9</f>
        <v>954.9</v>
      </c>
      <c r="P211" s="34" t="s">
        <v>116</v>
      </c>
      <c r="Q211" s="33" t="n">
        <f>961.5</f>
        <v>961.5</v>
      </c>
      <c r="R211" s="34" t="s">
        <v>51</v>
      </c>
      <c r="S211" s="35" t="n">
        <f>964.5</f>
        <v>964.5</v>
      </c>
      <c r="T211" s="32" t="n">
        <f>2931550</f>
        <v>2931550.0</v>
      </c>
      <c r="U211" s="32" t="n">
        <f>1591110</f>
        <v>1591110.0</v>
      </c>
      <c r="V211" s="32" t="n">
        <f>2827007634</f>
        <v>2.827007634E9</v>
      </c>
      <c r="W211" s="32" t="n">
        <f>1533917136</f>
        <v>1.533917136E9</v>
      </c>
      <c r="X211" s="36" t="n">
        <f>22</f>
        <v>22.0</v>
      </c>
    </row>
    <row r="212">
      <c r="A212" s="27" t="s">
        <v>42</v>
      </c>
      <c r="B212" s="27" t="s">
        <v>685</v>
      </c>
      <c r="C212" s="27" t="s">
        <v>686</v>
      </c>
      <c r="D212" s="27" t="s">
        <v>687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1000</f>
        <v>1000.0</v>
      </c>
      <c r="L212" s="34" t="s">
        <v>48</v>
      </c>
      <c r="M212" s="33" t="n">
        <f>1032</f>
        <v>1032.0</v>
      </c>
      <c r="N212" s="34" t="s">
        <v>49</v>
      </c>
      <c r="O212" s="33" t="n">
        <f>989.2</f>
        <v>989.2</v>
      </c>
      <c r="P212" s="34" t="s">
        <v>307</v>
      </c>
      <c r="Q212" s="33" t="n">
        <f>1026.5</f>
        <v>1026.5</v>
      </c>
      <c r="R212" s="34" t="s">
        <v>51</v>
      </c>
      <c r="S212" s="35" t="n">
        <f>1012.82</f>
        <v>1012.82</v>
      </c>
      <c r="T212" s="32" t="n">
        <f>2707850</f>
        <v>2707850.0</v>
      </c>
      <c r="U212" s="32" t="n">
        <f>1728280</f>
        <v>1728280.0</v>
      </c>
      <c r="V212" s="32" t="n">
        <f>2752246300</f>
        <v>2.7522463E9</v>
      </c>
      <c r="W212" s="32" t="n">
        <f>1761715621</f>
        <v>1.761715621E9</v>
      </c>
      <c r="X212" s="36" t="n">
        <f>22</f>
        <v>22.0</v>
      </c>
    </row>
    <row r="213">
      <c r="A213" s="27" t="s">
        <v>42</v>
      </c>
      <c r="B213" s="27" t="s">
        <v>688</v>
      </c>
      <c r="C213" s="27" t="s">
        <v>689</v>
      </c>
      <c r="D213" s="27" t="s">
        <v>690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908</f>
        <v>908.0</v>
      </c>
      <c r="L213" s="34" t="s">
        <v>48</v>
      </c>
      <c r="M213" s="33" t="n">
        <f>909</f>
        <v>909.0</v>
      </c>
      <c r="N213" s="34" t="s">
        <v>87</v>
      </c>
      <c r="O213" s="33" t="n">
        <f>868.1</f>
        <v>868.1</v>
      </c>
      <c r="P213" s="34" t="s">
        <v>116</v>
      </c>
      <c r="Q213" s="33" t="n">
        <f>888.5</f>
        <v>888.5</v>
      </c>
      <c r="R213" s="34" t="s">
        <v>51</v>
      </c>
      <c r="S213" s="35" t="n">
        <f>888.25</f>
        <v>888.25</v>
      </c>
      <c r="T213" s="32" t="n">
        <f>13094010</f>
        <v>1.309401E7</v>
      </c>
      <c r="U213" s="32" t="n">
        <f>9927120</f>
        <v>9927120.0</v>
      </c>
      <c r="V213" s="32" t="n">
        <f>11529631696</f>
        <v>1.1529631696E10</v>
      </c>
      <c r="W213" s="32" t="n">
        <f>8746636111</f>
        <v>8.746636111E9</v>
      </c>
      <c r="X213" s="36" t="n">
        <f>22</f>
        <v>22.0</v>
      </c>
    </row>
    <row r="214">
      <c r="A214" s="27" t="s">
        <v>42</v>
      </c>
      <c r="B214" s="27" t="s">
        <v>691</v>
      </c>
      <c r="C214" s="27" t="s">
        <v>692</v>
      </c>
      <c r="D214" s="27" t="s">
        <v>693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1646.5</f>
        <v>1646.5</v>
      </c>
      <c r="L214" s="34" t="s">
        <v>48</v>
      </c>
      <c r="M214" s="33" t="n">
        <f>1708</f>
        <v>1708.0</v>
      </c>
      <c r="N214" s="34" t="s">
        <v>49</v>
      </c>
      <c r="O214" s="33" t="n">
        <f>1513</f>
        <v>1513.0</v>
      </c>
      <c r="P214" s="34" t="s">
        <v>67</v>
      </c>
      <c r="Q214" s="33" t="n">
        <f>1590</f>
        <v>1590.0</v>
      </c>
      <c r="R214" s="34" t="s">
        <v>51</v>
      </c>
      <c r="S214" s="35" t="n">
        <f>1612.18</f>
        <v>1612.18</v>
      </c>
      <c r="T214" s="32" t="n">
        <f>1892050</f>
        <v>1892050.0</v>
      </c>
      <c r="U214" s="32" t="n">
        <f>1474730</f>
        <v>1474730.0</v>
      </c>
      <c r="V214" s="32" t="n">
        <f>2983410349</f>
        <v>2.983410349E9</v>
      </c>
      <c r="W214" s="32" t="n">
        <f>2322457989</f>
        <v>2.322457989E9</v>
      </c>
      <c r="X214" s="36" t="n">
        <f>22</f>
        <v>22.0</v>
      </c>
    </row>
    <row r="215">
      <c r="A215" s="27" t="s">
        <v>42</v>
      </c>
      <c r="B215" s="27" t="s">
        <v>694</v>
      </c>
      <c r="C215" s="27" t="s">
        <v>695</v>
      </c>
      <c r="D215" s="27" t="s">
        <v>696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1402</f>
        <v>1402.0</v>
      </c>
      <c r="L215" s="34" t="s">
        <v>48</v>
      </c>
      <c r="M215" s="33" t="n">
        <f>1409.5</f>
        <v>1409.5</v>
      </c>
      <c r="N215" s="34" t="s">
        <v>71</v>
      </c>
      <c r="O215" s="33" t="n">
        <f>1235.5</f>
        <v>1235.5</v>
      </c>
      <c r="P215" s="34" t="s">
        <v>50</v>
      </c>
      <c r="Q215" s="33" t="n">
        <f>1276</f>
        <v>1276.0</v>
      </c>
      <c r="R215" s="34" t="s">
        <v>51</v>
      </c>
      <c r="S215" s="35" t="n">
        <f>1317.91</f>
        <v>1317.91</v>
      </c>
      <c r="T215" s="32" t="n">
        <f>1916290</f>
        <v>1916290.0</v>
      </c>
      <c r="U215" s="32" t="n">
        <f>1417570</f>
        <v>1417570.0</v>
      </c>
      <c r="V215" s="32" t="n">
        <f>2475834324</f>
        <v>2.475834324E9</v>
      </c>
      <c r="W215" s="32" t="n">
        <f>1818047639</f>
        <v>1.818047639E9</v>
      </c>
      <c r="X215" s="36" t="n">
        <f>22</f>
        <v>22.0</v>
      </c>
    </row>
    <row r="216">
      <c r="A216" s="27" t="s">
        <v>42</v>
      </c>
      <c r="B216" s="27" t="s">
        <v>697</v>
      </c>
      <c r="C216" s="27" t="s">
        <v>698</v>
      </c>
      <c r="D216" s="27" t="s">
        <v>699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1290</f>
        <v>1290.0</v>
      </c>
      <c r="L216" s="34" t="s">
        <v>48</v>
      </c>
      <c r="M216" s="33" t="n">
        <f>1319.5</f>
        <v>1319.5</v>
      </c>
      <c r="N216" s="34" t="s">
        <v>99</v>
      </c>
      <c r="O216" s="33" t="n">
        <f>1173</f>
        <v>1173.0</v>
      </c>
      <c r="P216" s="34" t="s">
        <v>67</v>
      </c>
      <c r="Q216" s="33" t="n">
        <f>1243</f>
        <v>1243.0</v>
      </c>
      <c r="R216" s="34" t="s">
        <v>51</v>
      </c>
      <c r="S216" s="35" t="n">
        <f>1247.18</f>
        <v>1247.18</v>
      </c>
      <c r="T216" s="32" t="n">
        <f>1057900</f>
        <v>1057900.0</v>
      </c>
      <c r="U216" s="32" t="n">
        <f>524080</f>
        <v>524080.0</v>
      </c>
      <c r="V216" s="32" t="n">
        <f>1290668152</f>
        <v>1.290668152E9</v>
      </c>
      <c r="W216" s="32" t="n">
        <f>626060692</f>
        <v>6.26060692E8</v>
      </c>
      <c r="X216" s="36" t="n">
        <f>22</f>
        <v>22.0</v>
      </c>
    </row>
    <row r="217">
      <c r="A217" s="27" t="s">
        <v>42</v>
      </c>
      <c r="B217" s="27" t="s">
        <v>700</v>
      </c>
      <c r="C217" s="27" t="s">
        <v>701</v>
      </c>
      <c r="D217" s="27" t="s">
        <v>702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526</f>
        <v>526.0</v>
      </c>
      <c r="L217" s="34" t="s">
        <v>48</v>
      </c>
      <c r="M217" s="33" t="n">
        <f>540.5</f>
        <v>540.5</v>
      </c>
      <c r="N217" s="34" t="s">
        <v>49</v>
      </c>
      <c r="O217" s="33" t="n">
        <f>468.4</f>
        <v>468.4</v>
      </c>
      <c r="P217" s="34" t="s">
        <v>50</v>
      </c>
      <c r="Q217" s="33" t="n">
        <f>508.8</f>
        <v>508.8</v>
      </c>
      <c r="R217" s="34" t="s">
        <v>51</v>
      </c>
      <c r="S217" s="35" t="n">
        <f>507.53</f>
        <v>507.53</v>
      </c>
      <c r="T217" s="32" t="n">
        <f>61278180</f>
        <v>6.127818E7</v>
      </c>
      <c r="U217" s="32" t="n">
        <f>3870</f>
        <v>3870.0</v>
      </c>
      <c r="V217" s="32" t="n">
        <f>31093200121</f>
        <v>3.1093200121E10</v>
      </c>
      <c r="W217" s="32" t="n">
        <f>1949792</f>
        <v>1949792.0</v>
      </c>
      <c r="X217" s="36" t="n">
        <f>22</f>
        <v>22.0</v>
      </c>
    </row>
    <row r="218">
      <c r="A218" s="27" t="s">
        <v>42</v>
      </c>
      <c r="B218" s="27" t="s">
        <v>703</v>
      </c>
      <c r="C218" s="27" t="s">
        <v>704</v>
      </c>
      <c r="D218" s="27" t="s">
        <v>705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1177</f>
        <v>1177.0</v>
      </c>
      <c r="L218" s="34" t="s">
        <v>48</v>
      </c>
      <c r="M218" s="33" t="n">
        <f>1185</f>
        <v>1185.0</v>
      </c>
      <c r="N218" s="34" t="s">
        <v>49</v>
      </c>
      <c r="O218" s="33" t="n">
        <f>1104</f>
        <v>1104.0</v>
      </c>
      <c r="P218" s="34" t="s">
        <v>116</v>
      </c>
      <c r="Q218" s="33" t="n">
        <f>1161.5</f>
        <v>1161.5</v>
      </c>
      <c r="R218" s="34" t="s">
        <v>51</v>
      </c>
      <c r="S218" s="35" t="n">
        <f>1149.86</f>
        <v>1149.86</v>
      </c>
      <c r="T218" s="32" t="n">
        <f>83670</f>
        <v>83670.0</v>
      </c>
      <c r="U218" s="32" t="n">
        <f>15000</f>
        <v>15000.0</v>
      </c>
      <c r="V218" s="32" t="n">
        <f>94586875</f>
        <v>9.4586875E7</v>
      </c>
      <c r="W218" s="32" t="n">
        <f>16816350</f>
        <v>1.681635E7</v>
      </c>
      <c r="X218" s="36" t="n">
        <f>22</f>
        <v>22.0</v>
      </c>
    </row>
    <row r="219">
      <c r="A219" s="27" t="s">
        <v>42</v>
      </c>
      <c r="B219" s="27" t="s">
        <v>706</v>
      </c>
      <c r="C219" s="27" t="s">
        <v>707</v>
      </c>
      <c r="D219" s="27" t="s">
        <v>708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1084</f>
        <v>1084.0</v>
      </c>
      <c r="L219" s="34" t="s">
        <v>48</v>
      </c>
      <c r="M219" s="33" t="n">
        <f>1116</f>
        <v>1116.0</v>
      </c>
      <c r="N219" s="34" t="s">
        <v>49</v>
      </c>
      <c r="O219" s="33" t="n">
        <f>1009</f>
        <v>1009.0</v>
      </c>
      <c r="P219" s="34" t="s">
        <v>50</v>
      </c>
      <c r="Q219" s="33" t="n">
        <f>1042</f>
        <v>1042.0</v>
      </c>
      <c r="R219" s="34" t="s">
        <v>51</v>
      </c>
      <c r="S219" s="35" t="n">
        <f>1063</f>
        <v>1063.0</v>
      </c>
      <c r="T219" s="32" t="n">
        <f>58877</f>
        <v>58877.0</v>
      </c>
      <c r="U219" s="32" t="str">
        <f>"－"</f>
        <v>－</v>
      </c>
      <c r="V219" s="32" t="n">
        <f>61451496</f>
        <v>6.1451496E7</v>
      </c>
      <c r="W219" s="32" t="str">
        <f>"－"</f>
        <v>－</v>
      </c>
      <c r="X219" s="36" t="n">
        <f>22</f>
        <v>22.0</v>
      </c>
    </row>
    <row r="220">
      <c r="A220" s="27" t="s">
        <v>42</v>
      </c>
      <c r="B220" s="27" t="s">
        <v>709</v>
      </c>
      <c r="C220" s="27" t="s">
        <v>710</v>
      </c>
      <c r="D220" s="27" t="s">
        <v>711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925.9</f>
        <v>925.9</v>
      </c>
      <c r="L220" s="34" t="s">
        <v>48</v>
      </c>
      <c r="M220" s="33" t="n">
        <f>944</f>
        <v>944.0</v>
      </c>
      <c r="N220" s="34" t="s">
        <v>99</v>
      </c>
      <c r="O220" s="33" t="n">
        <f>890</f>
        <v>890.0</v>
      </c>
      <c r="P220" s="34" t="s">
        <v>67</v>
      </c>
      <c r="Q220" s="33" t="n">
        <f>911</f>
        <v>911.0</v>
      </c>
      <c r="R220" s="34" t="s">
        <v>51</v>
      </c>
      <c r="S220" s="35" t="n">
        <f>920.64</f>
        <v>920.64</v>
      </c>
      <c r="T220" s="32" t="n">
        <f>70360</f>
        <v>70360.0</v>
      </c>
      <c r="U220" s="32" t="n">
        <f>38590</f>
        <v>38590.0</v>
      </c>
      <c r="V220" s="32" t="n">
        <f>64251751</f>
        <v>6.4251751E7</v>
      </c>
      <c r="W220" s="32" t="n">
        <f>35116900</f>
        <v>3.51169E7</v>
      </c>
      <c r="X220" s="36" t="n">
        <f>22</f>
        <v>22.0</v>
      </c>
    </row>
    <row r="221">
      <c r="A221" s="27" t="s">
        <v>42</v>
      </c>
      <c r="B221" s="27" t="s">
        <v>712</v>
      </c>
      <c r="C221" s="27" t="s">
        <v>713</v>
      </c>
      <c r="D221" s="27" t="s">
        <v>714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1204</f>
        <v>1204.0</v>
      </c>
      <c r="L221" s="34" t="s">
        <v>48</v>
      </c>
      <c r="M221" s="33" t="n">
        <f>1260</f>
        <v>1260.0</v>
      </c>
      <c r="N221" s="34" t="s">
        <v>49</v>
      </c>
      <c r="O221" s="33" t="n">
        <f>1145</f>
        <v>1145.0</v>
      </c>
      <c r="P221" s="34" t="s">
        <v>67</v>
      </c>
      <c r="Q221" s="33" t="n">
        <f>1197</f>
        <v>1197.0</v>
      </c>
      <c r="R221" s="34" t="s">
        <v>51</v>
      </c>
      <c r="S221" s="35" t="n">
        <f>1200.82</f>
        <v>1200.82</v>
      </c>
      <c r="T221" s="32" t="n">
        <f>86080</f>
        <v>86080.0</v>
      </c>
      <c r="U221" s="32" t="n">
        <f>10</f>
        <v>10.0</v>
      </c>
      <c r="V221" s="32" t="n">
        <f>103156095</f>
        <v>1.03156095E8</v>
      </c>
      <c r="W221" s="32" t="n">
        <f>11970</f>
        <v>11970.0</v>
      </c>
      <c r="X221" s="36" t="n">
        <f>22</f>
        <v>22.0</v>
      </c>
    </row>
    <row r="222">
      <c r="A222" s="27" t="s">
        <v>42</v>
      </c>
      <c r="B222" s="27" t="s">
        <v>715</v>
      </c>
      <c r="C222" s="27" t="s">
        <v>716</v>
      </c>
      <c r="D222" s="27" t="s">
        <v>717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1439</f>
        <v>1439.0</v>
      </c>
      <c r="L222" s="34" t="s">
        <v>48</v>
      </c>
      <c r="M222" s="33" t="n">
        <f>1452</f>
        <v>1452.0</v>
      </c>
      <c r="N222" s="34" t="s">
        <v>71</v>
      </c>
      <c r="O222" s="33" t="n">
        <f>1263</f>
        <v>1263.0</v>
      </c>
      <c r="P222" s="34" t="s">
        <v>50</v>
      </c>
      <c r="Q222" s="33" t="n">
        <f>1309</f>
        <v>1309.0</v>
      </c>
      <c r="R222" s="34" t="s">
        <v>51</v>
      </c>
      <c r="S222" s="35" t="n">
        <f>1351.64</f>
        <v>1351.64</v>
      </c>
      <c r="T222" s="32" t="n">
        <f>15068850</f>
        <v>1.506885E7</v>
      </c>
      <c r="U222" s="32" t="n">
        <f>5797340</f>
        <v>5797340.0</v>
      </c>
      <c r="V222" s="32" t="n">
        <f>20168416746</f>
        <v>2.0168416746E10</v>
      </c>
      <c r="W222" s="32" t="n">
        <f>7675601776</f>
        <v>7.675601776E9</v>
      </c>
      <c r="X222" s="36" t="n">
        <f>22</f>
        <v>22.0</v>
      </c>
    </row>
    <row r="223">
      <c r="A223" s="27" t="s">
        <v>42</v>
      </c>
      <c r="B223" s="27" t="s">
        <v>718</v>
      </c>
      <c r="C223" s="27" t="s">
        <v>719</v>
      </c>
      <c r="D223" s="27" t="s">
        <v>720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3585</f>
        <v>3585.0</v>
      </c>
      <c r="L223" s="34" t="s">
        <v>48</v>
      </c>
      <c r="M223" s="33" t="n">
        <f>3675</f>
        <v>3675.0</v>
      </c>
      <c r="N223" s="34" t="s">
        <v>49</v>
      </c>
      <c r="O223" s="33" t="n">
        <f>3165</f>
        <v>3165.0</v>
      </c>
      <c r="P223" s="34" t="s">
        <v>67</v>
      </c>
      <c r="Q223" s="33" t="n">
        <f>3315</f>
        <v>3315.0</v>
      </c>
      <c r="R223" s="34" t="s">
        <v>51</v>
      </c>
      <c r="S223" s="35" t="n">
        <f>3427.05</f>
        <v>3427.05</v>
      </c>
      <c r="T223" s="32" t="n">
        <f>117611</f>
        <v>117611.0</v>
      </c>
      <c r="U223" s="32" t="str">
        <f>"－"</f>
        <v>－</v>
      </c>
      <c r="V223" s="32" t="n">
        <f>395731890</f>
        <v>3.9573189E8</v>
      </c>
      <c r="W223" s="32" t="str">
        <f>"－"</f>
        <v>－</v>
      </c>
      <c r="X223" s="36" t="n">
        <f>22</f>
        <v>22.0</v>
      </c>
    </row>
    <row r="224">
      <c r="A224" s="27" t="s">
        <v>42</v>
      </c>
      <c r="B224" s="27" t="s">
        <v>721</v>
      </c>
      <c r="C224" s="27" t="s">
        <v>722</v>
      </c>
      <c r="D224" s="27" t="s">
        <v>723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1609</f>
        <v>1609.0</v>
      </c>
      <c r="L224" s="34" t="s">
        <v>48</v>
      </c>
      <c r="M224" s="33" t="n">
        <f>1636.5</f>
        <v>1636.5</v>
      </c>
      <c r="N224" s="34" t="s">
        <v>49</v>
      </c>
      <c r="O224" s="33" t="n">
        <f>1440</f>
        <v>1440.0</v>
      </c>
      <c r="P224" s="34" t="s">
        <v>50</v>
      </c>
      <c r="Q224" s="33" t="n">
        <f>1490</f>
        <v>1490.0</v>
      </c>
      <c r="R224" s="34" t="s">
        <v>51</v>
      </c>
      <c r="S224" s="35" t="n">
        <f>1543.9</f>
        <v>1543.9</v>
      </c>
      <c r="T224" s="32" t="n">
        <f>7480</f>
        <v>7480.0</v>
      </c>
      <c r="U224" s="32" t="str">
        <f>"－"</f>
        <v>－</v>
      </c>
      <c r="V224" s="32" t="n">
        <f>11205185</f>
        <v>1.1205185E7</v>
      </c>
      <c r="W224" s="32" t="str">
        <f>"－"</f>
        <v>－</v>
      </c>
      <c r="X224" s="36" t="n">
        <f>20</f>
        <v>20.0</v>
      </c>
    </row>
    <row r="225">
      <c r="A225" s="27" t="s">
        <v>42</v>
      </c>
      <c r="B225" s="27" t="s">
        <v>724</v>
      </c>
      <c r="C225" s="27" t="s">
        <v>725</v>
      </c>
      <c r="D225" s="27" t="s">
        <v>726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1965</f>
        <v>1965.0</v>
      </c>
      <c r="L225" s="34" t="s">
        <v>48</v>
      </c>
      <c r="M225" s="33" t="n">
        <f>2018.5</f>
        <v>2018.5</v>
      </c>
      <c r="N225" s="34" t="s">
        <v>99</v>
      </c>
      <c r="O225" s="33" t="n">
        <f>1862</f>
        <v>1862.0</v>
      </c>
      <c r="P225" s="34" t="s">
        <v>50</v>
      </c>
      <c r="Q225" s="33" t="n">
        <f>1921.5</f>
        <v>1921.5</v>
      </c>
      <c r="R225" s="34" t="s">
        <v>51</v>
      </c>
      <c r="S225" s="35" t="n">
        <f>1940.69</f>
        <v>1940.69</v>
      </c>
      <c r="T225" s="32" t="n">
        <f>797090</f>
        <v>797090.0</v>
      </c>
      <c r="U225" s="32" t="str">
        <f>"－"</f>
        <v>－</v>
      </c>
      <c r="V225" s="32" t="n">
        <f>1537653295</f>
        <v>1.537653295E9</v>
      </c>
      <c r="W225" s="32" t="str">
        <f>"－"</f>
        <v>－</v>
      </c>
      <c r="X225" s="36" t="n">
        <f>18</f>
        <v>18.0</v>
      </c>
    </row>
    <row r="226">
      <c r="A226" s="27" t="s">
        <v>42</v>
      </c>
      <c r="B226" s="27" t="s">
        <v>727</v>
      </c>
      <c r="C226" s="27" t="s">
        <v>728</v>
      </c>
      <c r="D226" s="27" t="s">
        <v>729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27740</f>
        <v>27740.0</v>
      </c>
      <c r="L226" s="34" t="s">
        <v>48</v>
      </c>
      <c r="M226" s="33" t="n">
        <f>28740</f>
        <v>28740.0</v>
      </c>
      <c r="N226" s="34" t="s">
        <v>49</v>
      </c>
      <c r="O226" s="33" t="n">
        <f>26000</f>
        <v>26000.0</v>
      </c>
      <c r="P226" s="34" t="s">
        <v>50</v>
      </c>
      <c r="Q226" s="33" t="n">
        <f>27240</f>
        <v>27240.0</v>
      </c>
      <c r="R226" s="34" t="s">
        <v>86</v>
      </c>
      <c r="S226" s="35" t="n">
        <f>27669.64</f>
        <v>27669.64</v>
      </c>
      <c r="T226" s="32" t="n">
        <f>24997</f>
        <v>24997.0</v>
      </c>
      <c r="U226" s="32" t="n">
        <f>5480</f>
        <v>5480.0</v>
      </c>
      <c r="V226" s="32" t="n">
        <f>690163715</f>
        <v>6.90163715E8</v>
      </c>
      <c r="W226" s="32" t="n">
        <f>157130780</f>
        <v>1.5713078E8</v>
      </c>
      <c r="X226" s="36" t="n">
        <f>14</f>
        <v>14.0</v>
      </c>
    </row>
    <row r="227">
      <c r="A227" s="27" t="s">
        <v>42</v>
      </c>
      <c r="B227" s="27" t="s">
        <v>730</v>
      </c>
      <c r="C227" s="27" t="s">
        <v>731</v>
      </c>
      <c r="D227" s="27" t="s">
        <v>732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17995</f>
        <v>17995.0</v>
      </c>
      <c r="L227" s="34" t="s">
        <v>99</v>
      </c>
      <c r="M227" s="33" t="n">
        <f>18070</f>
        <v>18070.0</v>
      </c>
      <c r="N227" s="34" t="s">
        <v>99</v>
      </c>
      <c r="O227" s="33" t="n">
        <f>16895</f>
        <v>16895.0</v>
      </c>
      <c r="P227" s="34" t="s">
        <v>76</v>
      </c>
      <c r="Q227" s="33" t="n">
        <f>17255</f>
        <v>17255.0</v>
      </c>
      <c r="R227" s="34" t="s">
        <v>51</v>
      </c>
      <c r="S227" s="35" t="n">
        <f>17330</f>
        <v>17330.0</v>
      </c>
      <c r="T227" s="32" t="n">
        <f>607</f>
        <v>607.0</v>
      </c>
      <c r="U227" s="32" t="str">
        <f>"－"</f>
        <v>－</v>
      </c>
      <c r="V227" s="32" t="n">
        <f>10931800</f>
        <v>1.09318E7</v>
      </c>
      <c r="W227" s="32" t="str">
        <f>"－"</f>
        <v>－</v>
      </c>
      <c r="X227" s="36" t="n">
        <f>5</f>
        <v>5.0</v>
      </c>
    </row>
    <row r="228">
      <c r="A228" s="27" t="s">
        <v>42</v>
      </c>
      <c r="B228" s="27" t="s">
        <v>733</v>
      </c>
      <c r="C228" s="27" t="s">
        <v>734</v>
      </c>
      <c r="D228" s="27" t="s">
        <v>735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1147.5</f>
        <v>1147.5</v>
      </c>
      <c r="L228" s="34" t="s">
        <v>272</v>
      </c>
      <c r="M228" s="33" t="n">
        <f>1222</f>
        <v>1222.0</v>
      </c>
      <c r="N228" s="34" t="s">
        <v>67</v>
      </c>
      <c r="O228" s="33" t="n">
        <f>1131.5</f>
        <v>1131.5</v>
      </c>
      <c r="P228" s="34" t="s">
        <v>67</v>
      </c>
      <c r="Q228" s="33" t="n">
        <f>1172.5</f>
        <v>1172.5</v>
      </c>
      <c r="R228" s="34" t="s">
        <v>51</v>
      </c>
      <c r="S228" s="35" t="n">
        <f>1147.8</f>
        <v>1147.8</v>
      </c>
      <c r="T228" s="32" t="n">
        <f>532620</f>
        <v>532620.0</v>
      </c>
      <c r="U228" s="32" t="n">
        <f>355530</f>
        <v>355530.0</v>
      </c>
      <c r="V228" s="32" t="n">
        <f>612263046</f>
        <v>6.12263046E8</v>
      </c>
      <c r="W228" s="32" t="n">
        <f>408355821</f>
        <v>4.08355821E8</v>
      </c>
      <c r="X228" s="36" t="n">
        <f>5</f>
        <v>5.0</v>
      </c>
    </row>
    <row r="229">
      <c r="A229" s="27" t="s">
        <v>42</v>
      </c>
      <c r="B229" s="27" t="s">
        <v>736</v>
      </c>
      <c r="C229" s="27" t="s">
        <v>737</v>
      </c>
      <c r="D229" s="27" t="s">
        <v>738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1178</f>
        <v>1178.0</v>
      </c>
      <c r="L229" s="34" t="s">
        <v>48</v>
      </c>
      <c r="M229" s="33" t="n">
        <f>1187</f>
        <v>1187.0</v>
      </c>
      <c r="N229" s="34" t="s">
        <v>99</v>
      </c>
      <c r="O229" s="33" t="n">
        <f>1100</f>
        <v>1100.0</v>
      </c>
      <c r="P229" s="34" t="s">
        <v>116</v>
      </c>
      <c r="Q229" s="33" t="n">
        <f>1155</f>
        <v>1155.0</v>
      </c>
      <c r="R229" s="34" t="s">
        <v>51</v>
      </c>
      <c r="S229" s="35" t="n">
        <f>1148.67</f>
        <v>1148.67</v>
      </c>
      <c r="T229" s="32" t="n">
        <f>16230</f>
        <v>16230.0</v>
      </c>
      <c r="U229" s="32" t="str">
        <f>"－"</f>
        <v>－</v>
      </c>
      <c r="V229" s="32" t="n">
        <f>18967595</f>
        <v>1.8967595E7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739</v>
      </c>
      <c r="C230" s="27" t="s">
        <v>740</v>
      </c>
      <c r="D230" s="27" t="s">
        <v>741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1209</f>
        <v>1209.0</v>
      </c>
      <c r="L230" s="34" t="s">
        <v>48</v>
      </c>
      <c r="M230" s="33" t="n">
        <f>1308</f>
        <v>1308.0</v>
      </c>
      <c r="N230" s="34" t="s">
        <v>103</v>
      </c>
      <c r="O230" s="33" t="n">
        <f>1191</f>
        <v>1191.0</v>
      </c>
      <c r="P230" s="34" t="s">
        <v>323</v>
      </c>
      <c r="Q230" s="33" t="n">
        <f>1218</f>
        <v>1218.0</v>
      </c>
      <c r="R230" s="34" t="s">
        <v>51</v>
      </c>
      <c r="S230" s="35" t="n">
        <f>1233.05</f>
        <v>1233.05</v>
      </c>
      <c r="T230" s="32" t="n">
        <f>192644</f>
        <v>192644.0</v>
      </c>
      <c r="U230" s="32" t="n">
        <f>15892</f>
        <v>15892.0</v>
      </c>
      <c r="V230" s="32" t="n">
        <f>237603899</f>
        <v>2.37603899E8</v>
      </c>
      <c r="W230" s="32" t="n">
        <f>19636679</f>
        <v>1.9636679E7</v>
      </c>
      <c r="X230" s="36" t="n">
        <f>22</f>
        <v>22.0</v>
      </c>
    </row>
    <row r="231">
      <c r="A231" s="27" t="s">
        <v>42</v>
      </c>
      <c r="B231" s="27" t="s">
        <v>742</v>
      </c>
      <c r="C231" s="27" t="s">
        <v>743</v>
      </c>
      <c r="D231" s="27" t="s">
        <v>744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13260</f>
        <v>13260.0</v>
      </c>
      <c r="L231" s="34" t="s">
        <v>48</v>
      </c>
      <c r="M231" s="33" t="n">
        <f>15105</f>
        <v>15105.0</v>
      </c>
      <c r="N231" s="34" t="s">
        <v>51</v>
      </c>
      <c r="O231" s="33" t="n">
        <f>13090</f>
        <v>13090.0</v>
      </c>
      <c r="P231" s="34" t="s">
        <v>87</v>
      </c>
      <c r="Q231" s="33" t="n">
        <f>15105</f>
        <v>15105.0</v>
      </c>
      <c r="R231" s="34" t="s">
        <v>51</v>
      </c>
      <c r="S231" s="35" t="n">
        <f>14073.41</f>
        <v>14073.41</v>
      </c>
      <c r="T231" s="32" t="n">
        <f>7142</f>
        <v>7142.0</v>
      </c>
      <c r="U231" s="32" t="n">
        <f>4</f>
        <v>4.0</v>
      </c>
      <c r="V231" s="32" t="n">
        <f>100699010</f>
        <v>1.0069901E8</v>
      </c>
      <c r="W231" s="32" t="n">
        <f>59480</f>
        <v>59480.0</v>
      </c>
      <c r="X231" s="36" t="n">
        <f>22</f>
        <v>22.0</v>
      </c>
    </row>
    <row r="232">
      <c r="A232" s="27" t="s">
        <v>42</v>
      </c>
      <c r="B232" s="27" t="s">
        <v>745</v>
      </c>
      <c r="C232" s="27" t="s">
        <v>746</v>
      </c>
      <c r="D232" s="27" t="s">
        <v>747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2145</f>
        <v>2145.0</v>
      </c>
      <c r="L232" s="34" t="s">
        <v>48</v>
      </c>
      <c r="M232" s="33" t="n">
        <f>2164</f>
        <v>2164.0</v>
      </c>
      <c r="N232" s="34" t="s">
        <v>87</v>
      </c>
      <c r="O232" s="33" t="n">
        <f>2005</f>
        <v>2005.0</v>
      </c>
      <c r="P232" s="34" t="s">
        <v>116</v>
      </c>
      <c r="Q232" s="33" t="n">
        <f>2112</f>
        <v>2112.0</v>
      </c>
      <c r="R232" s="34" t="s">
        <v>51</v>
      </c>
      <c r="S232" s="35" t="n">
        <f>2099.59</f>
        <v>2099.59</v>
      </c>
      <c r="T232" s="32" t="n">
        <f>241097</f>
        <v>241097.0</v>
      </c>
      <c r="U232" s="32" t="n">
        <f>230000</f>
        <v>230000.0</v>
      </c>
      <c r="V232" s="32" t="n">
        <f>515385642</f>
        <v>5.15385642E8</v>
      </c>
      <c r="W232" s="32" t="n">
        <f>492223000</f>
        <v>4.92223E8</v>
      </c>
      <c r="X232" s="36" t="n">
        <f>22</f>
        <v>22.0</v>
      </c>
    </row>
    <row r="233">
      <c r="A233" s="27" t="s">
        <v>42</v>
      </c>
      <c r="B233" s="27" t="s">
        <v>748</v>
      </c>
      <c r="C233" s="27" t="s">
        <v>749</v>
      </c>
      <c r="D233" s="27" t="s">
        <v>750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1530</f>
        <v>1530.0</v>
      </c>
      <c r="L233" s="34" t="s">
        <v>48</v>
      </c>
      <c r="M233" s="33" t="n">
        <f>1783</f>
        <v>1783.0</v>
      </c>
      <c r="N233" s="34" t="s">
        <v>51</v>
      </c>
      <c r="O233" s="33" t="n">
        <f>1530</f>
        <v>1530.0</v>
      </c>
      <c r="P233" s="34" t="s">
        <v>48</v>
      </c>
      <c r="Q233" s="33" t="n">
        <f>1783</f>
        <v>1783.0</v>
      </c>
      <c r="R233" s="34" t="s">
        <v>51</v>
      </c>
      <c r="S233" s="35" t="n">
        <f>1669.5</f>
        <v>1669.5</v>
      </c>
      <c r="T233" s="32" t="n">
        <f>8810</f>
        <v>8810.0</v>
      </c>
      <c r="U233" s="32" t="str">
        <f>"－"</f>
        <v>－</v>
      </c>
      <c r="V233" s="32" t="n">
        <f>14608365</f>
        <v>1.4608365E7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751</v>
      </c>
      <c r="C234" s="27" t="s">
        <v>752</v>
      </c>
      <c r="D234" s="27" t="s">
        <v>753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909.8</f>
        <v>909.8</v>
      </c>
      <c r="L234" s="34" t="s">
        <v>48</v>
      </c>
      <c r="M234" s="33" t="n">
        <f>909.8</f>
        <v>909.8</v>
      </c>
      <c r="N234" s="34" t="s">
        <v>48</v>
      </c>
      <c r="O234" s="33" t="n">
        <f>869.3</f>
        <v>869.3</v>
      </c>
      <c r="P234" s="34" t="s">
        <v>116</v>
      </c>
      <c r="Q234" s="33" t="n">
        <f>880.9</f>
        <v>880.9</v>
      </c>
      <c r="R234" s="34" t="s">
        <v>51</v>
      </c>
      <c r="S234" s="35" t="n">
        <f>886.09</f>
        <v>886.09</v>
      </c>
      <c r="T234" s="32" t="n">
        <f>2072550</f>
        <v>2072550.0</v>
      </c>
      <c r="U234" s="32" t="n">
        <f>1038960</f>
        <v>1038960.0</v>
      </c>
      <c r="V234" s="32" t="n">
        <f>1825169197</f>
        <v>1.825169197E9</v>
      </c>
      <c r="W234" s="32" t="n">
        <f>913262729</f>
        <v>9.13262729E8</v>
      </c>
      <c r="X234" s="36" t="n">
        <f>22</f>
        <v>22.0</v>
      </c>
    </row>
    <row r="235">
      <c r="A235" s="27" t="s">
        <v>42</v>
      </c>
      <c r="B235" s="27" t="s">
        <v>754</v>
      </c>
      <c r="C235" s="27" t="s">
        <v>755</v>
      </c>
      <c r="D235" s="27" t="s">
        <v>756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2049.5</f>
        <v>2049.5</v>
      </c>
      <c r="L235" s="34" t="s">
        <v>48</v>
      </c>
      <c r="M235" s="33" t="n">
        <f>2073.5</f>
        <v>2073.5</v>
      </c>
      <c r="N235" s="34" t="s">
        <v>49</v>
      </c>
      <c r="O235" s="33" t="n">
        <f>1927.5</f>
        <v>1927.5</v>
      </c>
      <c r="P235" s="34" t="s">
        <v>116</v>
      </c>
      <c r="Q235" s="33" t="n">
        <f>2028</f>
        <v>2028.0</v>
      </c>
      <c r="R235" s="34" t="s">
        <v>51</v>
      </c>
      <c r="S235" s="35" t="n">
        <f>2010.32</f>
        <v>2010.32</v>
      </c>
      <c r="T235" s="32" t="n">
        <f>69380</f>
        <v>69380.0</v>
      </c>
      <c r="U235" s="32" t="n">
        <f>60000</f>
        <v>60000.0</v>
      </c>
      <c r="V235" s="32" t="n">
        <f>135595930</f>
        <v>1.3559593E8</v>
      </c>
      <c r="W235" s="32" t="n">
        <f>116964000</f>
        <v>1.16964E8</v>
      </c>
      <c r="X235" s="36" t="n">
        <f>22</f>
        <v>22.0</v>
      </c>
    </row>
    <row r="236">
      <c r="A236" s="27" t="s">
        <v>42</v>
      </c>
      <c r="B236" s="27" t="s">
        <v>757</v>
      </c>
      <c r="C236" s="27" t="s">
        <v>758</v>
      </c>
      <c r="D236" s="27" t="s">
        <v>759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2046.5</f>
        <v>2046.5</v>
      </c>
      <c r="L236" s="34" t="s">
        <v>48</v>
      </c>
      <c r="M236" s="33" t="n">
        <f>2067.5</f>
        <v>2067.5</v>
      </c>
      <c r="N236" s="34" t="s">
        <v>49</v>
      </c>
      <c r="O236" s="33" t="n">
        <f>1921</f>
        <v>1921.0</v>
      </c>
      <c r="P236" s="34" t="s">
        <v>116</v>
      </c>
      <c r="Q236" s="33" t="n">
        <f>2017</f>
        <v>2017.0</v>
      </c>
      <c r="R236" s="34" t="s">
        <v>51</v>
      </c>
      <c r="S236" s="35" t="n">
        <f>2007.11</f>
        <v>2007.11</v>
      </c>
      <c r="T236" s="32" t="n">
        <f>879210</f>
        <v>879210.0</v>
      </c>
      <c r="U236" s="32" t="n">
        <f>349180</f>
        <v>349180.0</v>
      </c>
      <c r="V236" s="32" t="n">
        <f>1752839570</f>
        <v>1.75283957E9</v>
      </c>
      <c r="W236" s="32" t="n">
        <f>701963115</f>
        <v>7.01963115E8</v>
      </c>
      <c r="X236" s="36" t="n">
        <f>22</f>
        <v>22.0</v>
      </c>
    </row>
    <row r="237">
      <c r="A237" s="27" t="s">
        <v>42</v>
      </c>
      <c r="B237" s="27" t="s">
        <v>760</v>
      </c>
      <c r="C237" s="27" t="s">
        <v>761</v>
      </c>
      <c r="D237" s="27" t="s">
        <v>762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1929</f>
        <v>1929.0</v>
      </c>
      <c r="L237" s="34" t="s">
        <v>92</v>
      </c>
      <c r="M237" s="33" t="n">
        <f>1979.5</f>
        <v>1979.5</v>
      </c>
      <c r="N237" s="34" t="s">
        <v>99</v>
      </c>
      <c r="O237" s="33" t="n">
        <f>1839</f>
        <v>1839.0</v>
      </c>
      <c r="P237" s="34" t="s">
        <v>67</v>
      </c>
      <c r="Q237" s="33" t="n">
        <f>1902.5</f>
        <v>1902.5</v>
      </c>
      <c r="R237" s="34" t="s">
        <v>51</v>
      </c>
      <c r="S237" s="35" t="n">
        <f>1905.37</f>
        <v>1905.37</v>
      </c>
      <c r="T237" s="32" t="n">
        <f>26450</f>
        <v>26450.0</v>
      </c>
      <c r="U237" s="32" t="str">
        <f>"－"</f>
        <v>－</v>
      </c>
      <c r="V237" s="32" t="n">
        <f>50309250</f>
        <v>5.030925E7</v>
      </c>
      <c r="W237" s="32" t="str">
        <f>"－"</f>
        <v>－</v>
      </c>
      <c r="X237" s="36" t="n">
        <f>15</f>
        <v>15.0</v>
      </c>
    </row>
    <row r="238">
      <c r="A238" s="27" t="s">
        <v>42</v>
      </c>
      <c r="B238" s="27" t="s">
        <v>763</v>
      </c>
      <c r="C238" s="27" t="s">
        <v>764</v>
      </c>
      <c r="D238" s="27" t="s">
        <v>765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15375</f>
        <v>15375.0</v>
      </c>
      <c r="L238" s="34" t="s">
        <v>48</v>
      </c>
      <c r="M238" s="33" t="n">
        <f>15905</f>
        <v>15905.0</v>
      </c>
      <c r="N238" s="34" t="s">
        <v>49</v>
      </c>
      <c r="O238" s="33" t="n">
        <f>13910</f>
        <v>13910.0</v>
      </c>
      <c r="P238" s="34" t="s">
        <v>67</v>
      </c>
      <c r="Q238" s="33" t="n">
        <f>14840</f>
        <v>14840.0</v>
      </c>
      <c r="R238" s="34" t="s">
        <v>51</v>
      </c>
      <c r="S238" s="35" t="n">
        <f>15004.55</f>
        <v>15004.55</v>
      </c>
      <c r="T238" s="32" t="n">
        <f>1828834</f>
        <v>1828834.0</v>
      </c>
      <c r="U238" s="32" t="n">
        <f>444815</f>
        <v>444815.0</v>
      </c>
      <c r="V238" s="32" t="n">
        <f>27422438925</f>
        <v>2.7422438925E10</v>
      </c>
      <c r="W238" s="32" t="n">
        <f>6798763135</f>
        <v>6.798763135E9</v>
      </c>
      <c r="X238" s="36" t="n">
        <f>22</f>
        <v>22.0</v>
      </c>
    </row>
    <row r="239">
      <c r="A239" s="27" t="s">
        <v>42</v>
      </c>
      <c r="B239" s="27" t="s">
        <v>766</v>
      </c>
      <c r="C239" s="27" t="s">
        <v>767</v>
      </c>
      <c r="D239" s="27" t="s">
        <v>768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13940</f>
        <v>13940.0</v>
      </c>
      <c r="L239" s="34" t="s">
        <v>48</v>
      </c>
      <c r="M239" s="33" t="n">
        <f>14400</f>
        <v>14400.0</v>
      </c>
      <c r="N239" s="34" t="s">
        <v>49</v>
      </c>
      <c r="O239" s="33" t="n">
        <f>12955</f>
        <v>12955.0</v>
      </c>
      <c r="P239" s="34" t="s">
        <v>67</v>
      </c>
      <c r="Q239" s="33" t="n">
        <f>13445</f>
        <v>13445.0</v>
      </c>
      <c r="R239" s="34" t="s">
        <v>51</v>
      </c>
      <c r="S239" s="35" t="n">
        <f>13638.41</f>
        <v>13638.41</v>
      </c>
      <c r="T239" s="32" t="n">
        <f>213807</f>
        <v>213807.0</v>
      </c>
      <c r="U239" s="32" t="n">
        <f>8</f>
        <v>8.0</v>
      </c>
      <c r="V239" s="32" t="n">
        <f>2890855045</f>
        <v>2.890855045E9</v>
      </c>
      <c r="W239" s="32" t="n">
        <f>108900</f>
        <v>108900.0</v>
      </c>
      <c r="X239" s="36" t="n">
        <f>22</f>
        <v>22.0</v>
      </c>
    </row>
    <row r="240">
      <c r="A240" s="27" t="s">
        <v>42</v>
      </c>
      <c r="B240" s="27" t="s">
        <v>769</v>
      </c>
      <c r="C240" s="27" t="s">
        <v>770</v>
      </c>
      <c r="D240" s="27" t="s">
        <v>771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25785</f>
        <v>25785.0</v>
      </c>
      <c r="L240" s="34" t="s">
        <v>92</v>
      </c>
      <c r="M240" s="33" t="n">
        <f>26370</f>
        <v>26370.0</v>
      </c>
      <c r="N240" s="34" t="s">
        <v>49</v>
      </c>
      <c r="O240" s="33" t="n">
        <f>24470</f>
        <v>24470.0</v>
      </c>
      <c r="P240" s="34" t="s">
        <v>67</v>
      </c>
      <c r="Q240" s="33" t="n">
        <f>24470</f>
        <v>24470.0</v>
      </c>
      <c r="R240" s="34" t="s">
        <v>67</v>
      </c>
      <c r="S240" s="35" t="n">
        <f>25508</f>
        <v>25508.0</v>
      </c>
      <c r="T240" s="32" t="n">
        <f>27</f>
        <v>27.0</v>
      </c>
      <c r="U240" s="32" t="str">
        <f>"－"</f>
        <v>－</v>
      </c>
      <c r="V240" s="32" t="n">
        <f>698680</f>
        <v>698680.0</v>
      </c>
      <c r="W240" s="32" t="str">
        <f>"－"</f>
        <v>－</v>
      </c>
      <c r="X240" s="36" t="n">
        <f>5</f>
        <v>5.0</v>
      </c>
    </row>
    <row r="241">
      <c r="A241" s="27" t="s">
        <v>42</v>
      </c>
      <c r="B241" s="27" t="s">
        <v>772</v>
      </c>
      <c r="C241" s="27" t="s">
        <v>773</v>
      </c>
      <c r="D241" s="27" t="s">
        <v>774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2624</f>
        <v>2624.0</v>
      </c>
      <c r="L241" s="34" t="s">
        <v>48</v>
      </c>
      <c r="M241" s="33" t="n">
        <f>2624</f>
        <v>2624.0</v>
      </c>
      <c r="N241" s="34" t="s">
        <v>48</v>
      </c>
      <c r="O241" s="33" t="n">
        <f>2559</f>
        <v>2559.0</v>
      </c>
      <c r="P241" s="34" t="s">
        <v>307</v>
      </c>
      <c r="Q241" s="33" t="n">
        <f>2581</f>
        <v>2581.0</v>
      </c>
      <c r="R241" s="34" t="s">
        <v>51</v>
      </c>
      <c r="S241" s="35" t="n">
        <f>2594.09</f>
        <v>2594.09</v>
      </c>
      <c r="T241" s="32" t="n">
        <f>749526</f>
        <v>749526.0</v>
      </c>
      <c r="U241" s="32" t="n">
        <f>103881</f>
        <v>103881.0</v>
      </c>
      <c r="V241" s="32" t="n">
        <f>1945076897</f>
        <v>1.945076897E9</v>
      </c>
      <c r="W241" s="32" t="n">
        <f>269352414</f>
        <v>2.69352414E8</v>
      </c>
      <c r="X241" s="36" t="n">
        <f>22</f>
        <v>22.0</v>
      </c>
    </row>
    <row r="242">
      <c r="A242" s="27" t="s">
        <v>42</v>
      </c>
      <c r="B242" s="27" t="s">
        <v>775</v>
      </c>
      <c r="C242" s="27" t="s">
        <v>776</v>
      </c>
      <c r="D242" s="27" t="s">
        <v>777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2861</f>
        <v>2861.0</v>
      </c>
      <c r="L242" s="34" t="s">
        <v>48</v>
      </c>
      <c r="M242" s="33" t="n">
        <f>2877</f>
        <v>2877.0</v>
      </c>
      <c r="N242" s="34" t="s">
        <v>71</v>
      </c>
      <c r="O242" s="33" t="n">
        <f>2558</f>
        <v>2558.0</v>
      </c>
      <c r="P242" s="34" t="s">
        <v>50</v>
      </c>
      <c r="Q242" s="33" t="n">
        <f>2653</f>
        <v>2653.0</v>
      </c>
      <c r="R242" s="34" t="s">
        <v>51</v>
      </c>
      <c r="S242" s="35" t="n">
        <f>2714.36</f>
        <v>2714.36</v>
      </c>
      <c r="T242" s="32" t="n">
        <f>2435320</f>
        <v>2435320.0</v>
      </c>
      <c r="U242" s="32" t="n">
        <f>1746490</f>
        <v>1746490.0</v>
      </c>
      <c r="V242" s="32" t="n">
        <f>6618599616</f>
        <v>6.618599616E9</v>
      </c>
      <c r="W242" s="32" t="n">
        <f>4738157621</f>
        <v>4.738157621E9</v>
      </c>
      <c r="X242" s="36" t="n">
        <f>22</f>
        <v>22.0</v>
      </c>
    </row>
    <row r="243">
      <c r="A243" s="27" t="s">
        <v>42</v>
      </c>
      <c r="B243" s="27" t="s">
        <v>778</v>
      </c>
      <c r="C243" s="27" t="s">
        <v>779</v>
      </c>
      <c r="D243" s="27" t="s">
        <v>780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268.8</f>
        <v>268.8</v>
      </c>
      <c r="L243" s="34" t="s">
        <v>48</v>
      </c>
      <c r="M243" s="33" t="n">
        <f>271.1</f>
        <v>271.1</v>
      </c>
      <c r="N243" s="34" t="s">
        <v>71</v>
      </c>
      <c r="O243" s="33" t="n">
        <f>235.3</f>
        <v>235.3</v>
      </c>
      <c r="P243" s="34" t="s">
        <v>67</v>
      </c>
      <c r="Q243" s="33" t="n">
        <f>244.3</f>
        <v>244.3</v>
      </c>
      <c r="R243" s="34" t="s">
        <v>51</v>
      </c>
      <c r="S243" s="35" t="n">
        <f>252.34</f>
        <v>252.34</v>
      </c>
      <c r="T243" s="32" t="n">
        <f>59834690</f>
        <v>5.983469E7</v>
      </c>
      <c r="U243" s="32" t="n">
        <f>24963880</f>
        <v>2.496388E7</v>
      </c>
      <c r="V243" s="32" t="n">
        <f>15011113106</f>
        <v>1.5011113106E10</v>
      </c>
      <c r="W243" s="32" t="n">
        <f>6187514961</f>
        <v>6.187514961E9</v>
      </c>
      <c r="X243" s="36" t="n">
        <f>22</f>
        <v>22.0</v>
      </c>
    </row>
    <row r="244">
      <c r="A244" s="27" t="s">
        <v>42</v>
      </c>
      <c r="B244" s="27" t="s">
        <v>781</v>
      </c>
      <c r="C244" s="27" t="s">
        <v>782</v>
      </c>
      <c r="D244" s="27" t="s">
        <v>783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1985</f>
        <v>1985.0</v>
      </c>
      <c r="L244" s="34" t="s">
        <v>48</v>
      </c>
      <c r="M244" s="33" t="n">
        <f>2047</f>
        <v>2047.0</v>
      </c>
      <c r="N244" s="34" t="s">
        <v>49</v>
      </c>
      <c r="O244" s="33" t="n">
        <f>1872</f>
        <v>1872.0</v>
      </c>
      <c r="P244" s="34" t="s">
        <v>50</v>
      </c>
      <c r="Q244" s="33" t="n">
        <f>1914</f>
        <v>1914.0</v>
      </c>
      <c r="R244" s="34" t="s">
        <v>51</v>
      </c>
      <c r="S244" s="35" t="n">
        <f>1952.05</f>
        <v>1952.05</v>
      </c>
      <c r="T244" s="32" t="n">
        <f>159479</f>
        <v>159479.0</v>
      </c>
      <c r="U244" s="32" t="n">
        <f>5100</f>
        <v>5100.0</v>
      </c>
      <c r="V244" s="32" t="n">
        <f>311158222</f>
        <v>3.11158222E8</v>
      </c>
      <c r="W244" s="32" t="n">
        <f>9974580</f>
        <v>9974580.0</v>
      </c>
      <c r="X244" s="36" t="n">
        <f>22</f>
        <v>22.0</v>
      </c>
    </row>
    <row r="245">
      <c r="A245" s="27" t="s">
        <v>42</v>
      </c>
      <c r="B245" s="27" t="s">
        <v>784</v>
      </c>
      <c r="C245" s="27" t="s">
        <v>785</v>
      </c>
      <c r="D245" s="27" t="s">
        <v>786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1132</f>
        <v>1132.0</v>
      </c>
      <c r="L245" s="34" t="s">
        <v>48</v>
      </c>
      <c r="M245" s="33" t="n">
        <f>1143</f>
        <v>1143.0</v>
      </c>
      <c r="N245" s="34" t="s">
        <v>71</v>
      </c>
      <c r="O245" s="33" t="n">
        <f>1036</f>
        <v>1036.0</v>
      </c>
      <c r="P245" s="34" t="s">
        <v>67</v>
      </c>
      <c r="Q245" s="33" t="n">
        <f>1084</f>
        <v>1084.0</v>
      </c>
      <c r="R245" s="34" t="s">
        <v>51</v>
      </c>
      <c r="S245" s="35" t="n">
        <f>1089.64</f>
        <v>1089.64</v>
      </c>
      <c r="T245" s="32" t="n">
        <f>182856</f>
        <v>182856.0</v>
      </c>
      <c r="U245" s="32" t="n">
        <f>3</f>
        <v>3.0</v>
      </c>
      <c r="V245" s="32" t="n">
        <f>196992353</f>
        <v>1.96992353E8</v>
      </c>
      <c r="W245" s="32" t="n">
        <f>3406</f>
        <v>3406.0</v>
      </c>
      <c r="X245" s="36" t="n">
        <f>22</f>
        <v>22.0</v>
      </c>
    </row>
    <row r="246">
      <c r="A246" s="27" t="s">
        <v>42</v>
      </c>
      <c r="B246" s="27" t="s">
        <v>787</v>
      </c>
      <c r="C246" s="27" t="s">
        <v>788</v>
      </c>
      <c r="D246" s="27" t="s">
        <v>789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1134</f>
        <v>1134.0</v>
      </c>
      <c r="L246" s="34" t="s">
        <v>48</v>
      </c>
      <c r="M246" s="33" t="n">
        <f>1141.5</f>
        <v>1141.5</v>
      </c>
      <c r="N246" s="34" t="s">
        <v>129</v>
      </c>
      <c r="O246" s="33" t="n">
        <f>1061</f>
        <v>1061.0</v>
      </c>
      <c r="P246" s="34" t="s">
        <v>116</v>
      </c>
      <c r="Q246" s="33" t="n">
        <f>1112</f>
        <v>1112.0</v>
      </c>
      <c r="R246" s="34" t="s">
        <v>51</v>
      </c>
      <c r="S246" s="35" t="n">
        <f>1106.24</f>
        <v>1106.24</v>
      </c>
      <c r="T246" s="32" t="n">
        <f>8690</f>
        <v>8690.0</v>
      </c>
      <c r="U246" s="32" t="str">
        <f>"－"</f>
        <v>－</v>
      </c>
      <c r="V246" s="32" t="n">
        <f>9564125</f>
        <v>9564125.0</v>
      </c>
      <c r="W246" s="32" t="str">
        <f>"－"</f>
        <v>－</v>
      </c>
      <c r="X246" s="36" t="n">
        <f>21</f>
        <v>21.0</v>
      </c>
    </row>
    <row r="247">
      <c r="A247" s="27" t="s">
        <v>42</v>
      </c>
      <c r="B247" s="27" t="s">
        <v>790</v>
      </c>
      <c r="C247" s="27" t="s">
        <v>791</v>
      </c>
      <c r="D247" s="27" t="s">
        <v>792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237.3</f>
        <v>237.3</v>
      </c>
      <c r="L247" s="34" t="s">
        <v>48</v>
      </c>
      <c r="M247" s="33" t="n">
        <f>244.1</f>
        <v>244.1</v>
      </c>
      <c r="N247" s="34" t="s">
        <v>99</v>
      </c>
      <c r="O247" s="33" t="n">
        <f>225</f>
        <v>225.0</v>
      </c>
      <c r="P247" s="34" t="s">
        <v>76</v>
      </c>
      <c r="Q247" s="33" t="n">
        <f>228.5</f>
        <v>228.5</v>
      </c>
      <c r="R247" s="34" t="s">
        <v>51</v>
      </c>
      <c r="S247" s="35" t="n">
        <f>233.35</f>
        <v>233.35</v>
      </c>
      <c r="T247" s="32" t="n">
        <f>75300</f>
        <v>75300.0</v>
      </c>
      <c r="U247" s="32" t="str">
        <f>"－"</f>
        <v>－</v>
      </c>
      <c r="V247" s="32" t="n">
        <f>17517288</f>
        <v>1.7517288E7</v>
      </c>
      <c r="W247" s="32" t="str">
        <f>"－"</f>
        <v>－</v>
      </c>
      <c r="X247" s="36" t="n">
        <f>22</f>
        <v>22.0</v>
      </c>
    </row>
    <row r="248">
      <c r="A248" s="27" t="s">
        <v>42</v>
      </c>
      <c r="B248" s="27" t="s">
        <v>793</v>
      </c>
      <c r="C248" s="27" t="s">
        <v>794</v>
      </c>
      <c r="D248" s="27" t="s">
        <v>795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2817</f>
        <v>2817.0</v>
      </c>
      <c r="L248" s="34" t="s">
        <v>48</v>
      </c>
      <c r="M248" s="33" t="n">
        <f>2928.5</f>
        <v>2928.5</v>
      </c>
      <c r="N248" s="34" t="s">
        <v>49</v>
      </c>
      <c r="O248" s="33" t="n">
        <f>2500.5</f>
        <v>2500.5</v>
      </c>
      <c r="P248" s="34" t="s">
        <v>67</v>
      </c>
      <c r="Q248" s="33" t="n">
        <f>2719.5</f>
        <v>2719.5</v>
      </c>
      <c r="R248" s="34" t="s">
        <v>51</v>
      </c>
      <c r="S248" s="35" t="n">
        <f>2755.32</f>
        <v>2755.32</v>
      </c>
      <c r="T248" s="32" t="n">
        <f>4091490</f>
        <v>4091490.0</v>
      </c>
      <c r="U248" s="32" t="n">
        <f>450</f>
        <v>450.0</v>
      </c>
      <c r="V248" s="32" t="n">
        <f>11317504935</f>
        <v>1.1317504935E10</v>
      </c>
      <c r="W248" s="32" t="n">
        <f>1194300</f>
        <v>1194300.0</v>
      </c>
      <c r="X248" s="36" t="n">
        <f>22</f>
        <v>22.0</v>
      </c>
    </row>
    <row r="249">
      <c r="A249" s="27" t="s">
        <v>42</v>
      </c>
      <c r="B249" s="27" t="s">
        <v>796</v>
      </c>
      <c r="C249" s="27" t="s">
        <v>797</v>
      </c>
      <c r="D249" s="27" t="s">
        <v>798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2265.5</f>
        <v>2265.5</v>
      </c>
      <c r="L249" s="34" t="s">
        <v>48</v>
      </c>
      <c r="M249" s="33" t="n">
        <f>2305.5</f>
        <v>2305.5</v>
      </c>
      <c r="N249" s="34" t="s">
        <v>71</v>
      </c>
      <c r="O249" s="33" t="n">
        <f>1981</f>
        <v>1981.0</v>
      </c>
      <c r="P249" s="34" t="s">
        <v>67</v>
      </c>
      <c r="Q249" s="33" t="n">
        <f>2052</f>
        <v>2052.0</v>
      </c>
      <c r="R249" s="34" t="s">
        <v>51</v>
      </c>
      <c r="S249" s="35" t="n">
        <f>2126.07</f>
        <v>2126.07</v>
      </c>
      <c r="T249" s="32" t="n">
        <f>2935100</f>
        <v>2935100.0</v>
      </c>
      <c r="U249" s="32" t="n">
        <f>10</f>
        <v>10.0</v>
      </c>
      <c r="V249" s="32" t="n">
        <f>6223439775</f>
        <v>6.223439775E9</v>
      </c>
      <c r="W249" s="32" t="n">
        <f>20195</f>
        <v>20195.0</v>
      </c>
      <c r="X249" s="36" t="n">
        <f>22</f>
        <v>22.0</v>
      </c>
    </row>
    <row r="250">
      <c r="A250" s="27" t="s">
        <v>42</v>
      </c>
      <c r="B250" s="27" t="s">
        <v>799</v>
      </c>
      <c r="C250" s="27" t="s">
        <v>800</v>
      </c>
      <c r="D250" s="27" t="s">
        <v>801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2910</f>
        <v>2910.0</v>
      </c>
      <c r="L250" s="34" t="s">
        <v>48</v>
      </c>
      <c r="M250" s="33" t="n">
        <f>3080</f>
        <v>3080.0</v>
      </c>
      <c r="N250" s="34" t="s">
        <v>51</v>
      </c>
      <c r="O250" s="33" t="n">
        <f>2910</f>
        <v>2910.0</v>
      </c>
      <c r="P250" s="34" t="s">
        <v>48</v>
      </c>
      <c r="Q250" s="33" t="n">
        <f>3065</f>
        <v>3065.0</v>
      </c>
      <c r="R250" s="34" t="s">
        <v>51</v>
      </c>
      <c r="S250" s="35" t="n">
        <f>3015.64</f>
        <v>3015.64</v>
      </c>
      <c r="T250" s="32" t="n">
        <f>2584328</f>
        <v>2584328.0</v>
      </c>
      <c r="U250" s="32" t="n">
        <f>1871641</f>
        <v>1871641.0</v>
      </c>
      <c r="V250" s="32" t="n">
        <f>7775874585</f>
        <v>7.775874585E9</v>
      </c>
      <c r="W250" s="32" t="n">
        <f>5642721984</f>
        <v>5.642721984E9</v>
      </c>
      <c r="X250" s="36" t="n">
        <f>22</f>
        <v>22.0</v>
      </c>
    </row>
    <row r="251">
      <c r="A251" s="27" t="s">
        <v>42</v>
      </c>
      <c r="B251" s="27" t="s">
        <v>802</v>
      </c>
      <c r="C251" s="27" t="s">
        <v>803</v>
      </c>
      <c r="D251" s="27" t="s">
        <v>804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1739</f>
        <v>1739.0</v>
      </c>
      <c r="L251" s="34" t="s">
        <v>48</v>
      </c>
      <c r="M251" s="33" t="n">
        <f>1747</f>
        <v>1747.0</v>
      </c>
      <c r="N251" s="34" t="s">
        <v>87</v>
      </c>
      <c r="O251" s="33" t="n">
        <f>1623</f>
        <v>1623.0</v>
      </c>
      <c r="P251" s="34" t="s">
        <v>116</v>
      </c>
      <c r="Q251" s="33" t="n">
        <f>1692</f>
        <v>1692.0</v>
      </c>
      <c r="R251" s="34" t="s">
        <v>51</v>
      </c>
      <c r="S251" s="35" t="n">
        <f>1690.23</f>
        <v>1690.23</v>
      </c>
      <c r="T251" s="32" t="n">
        <f>1952445</f>
        <v>1952445.0</v>
      </c>
      <c r="U251" s="32" t="n">
        <f>900005</f>
        <v>900005.0</v>
      </c>
      <c r="V251" s="32" t="n">
        <f>3264309059</f>
        <v>3.264309059E9</v>
      </c>
      <c r="W251" s="32" t="n">
        <f>1492478473</f>
        <v>1.492478473E9</v>
      </c>
      <c r="X251" s="36" t="n">
        <f>22</f>
        <v>22.0</v>
      </c>
    </row>
    <row r="252">
      <c r="A252" s="27" t="s">
        <v>42</v>
      </c>
      <c r="B252" s="27" t="s">
        <v>805</v>
      </c>
      <c r="C252" s="27" t="s">
        <v>806</v>
      </c>
      <c r="D252" s="27" t="s">
        <v>807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2037</f>
        <v>2037.0</v>
      </c>
      <c r="L252" s="34" t="s">
        <v>48</v>
      </c>
      <c r="M252" s="33" t="n">
        <f>2055</f>
        <v>2055.0</v>
      </c>
      <c r="N252" s="34" t="s">
        <v>92</v>
      </c>
      <c r="O252" s="33" t="n">
        <f>1885</f>
        <v>1885.0</v>
      </c>
      <c r="P252" s="34" t="s">
        <v>86</v>
      </c>
      <c r="Q252" s="33" t="n">
        <f>1886</f>
        <v>1886.0</v>
      </c>
      <c r="R252" s="34" t="s">
        <v>51</v>
      </c>
      <c r="S252" s="35" t="n">
        <f>1952.95</f>
        <v>1952.95</v>
      </c>
      <c r="T252" s="32" t="n">
        <f>20586</f>
        <v>20586.0</v>
      </c>
      <c r="U252" s="32" t="str">
        <f>"－"</f>
        <v>－</v>
      </c>
      <c r="V252" s="32" t="n">
        <f>39836082</f>
        <v>3.9836082E7</v>
      </c>
      <c r="W252" s="32" t="str">
        <f>"－"</f>
        <v>－</v>
      </c>
      <c r="X252" s="36" t="n">
        <f>22</f>
        <v>22.0</v>
      </c>
    </row>
    <row r="253">
      <c r="A253" s="27" t="s">
        <v>42</v>
      </c>
      <c r="B253" s="27" t="s">
        <v>808</v>
      </c>
      <c r="C253" s="27" t="s">
        <v>809</v>
      </c>
      <c r="D253" s="27" t="s">
        <v>810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2279</f>
        <v>2279.0</v>
      </c>
      <c r="L253" s="34" t="s">
        <v>48</v>
      </c>
      <c r="M253" s="33" t="n">
        <f>2279</f>
        <v>2279.0</v>
      </c>
      <c r="N253" s="34" t="s">
        <v>48</v>
      </c>
      <c r="O253" s="33" t="n">
        <f>2143</f>
        <v>2143.0</v>
      </c>
      <c r="P253" s="34" t="s">
        <v>407</v>
      </c>
      <c r="Q253" s="33" t="n">
        <f>2180</f>
        <v>2180.0</v>
      </c>
      <c r="R253" s="34" t="s">
        <v>51</v>
      </c>
      <c r="S253" s="35" t="n">
        <f>2204</f>
        <v>2204.0</v>
      </c>
      <c r="T253" s="32" t="n">
        <f>8675</f>
        <v>8675.0</v>
      </c>
      <c r="U253" s="32" t="str">
        <f>"－"</f>
        <v>－</v>
      </c>
      <c r="V253" s="32" t="n">
        <f>19587064</f>
        <v>1.9587064E7</v>
      </c>
      <c r="W253" s="32" t="str">
        <f>"－"</f>
        <v>－</v>
      </c>
      <c r="X253" s="36" t="n">
        <f>22</f>
        <v>22.0</v>
      </c>
    </row>
    <row r="254">
      <c r="A254" s="27" t="s">
        <v>42</v>
      </c>
      <c r="B254" s="27" t="s">
        <v>811</v>
      </c>
      <c r="C254" s="27" t="s">
        <v>812</v>
      </c>
      <c r="D254" s="27" t="s">
        <v>813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2738</f>
        <v>2738.0</v>
      </c>
      <c r="L254" s="34" t="s">
        <v>48</v>
      </c>
      <c r="M254" s="33" t="n">
        <f>2846</f>
        <v>2846.0</v>
      </c>
      <c r="N254" s="34" t="s">
        <v>49</v>
      </c>
      <c r="O254" s="33" t="n">
        <f>2559</f>
        <v>2559.0</v>
      </c>
      <c r="P254" s="34" t="s">
        <v>50</v>
      </c>
      <c r="Q254" s="33" t="n">
        <f>2650</f>
        <v>2650.0</v>
      </c>
      <c r="R254" s="34" t="s">
        <v>51</v>
      </c>
      <c r="S254" s="35" t="n">
        <f>2704.14</f>
        <v>2704.14</v>
      </c>
      <c r="T254" s="32" t="n">
        <f>703967</f>
        <v>703967.0</v>
      </c>
      <c r="U254" s="32" t="n">
        <f>50000</f>
        <v>50000.0</v>
      </c>
      <c r="V254" s="32" t="n">
        <f>1889611933</f>
        <v>1.889611933E9</v>
      </c>
      <c r="W254" s="32" t="n">
        <f>132876000</f>
        <v>1.32876E8</v>
      </c>
      <c r="X254" s="36" t="n">
        <f>22</f>
        <v>22.0</v>
      </c>
    </row>
    <row r="255">
      <c r="A255" s="27" t="s">
        <v>42</v>
      </c>
      <c r="B255" s="27" t="s">
        <v>814</v>
      </c>
      <c r="C255" s="27" t="s">
        <v>815</v>
      </c>
      <c r="D255" s="27" t="s">
        <v>816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1918</f>
        <v>1918.0</v>
      </c>
      <c r="L255" s="34" t="s">
        <v>48</v>
      </c>
      <c r="M255" s="33" t="n">
        <f>1985</f>
        <v>1985.0</v>
      </c>
      <c r="N255" s="34" t="s">
        <v>49</v>
      </c>
      <c r="O255" s="33" t="n">
        <f>1813</f>
        <v>1813.0</v>
      </c>
      <c r="P255" s="34" t="s">
        <v>50</v>
      </c>
      <c r="Q255" s="33" t="n">
        <f>1878</f>
        <v>1878.0</v>
      </c>
      <c r="R255" s="34" t="s">
        <v>51</v>
      </c>
      <c r="S255" s="35" t="n">
        <f>1899.86</f>
        <v>1899.86</v>
      </c>
      <c r="T255" s="32" t="n">
        <f>386006</f>
        <v>386006.0</v>
      </c>
      <c r="U255" s="32" t="n">
        <f>15713</f>
        <v>15713.0</v>
      </c>
      <c r="V255" s="32" t="n">
        <f>740725188</f>
        <v>7.40725188E8</v>
      </c>
      <c r="W255" s="32" t="n">
        <f>29977593</f>
        <v>2.9977593E7</v>
      </c>
      <c r="X255" s="36" t="n">
        <f>22</f>
        <v>22.0</v>
      </c>
    </row>
    <row r="256">
      <c r="A256" s="27" t="s">
        <v>42</v>
      </c>
      <c r="B256" s="27" t="s">
        <v>817</v>
      </c>
      <c r="C256" s="27" t="s">
        <v>818</v>
      </c>
      <c r="D256" s="27" t="s">
        <v>819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1923</f>
        <v>1923.0</v>
      </c>
      <c r="L256" s="34" t="s">
        <v>48</v>
      </c>
      <c r="M256" s="33" t="n">
        <f>1952</f>
        <v>1952.0</v>
      </c>
      <c r="N256" s="34" t="s">
        <v>49</v>
      </c>
      <c r="O256" s="33" t="n">
        <f>1755</f>
        <v>1755.0</v>
      </c>
      <c r="P256" s="34" t="s">
        <v>50</v>
      </c>
      <c r="Q256" s="33" t="n">
        <f>1850</f>
        <v>1850.0</v>
      </c>
      <c r="R256" s="34" t="s">
        <v>51</v>
      </c>
      <c r="S256" s="35" t="n">
        <f>1862.68</f>
        <v>1862.68</v>
      </c>
      <c r="T256" s="32" t="n">
        <f>48547</f>
        <v>48547.0</v>
      </c>
      <c r="U256" s="32" t="str">
        <f>"－"</f>
        <v>－</v>
      </c>
      <c r="V256" s="32" t="n">
        <f>92361065</f>
        <v>9.2361065E7</v>
      </c>
      <c r="W256" s="32" t="str">
        <f>"－"</f>
        <v>－</v>
      </c>
      <c r="X256" s="36" t="n">
        <f>22</f>
        <v>22.0</v>
      </c>
    </row>
    <row r="257">
      <c r="A257" s="27" t="s">
        <v>42</v>
      </c>
      <c r="B257" s="27" t="s">
        <v>820</v>
      </c>
      <c r="C257" s="27" t="s">
        <v>821</v>
      </c>
      <c r="D257" s="27" t="s">
        <v>822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1490</f>
        <v>1490.0</v>
      </c>
      <c r="L257" s="34" t="s">
        <v>48</v>
      </c>
      <c r="M257" s="33" t="n">
        <f>1508</f>
        <v>1508.0</v>
      </c>
      <c r="N257" s="34" t="s">
        <v>49</v>
      </c>
      <c r="O257" s="33" t="n">
        <f>1262</f>
        <v>1262.0</v>
      </c>
      <c r="P257" s="34" t="s">
        <v>50</v>
      </c>
      <c r="Q257" s="33" t="n">
        <f>1380</f>
        <v>1380.0</v>
      </c>
      <c r="R257" s="34" t="s">
        <v>51</v>
      </c>
      <c r="S257" s="35" t="n">
        <f>1394.41</f>
        <v>1394.41</v>
      </c>
      <c r="T257" s="32" t="n">
        <f>81274</f>
        <v>81274.0</v>
      </c>
      <c r="U257" s="32" t="str">
        <f>"－"</f>
        <v>－</v>
      </c>
      <c r="V257" s="32" t="n">
        <f>112247062</f>
        <v>1.12247062E8</v>
      </c>
      <c r="W257" s="32" t="str">
        <f>"－"</f>
        <v>－</v>
      </c>
      <c r="X257" s="36" t="n">
        <f>22</f>
        <v>22.0</v>
      </c>
    </row>
    <row r="258">
      <c r="A258" s="27" t="s">
        <v>42</v>
      </c>
      <c r="B258" s="27" t="s">
        <v>823</v>
      </c>
      <c r="C258" s="27" t="s">
        <v>824</v>
      </c>
      <c r="D258" s="27" t="s">
        <v>825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2030</f>
        <v>2030.0</v>
      </c>
      <c r="L258" s="34" t="s">
        <v>48</v>
      </c>
      <c r="M258" s="33" t="n">
        <f>2313</f>
        <v>2313.0</v>
      </c>
      <c r="N258" s="34" t="s">
        <v>51</v>
      </c>
      <c r="O258" s="33" t="n">
        <f>2020</f>
        <v>2020.0</v>
      </c>
      <c r="P258" s="34" t="s">
        <v>87</v>
      </c>
      <c r="Q258" s="33" t="n">
        <f>2313</f>
        <v>2313.0</v>
      </c>
      <c r="R258" s="34" t="s">
        <v>51</v>
      </c>
      <c r="S258" s="35" t="n">
        <f>2218.73</f>
        <v>2218.73</v>
      </c>
      <c r="T258" s="32" t="n">
        <f>31787</f>
        <v>31787.0</v>
      </c>
      <c r="U258" s="32" t="str">
        <f>"－"</f>
        <v>－</v>
      </c>
      <c r="V258" s="32" t="n">
        <f>69382234</f>
        <v>6.9382234E7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826</v>
      </c>
      <c r="C259" s="27" t="s">
        <v>827</v>
      </c>
      <c r="D259" s="27" t="s">
        <v>828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2421</f>
        <v>2421.0</v>
      </c>
      <c r="L259" s="34" t="s">
        <v>48</v>
      </c>
      <c r="M259" s="33" t="n">
        <f>2800</f>
        <v>2800.0</v>
      </c>
      <c r="N259" s="34" t="s">
        <v>51</v>
      </c>
      <c r="O259" s="33" t="n">
        <f>2401</f>
        <v>2401.0</v>
      </c>
      <c r="P259" s="34" t="s">
        <v>48</v>
      </c>
      <c r="Q259" s="33" t="n">
        <f>2797</f>
        <v>2797.0</v>
      </c>
      <c r="R259" s="34" t="s">
        <v>51</v>
      </c>
      <c r="S259" s="35" t="n">
        <f>2633.64</f>
        <v>2633.64</v>
      </c>
      <c r="T259" s="32" t="n">
        <f>8585</f>
        <v>8585.0</v>
      </c>
      <c r="U259" s="32" t="str">
        <f>"－"</f>
        <v>－</v>
      </c>
      <c r="V259" s="32" t="n">
        <f>22893222</f>
        <v>2.2893222E7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829</v>
      </c>
      <c r="C260" s="27" t="s">
        <v>830</v>
      </c>
      <c r="D260" s="27" t="s">
        <v>831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10700</f>
        <v>10700.0</v>
      </c>
      <c r="L260" s="34" t="s">
        <v>48</v>
      </c>
      <c r="M260" s="33" t="n">
        <f>10785</f>
        <v>10785.0</v>
      </c>
      <c r="N260" s="34" t="s">
        <v>71</v>
      </c>
      <c r="O260" s="33" t="n">
        <f>9312</f>
        <v>9312.0</v>
      </c>
      <c r="P260" s="34" t="s">
        <v>50</v>
      </c>
      <c r="Q260" s="33" t="n">
        <f>9658</f>
        <v>9658.0</v>
      </c>
      <c r="R260" s="34" t="s">
        <v>51</v>
      </c>
      <c r="S260" s="35" t="n">
        <f>9985.23</f>
        <v>9985.23</v>
      </c>
      <c r="T260" s="32" t="n">
        <f>587705</f>
        <v>587705.0</v>
      </c>
      <c r="U260" s="32" t="n">
        <f>398500</f>
        <v>398500.0</v>
      </c>
      <c r="V260" s="32" t="n">
        <f>5868576649</f>
        <v>5.868576649E9</v>
      </c>
      <c r="W260" s="32" t="n">
        <f>3960587962</f>
        <v>3.960587962E9</v>
      </c>
      <c r="X260" s="36" t="n">
        <f>22</f>
        <v>22.0</v>
      </c>
    </row>
    <row r="261">
      <c r="A261" s="27" t="s">
        <v>42</v>
      </c>
      <c r="B261" s="27" t="s">
        <v>832</v>
      </c>
      <c r="C261" s="27" t="s">
        <v>833</v>
      </c>
      <c r="D261" s="27" t="s">
        <v>834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11765</f>
        <v>11765.0</v>
      </c>
      <c r="L261" s="34" t="s">
        <v>48</v>
      </c>
      <c r="M261" s="33" t="n">
        <f>12210</f>
        <v>12210.0</v>
      </c>
      <c r="N261" s="34" t="s">
        <v>49</v>
      </c>
      <c r="O261" s="33" t="n">
        <f>10570</f>
        <v>10570.0</v>
      </c>
      <c r="P261" s="34" t="s">
        <v>67</v>
      </c>
      <c r="Q261" s="33" t="n">
        <f>11340</f>
        <v>11340.0</v>
      </c>
      <c r="R261" s="34" t="s">
        <v>51</v>
      </c>
      <c r="S261" s="35" t="n">
        <f>11490</f>
        <v>11490.0</v>
      </c>
      <c r="T261" s="32" t="n">
        <f>1355531</f>
        <v>1355531.0</v>
      </c>
      <c r="U261" s="32" t="n">
        <f>123001</f>
        <v>123001.0</v>
      </c>
      <c r="V261" s="32" t="n">
        <f>15439453350</f>
        <v>1.543945335E10</v>
      </c>
      <c r="W261" s="32" t="n">
        <f>1458003195</f>
        <v>1.458003195E9</v>
      </c>
      <c r="X261" s="36" t="n">
        <f>22</f>
        <v>22.0</v>
      </c>
    </row>
    <row r="262">
      <c r="A262" s="27" t="s">
        <v>42</v>
      </c>
      <c r="B262" s="27" t="s">
        <v>835</v>
      </c>
      <c r="C262" s="27" t="s">
        <v>836</v>
      </c>
      <c r="D262" s="27" t="s">
        <v>837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9519</f>
        <v>9519.0</v>
      </c>
      <c r="L262" s="34" t="s">
        <v>48</v>
      </c>
      <c r="M262" s="33" t="n">
        <f>9681</f>
        <v>9681.0</v>
      </c>
      <c r="N262" s="34" t="s">
        <v>71</v>
      </c>
      <c r="O262" s="33" t="n">
        <f>8265</f>
        <v>8265.0</v>
      </c>
      <c r="P262" s="34" t="s">
        <v>67</v>
      </c>
      <c r="Q262" s="33" t="n">
        <f>8584</f>
        <v>8584.0</v>
      </c>
      <c r="R262" s="34" t="s">
        <v>51</v>
      </c>
      <c r="S262" s="35" t="n">
        <f>8903.91</f>
        <v>8903.91</v>
      </c>
      <c r="T262" s="32" t="n">
        <f>448547</f>
        <v>448547.0</v>
      </c>
      <c r="U262" s="32" t="n">
        <f>14400</f>
        <v>14400.0</v>
      </c>
      <c r="V262" s="32" t="n">
        <f>3984743206</f>
        <v>3.984743206E9</v>
      </c>
      <c r="W262" s="32" t="n">
        <f>122673600</f>
        <v>1.226736E8</v>
      </c>
      <c r="X262" s="36" t="n">
        <f>22</f>
        <v>22.0</v>
      </c>
    </row>
    <row r="263">
      <c r="A263" s="27" t="s">
        <v>42</v>
      </c>
      <c r="B263" s="27" t="s">
        <v>838</v>
      </c>
      <c r="C263" s="27" t="s">
        <v>839</v>
      </c>
      <c r="D263" s="27" t="s">
        <v>840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2478</f>
        <v>2478.0</v>
      </c>
      <c r="L263" s="34" t="s">
        <v>48</v>
      </c>
      <c r="M263" s="33" t="n">
        <f>2570</f>
        <v>2570.0</v>
      </c>
      <c r="N263" s="34" t="s">
        <v>49</v>
      </c>
      <c r="O263" s="33" t="n">
        <f>2254</f>
        <v>2254.0</v>
      </c>
      <c r="P263" s="34" t="s">
        <v>67</v>
      </c>
      <c r="Q263" s="33" t="n">
        <f>2401</f>
        <v>2401.0</v>
      </c>
      <c r="R263" s="34" t="s">
        <v>51</v>
      </c>
      <c r="S263" s="35" t="n">
        <f>2426.16</f>
        <v>2426.16</v>
      </c>
      <c r="T263" s="32" t="n">
        <f>3225130</f>
        <v>3225130.0</v>
      </c>
      <c r="U263" s="32" t="n">
        <f>1695110</f>
        <v>1695110.0</v>
      </c>
      <c r="V263" s="32" t="n">
        <f>7898433060</f>
        <v>7.89843306E9</v>
      </c>
      <c r="W263" s="32" t="n">
        <f>4173948240</f>
        <v>4.17394824E9</v>
      </c>
      <c r="X263" s="36" t="n">
        <f>22</f>
        <v>22.0</v>
      </c>
    </row>
    <row r="264">
      <c r="A264" s="27" t="s">
        <v>42</v>
      </c>
      <c r="B264" s="27" t="s">
        <v>841</v>
      </c>
      <c r="C264" s="27" t="s">
        <v>842</v>
      </c>
      <c r="D264" s="27" t="s">
        <v>843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2093.5</f>
        <v>2093.5</v>
      </c>
      <c r="L264" s="34" t="s">
        <v>48</v>
      </c>
      <c r="M264" s="33" t="n">
        <f>2109.5</f>
        <v>2109.5</v>
      </c>
      <c r="N264" s="34" t="s">
        <v>71</v>
      </c>
      <c r="O264" s="33" t="n">
        <f>1833</f>
        <v>1833.0</v>
      </c>
      <c r="P264" s="34" t="s">
        <v>50</v>
      </c>
      <c r="Q264" s="33" t="n">
        <f>1898.5</f>
        <v>1898.5</v>
      </c>
      <c r="R264" s="34" t="s">
        <v>51</v>
      </c>
      <c r="S264" s="35" t="n">
        <f>1962.82</f>
        <v>1962.82</v>
      </c>
      <c r="T264" s="32" t="n">
        <f>4023340</f>
        <v>4023340.0</v>
      </c>
      <c r="U264" s="32" t="n">
        <f>2787300</f>
        <v>2787300.0</v>
      </c>
      <c r="V264" s="32" t="n">
        <f>7807346930</f>
        <v>7.80734693E9</v>
      </c>
      <c r="W264" s="32" t="n">
        <f>5347226750</f>
        <v>5.34722675E9</v>
      </c>
      <c r="X264" s="36" t="n">
        <f>22</f>
        <v>22.0</v>
      </c>
    </row>
    <row r="265">
      <c r="A265" s="27" t="s">
        <v>42</v>
      </c>
      <c r="B265" s="27" t="s">
        <v>844</v>
      </c>
      <c r="C265" s="27" t="s">
        <v>845</v>
      </c>
      <c r="D265" s="27" t="s">
        <v>846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2533.5</f>
        <v>2533.5</v>
      </c>
      <c r="L265" s="34" t="s">
        <v>48</v>
      </c>
      <c r="M265" s="33" t="n">
        <f>2636.5</f>
        <v>2636.5</v>
      </c>
      <c r="N265" s="34" t="s">
        <v>49</v>
      </c>
      <c r="O265" s="33" t="n">
        <f>2320.5</f>
        <v>2320.5</v>
      </c>
      <c r="P265" s="34" t="s">
        <v>67</v>
      </c>
      <c r="Q265" s="33" t="n">
        <f>2472.5</f>
        <v>2472.5</v>
      </c>
      <c r="R265" s="34" t="s">
        <v>51</v>
      </c>
      <c r="S265" s="35" t="n">
        <f>2494.64</f>
        <v>2494.64</v>
      </c>
      <c r="T265" s="32" t="n">
        <f>94800</f>
        <v>94800.0</v>
      </c>
      <c r="U265" s="32" t="str">
        <f>"－"</f>
        <v>－</v>
      </c>
      <c r="V265" s="32" t="n">
        <f>241374380</f>
        <v>2.4137438E8</v>
      </c>
      <c r="W265" s="32" t="str">
        <f>"－"</f>
        <v>－</v>
      </c>
      <c r="X265" s="36" t="n">
        <f>22</f>
        <v>22.0</v>
      </c>
    </row>
    <row r="266">
      <c r="A266" s="27" t="s">
        <v>42</v>
      </c>
      <c r="B266" s="27" t="s">
        <v>847</v>
      </c>
      <c r="C266" s="27" t="s">
        <v>848</v>
      </c>
      <c r="D266" s="27" t="s">
        <v>849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2546</f>
        <v>2546.0</v>
      </c>
      <c r="L266" s="34" t="s">
        <v>48</v>
      </c>
      <c r="M266" s="33" t="n">
        <f>2605</f>
        <v>2605.0</v>
      </c>
      <c r="N266" s="34" t="s">
        <v>49</v>
      </c>
      <c r="O266" s="33" t="n">
        <f>2339</f>
        <v>2339.0</v>
      </c>
      <c r="P266" s="34" t="s">
        <v>50</v>
      </c>
      <c r="Q266" s="33" t="n">
        <f>2429</f>
        <v>2429.0</v>
      </c>
      <c r="R266" s="34" t="s">
        <v>51</v>
      </c>
      <c r="S266" s="35" t="n">
        <f>2478.64</f>
        <v>2478.64</v>
      </c>
      <c r="T266" s="32" t="n">
        <f>3350</f>
        <v>3350.0</v>
      </c>
      <c r="U266" s="32" t="str">
        <f>"－"</f>
        <v>－</v>
      </c>
      <c r="V266" s="32" t="n">
        <f>7998481</f>
        <v>7998481.0</v>
      </c>
      <c r="W266" s="32" t="str">
        <f>"－"</f>
        <v>－</v>
      </c>
      <c r="X266" s="36" t="n">
        <f>22</f>
        <v>22.0</v>
      </c>
    </row>
    <row r="267">
      <c r="A267" s="27" t="s">
        <v>42</v>
      </c>
      <c r="B267" s="27" t="s">
        <v>850</v>
      </c>
      <c r="C267" s="27" t="s">
        <v>851</v>
      </c>
      <c r="D267" s="27" t="s">
        <v>852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1513</f>
        <v>1513.0</v>
      </c>
      <c r="L267" s="34" t="s">
        <v>48</v>
      </c>
      <c r="M267" s="33" t="n">
        <f>1589</f>
        <v>1589.0</v>
      </c>
      <c r="N267" s="34" t="s">
        <v>49</v>
      </c>
      <c r="O267" s="33" t="n">
        <f>1422</f>
        <v>1422.0</v>
      </c>
      <c r="P267" s="34" t="s">
        <v>50</v>
      </c>
      <c r="Q267" s="33" t="n">
        <f>1487</f>
        <v>1487.0</v>
      </c>
      <c r="R267" s="34" t="s">
        <v>51</v>
      </c>
      <c r="S267" s="35" t="n">
        <f>1510</f>
        <v>1510.0</v>
      </c>
      <c r="T267" s="32" t="n">
        <f>125185</f>
        <v>125185.0</v>
      </c>
      <c r="U267" s="32" t="n">
        <f>2</f>
        <v>2.0</v>
      </c>
      <c r="V267" s="32" t="n">
        <f>188401280</f>
        <v>1.8840128E8</v>
      </c>
      <c r="W267" s="32" t="n">
        <f>3023</f>
        <v>3023.0</v>
      </c>
      <c r="X267" s="36" t="n">
        <f>22</f>
        <v>22.0</v>
      </c>
    </row>
    <row r="268">
      <c r="A268" s="27" t="s">
        <v>42</v>
      </c>
      <c r="B268" s="27" t="s">
        <v>853</v>
      </c>
      <c r="C268" s="27" t="s">
        <v>854</v>
      </c>
      <c r="D268" s="27" t="s">
        <v>855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1900</f>
        <v>1900.0</v>
      </c>
      <c r="L268" s="34" t="s">
        <v>48</v>
      </c>
      <c r="M268" s="33" t="n">
        <f>2000</f>
        <v>2000.0</v>
      </c>
      <c r="N268" s="34" t="s">
        <v>49</v>
      </c>
      <c r="O268" s="33" t="n">
        <f>1753</f>
        <v>1753.0</v>
      </c>
      <c r="P268" s="34" t="s">
        <v>50</v>
      </c>
      <c r="Q268" s="33" t="n">
        <f>1842</f>
        <v>1842.0</v>
      </c>
      <c r="R268" s="34" t="s">
        <v>51</v>
      </c>
      <c r="S268" s="35" t="n">
        <f>1874.73</f>
        <v>1874.73</v>
      </c>
      <c r="T268" s="32" t="n">
        <f>31255</f>
        <v>31255.0</v>
      </c>
      <c r="U268" s="32" t="str">
        <f>"－"</f>
        <v>－</v>
      </c>
      <c r="V268" s="32" t="n">
        <f>56599348</f>
        <v>5.6599348E7</v>
      </c>
      <c r="W268" s="32" t="str">
        <f>"－"</f>
        <v>－</v>
      </c>
      <c r="X268" s="36" t="n">
        <f>22</f>
        <v>22.0</v>
      </c>
    </row>
    <row r="269">
      <c r="A269" s="27" t="s">
        <v>42</v>
      </c>
      <c r="B269" s="27" t="s">
        <v>856</v>
      </c>
      <c r="C269" s="27" t="s">
        <v>857</v>
      </c>
      <c r="D269" s="27" t="s">
        <v>858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1582</f>
        <v>1582.0</v>
      </c>
      <c r="L269" s="34" t="s">
        <v>48</v>
      </c>
      <c r="M269" s="33" t="n">
        <f>1620</f>
        <v>1620.0</v>
      </c>
      <c r="N269" s="34" t="s">
        <v>49</v>
      </c>
      <c r="O269" s="33" t="n">
        <f>1476</f>
        <v>1476.0</v>
      </c>
      <c r="P269" s="34" t="s">
        <v>50</v>
      </c>
      <c r="Q269" s="33" t="n">
        <f>1565</f>
        <v>1565.0</v>
      </c>
      <c r="R269" s="34" t="s">
        <v>51</v>
      </c>
      <c r="S269" s="35" t="n">
        <f>1551.55</f>
        <v>1551.55</v>
      </c>
      <c r="T269" s="32" t="n">
        <f>26356</f>
        <v>26356.0</v>
      </c>
      <c r="U269" s="32" t="str">
        <f>"－"</f>
        <v>－</v>
      </c>
      <c r="V269" s="32" t="n">
        <f>39946296</f>
        <v>3.9946296E7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859</v>
      </c>
      <c r="C270" s="27" t="s">
        <v>860</v>
      </c>
      <c r="D270" s="27" t="s">
        <v>861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2782</f>
        <v>2782.0</v>
      </c>
      <c r="L270" s="34" t="s">
        <v>48</v>
      </c>
      <c r="M270" s="33" t="n">
        <f>2801</f>
        <v>2801.0</v>
      </c>
      <c r="N270" s="34" t="s">
        <v>49</v>
      </c>
      <c r="O270" s="33" t="n">
        <f>2487</f>
        <v>2487.0</v>
      </c>
      <c r="P270" s="34" t="s">
        <v>67</v>
      </c>
      <c r="Q270" s="33" t="n">
        <f>2560</f>
        <v>2560.0</v>
      </c>
      <c r="R270" s="34" t="s">
        <v>51</v>
      </c>
      <c r="S270" s="35" t="n">
        <f>2637.59</f>
        <v>2637.59</v>
      </c>
      <c r="T270" s="32" t="n">
        <f>51980</f>
        <v>51980.0</v>
      </c>
      <c r="U270" s="32" t="str">
        <f>"－"</f>
        <v>－</v>
      </c>
      <c r="V270" s="32" t="n">
        <f>136416976</f>
        <v>1.36416976E8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862</v>
      </c>
      <c r="C271" s="27" t="s">
        <v>863</v>
      </c>
      <c r="D271" s="27" t="s">
        <v>864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2074</f>
        <v>2074.0</v>
      </c>
      <c r="L271" s="34" t="s">
        <v>48</v>
      </c>
      <c r="M271" s="33" t="n">
        <f>2140</f>
        <v>2140.0</v>
      </c>
      <c r="N271" s="34" t="s">
        <v>49</v>
      </c>
      <c r="O271" s="33" t="n">
        <f>1937</f>
        <v>1937.0</v>
      </c>
      <c r="P271" s="34" t="s">
        <v>50</v>
      </c>
      <c r="Q271" s="33" t="n">
        <f>1958</f>
        <v>1958.0</v>
      </c>
      <c r="R271" s="34" t="s">
        <v>51</v>
      </c>
      <c r="S271" s="35" t="n">
        <f>2025.41</f>
        <v>2025.41</v>
      </c>
      <c r="T271" s="32" t="n">
        <f>122609</f>
        <v>122609.0</v>
      </c>
      <c r="U271" s="32" t="str">
        <f>"－"</f>
        <v>－</v>
      </c>
      <c r="V271" s="32" t="n">
        <f>243769612</f>
        <v>2.43769612E8</v>
      </c>
      <c r="W271" s="32" t="str">
        <f>"－"</f>
        <v>－</v>
      </c>
      <c r="X271" s="36" t="n">
        <f>22</f>
        <v>22.0</v>
      </c>
    </row>
    <row r="272">
      <c r="A272" s="27" t="s">
        <v>42</v>
      </c>
      <c r="B272" s="27" t="s">
        <v>865</v>
      </c>
      <c r="C272" s="27" t="s">
        <v>866</v>
      </c>
      <c r="D272" s="27" t="s">
        <v>867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25760</f>
        <v>25760.0</v>
      </c>
      <c r="L272" s="34" t="s">
        <v>48</v>
      </c>
      <c r="M272" s="33" t="n">
        <f>26350</f>
        <v>26350.0</v>
      </c>
      <c r="N272" s="34" t="s">
        <v>49</v>
      </c>
      <c r="O272" s="33" t="n">
        <f>24390</f>
        <v>24390.0</v>
      </c>
      <c r="P272" s="34" t="s">
        <v>50</v>
      </c>
      <c r="Q272" s="33" t="n">
        <f>25200</f>
        <v>25200.0</v>
      </c>
      <c r="R272" s="34" t="s">
        <v>51</v>
      </c>
      <c r="S272" s="35" t="n">
        <f>25368.82</f>
        <v>25368.82</v>
      </c>
      <c r="T272" s="32" t="n">
        <f>32</f>
        <v>32.0</v>
      </c>
      <c r="U272" s="32" t="str">
        <f>"－"</f>
        <v>－</v>
      </c>
      <c r="V272" s="32" t="n">
        <f>811785</f>
        <v>811785.0</v>
      </c>
      <c r="W272" s="32" t="str">
        <f>"－"</f>
        <v>－</v>
      </c>
      <c r="X272" s="36" t="n">
        <f>17</f>
        <v>17.0</v>
      </c>
    </row>
    <row r="273">
      <c r="A273" s="27" t="s">
        <v>42</v>
      </c>
      <c r="B273" s="27" t="s">
        <v>868</v>
      </c>
      <c r="C273" s="27" t="s">
        <v>869</v>
      </c>
      <c r="D273" s="27" t="s">
        <v>870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2026</f>
        <v>2026.0</v>
      </c>
      <c r="L273" s="34" t="s">
        <v>48</v>
      </c>
      <c r="M273" s="33" t="n">
        <f>2099</f>
        <v>2099.0</v>
      </c>
      <c r="N273" s="34" t="s">
        <v>49</v>
      </c>
      <c r="O273" s="33" t="n">
        <f>1890</f>
        <v>1890.0</v>
      </c>
      <c r="P273" s="34" t="s">
        <v>50</v>
      </c>
      <c r="Q273" s="33" t="n">
        <f>1953</f>
        <v>1953.0</v>
      </c>
      <c r="R273" s="34" t="s">
        <v>51</v>
      </c>
      <c r="S273" s="35" t="n">
        <f>1981.48</f>
        <v>1981.48</v>
      </c>
      <c r="T273" s="32" t="n">
        <f>1614</f>
        <v>1614.0</v>
      </c>
      <c r="U273" s="32" t="str">
        <f>"－"</f>
        <v>－</v>
      </c>
      <c r="V273" s="32" t="n">
        <f>3177403</f>
        <v>3177403.0</v>
      </c>
      <c r="W273" s="32" t="str">
        <f>"－"</f>
        <v>－</v>
      </c>
      <c r="X273" s="36" t="n">
        <f>21</f>
        <v>21.0</v>
      </c>
    </row>
    <row r="274">
      <c r="A274" s="27" t="s">
        <v>42</v>
      </c>
      <c r="B274" s="27" t="s">
        <v>871</v>
      </c>
      <c r="C274" s="27" t="s">
        <v>872</v>
      </c>
      <c r="D274" s="27" t="s">
        <v>873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2229</f>
        <v>2229.0</v>
      </c>
      <c r="L274" s="34" t="s">
        <v>48</v>
      </c>
      <c r="M274" s="33" t="n">
        <f>2280</f>
        <v>2280.0</v>
      </c>
      <c r="N274" s="34" t="s">
        <v>71</v>
      </c>
      <c r="O274" s="33" t="n">
        <f>1880</f>
        <v>1880.0</v>
      </c>
      <c r="P274" s="34" t="s">
        <v>50</v>
      </c>
      <c r="Q274" s="33" t="n">
        <f>1919</f>
        <v>1919.0</v>
      </c>
      <c r="R274" s="34" t="s">
        <v>51</v>
      </c>
      <c r="S274" s="35" t="n">
        <f>2078.41</f>
        <v>2078.41</v>
      </c>
      <c r="T274" s="32" t="n">
        <f>429575</f>
        <v>429575.0</v>
      </c>
      <c r="U274" s="32" t="n">
        <f>11</f>
        <v>11.0</v>
      </c>
      <c r="V274" s="32" t="n">
        <f>891837419</f>
        <v>8.91837419E8</v>
      </c>
      <c r="W274" s="32" t="n">
        <f>22133</f>
        <v>22133.0</v>
      </c>
      <c r="X274" s="36" t="n">
        <f>22</f>
        <v>22.0</v>
      </c>
    </row>
    <row r="275">
      <c r="A275" s="27" t="s">
        <v>42</v>
      </c>
      <c r="B275" s="27" t="s">
        <v>874</v>
      </c>
      <c r="C275" s="27" t="s">
        <v>875</v>
      </c>
      <c r="D275" s="27" t="s">
        <v>876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1816</f>
        <v>1816.0</v>
      </c>
      <c r="L275" s="34" t="s">
        <v>48</v>
      </c>
      <c r="M275" s="33" t="n">
        <f>1851</f>
        <v>1851.0</v>
      </c>
      <c r="N275" s="34" t="s">
        <v>49</v>
      </c>
      <c r="O275" s="33" t="n">
        <f>1664</f>
        <v>1664.0</v>
      </c>
      <c r="P275" s="34" t="s">
        <v>50</v>
      </c>
      <c r="Q275" s="33" t="n">
        <f>1730</f>
        <v>1730.0</v>
      </c>
      <c r="R275" s="34" t="s">
        <v>51</v>
      </c>
      <c r="S275" s="35" t="n">
        <f>1754.32</f>
        <v>1754.32</v>
      </c>
      <c r="T275" s="32" t="n">
        <f>18489</f>
        <v>18489.0</v>
      </c>
      <c r="U275" s="32" t="str">
        <f>"－"</f>
        <v>－</v>
      </c>
      <c r="V275" s="32" t="n">
        <f>32620961</f>
        <v>3.2620961E7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877</v>
      </c>
      <c r="C276" s="27" t="s">
        <v>878</v>
      </c>
      <c r="D276" s="27" t="s">
        <v>879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1397</f>
        <v>1397.0</v>
      </c>
      <c r="L276" s="34" t="s">
        <v>48</v>
      </c>
      <c r="M276" s="33" t="n">
        <f>1463</f>
        <v>1463.0</v>
      </c>
      <c r="N276" s="34" t="s">
        <v>99</v>
      </c>
      <c r="O276" s="33" t="n">
        <f>1282</f>
        <v>1282.0</v>
      </c>
      <c r="P276" s="34" t="s">
        <v>323</v>
      </c>
      <c r="Q276" s="33" t="n">
        <f>1308</f>
        <v>1308.0</v>
      </c>
      <c r="R276" s="34" t="s">
        <v>51</v>
      </c>
      <c r="S276" s="35" t="n">
        <f>1367.05</f>
        <v>1367.05</v>
      </c>
      <c r="T276" s="32" t="n">
        <f>29657</f>
        <v>29657.0</v>
      </c>
      <c r="U276" s="32" t="str">
        <f>"－"</f>
        <v>－</v>
      </c>
      <c r="V276" s="32" t="n">
        <f>40208130</f>
        <v>4.020813E7</v>
      </c>
      <c r="W276" s="32" t="str">
        <f>"－"</f>
        <v>－</v>
      </c>
      <c r="X276" s="36" t="n">
        <f>22</f>
        <v>22.0</v>
      </c>
    </row>
    <row r="277">
      <c r="A277" s="27" t="s">
        <v>42</v>
      </c>
      <c r="B277" s="27" t="s">
        <v>880</v>
      </c>
      <c r="C277" s="27" t="s">
        <v>881</v>
      </c>
      <c r="D277" s="27" t="s">
        <v>882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5161</f>
        <v>5161.0</v>
      </c>
      <c r="L277" s="34" t="s">
        <v>87</v>
      </c>
      <c r="M277" s="33" t="n">
        <f>5356</f>
        <v>5356.0</v>
      </c>
      <c r="N277" s="34" t="s">
        <v>51</v>
      </c>
      <c r="O277" s="33" t="n">
        <f>5135</f>
        <v>5135.0</v>
      </c>
      <c r="P277" s="34" t="s">
        <v>116</v>
      </c>
      <c r="Q277" s="33" t="n">
        <f>5335</f>
        <v>5335.0</v>
      </c>
      <c r="R277" s="34" t="s">
        <v>51</v>
      </c>
      <c r="S277" s="35" t="n">
        <f>5227.43</f>
        <v>5227.43</v>
      </c>
      <c r="T277" s="32" t="n">
        <f>256430</f>
        <v>256430.0</v>
      </c>
      <c r="U277" s="32" t="n">
        <f>193580</f>
        <v>193580.0</v>
      </c>
      <c r="V277" s="32" t="n">
        <f>1345821162</f>
        <v>1.345821162E9</v>
      </c>
      <c r="W277" s="32" t="n">
        <f>1017109252</f>
        <v>1.017109252E9</v>
      </c>
      <c r="X277" s="36" t="n">
        <f>14</f>
        <v>14.0</v>
      </c>
    </row>
    <row r="278">
      <c r="A278" s="27" t="s">
        <v>42</v>
      </c>
      <c r="B278" s="27" t="s">
        <v>883</v>
      </c>
      <c r="C278" s="27" t="s">
        <v>884</v>
      </c>
      <c r="D278" s="27" t="s">
        <v>885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4485</f>
        <v>4485.0</v>
      </c>
      <c r="L278" s="34" t="s">
        <v>48</v>
      </c>
      <c r="M278" s="33" t="n">
        <f>4520</f>
        <v>4520.0</v>
      </c>
      <c r="N278" s="34" t="s">
        <v>71</v>
      </c>
      <c r="O278" s="33" t="n">
        <f>4259</f>
        <v>4259.0</v>
      </c>
      <c r="P278" s="34" t="s">
        <v>116</v>
      </c>
      <c r="Q278" s="33" t="n">
        <f>4362</f>
        <v>4362.0</v>
      </c>
      <c r="R278" s="34" t="s">
        <v>86</v>
      </c>
      <c r="S278" s="35" t="n">
        <f>4370.85</f>
        <v>4370.85</v>
      </c>
      <c r="T278" s="32" t="n">
        <f>346620</f>
        <v>346620.0</v>
      </c>
      <c r="U278" s="32" t="n">
        <f>256000</f>
        <v>256000.0</v>
      </c>
      <c r="V278" s="32" t="n">
        <f>1535221362</f>
        <v>1.535221362E9</v>
      </c>
      <c r="W278" s="32" t="n">
        <f>1138415192</f>
        <v>1.138415192E9</v>
      </c>
      <c r="X278" s="36" t="n">
        <f>13</f>
        <v>13.0</v>
      </c>
    </row>
    <row r="279">
      <c r="A279" s="27" t="s">
        <v>42</v>
      </c>
      <c r="B279" s="27" t="s">
        <v>886</v>
      </c>
      <c r="C279" s="27" t="s">
        <v>887</v>
      </c>
      <c r="D279" s="27" t="s">
        <v>888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747.9</f>
        <v>747.9</v>
      </c>
      <c r="L279" s="34" t="s">
        <v>48</v>
      </c>
      <c r="M279" s="33" t="n">
        <f>758.9</f>
        <v>758.9</v>
      </c>
      <c r="N279" s="34" t="s">
        <v>323</v>
      </c>
      <c r="O279" s="33" t="n">
        <f>715.2</f>
        <v>715.2</v>
      </c>
      <c r="P279" s="34" t="s">
        <v>116</v>
      </c>
      <c r="Q279" s="33" t="n">
        <f>734.8</f>
        <v>734.8</v>
      </c>
      <c r="R279" s="34" t="s">
        <v>51</v>
      </c>
      <c r="S279" s="35" t="n">
        <f>733.65</f>
        <v>733.65</v>
      </c>
      <c r="T279" s="32" t="n">
        <f>110700</f>
        <v>110700.0</v>
      </c>
      <c r="U279" s="32" t="n">
        <f>15000</f>
        <v>15000.0</v>
      </c>
      <c r="V279" s="32" t="n">
        <f>81071820</f>
        <v>8.107182E7</v>
      </c>
      <c r="W279" s="32" t="n">
        <f>11160000</f>
        <v>1.116E7</v>
      </c>
      <c r="X279" s="36" t="n">
        <f>19</f>
        <v>19.0</v>
      </c>
    </row>
    <row r="280">
      <c r="A280" s="27" t="s">
        <v>42</v>
      </c>
      <c r="B280" s="27" t="s">
        <v>889</v>
      </c>
      <c r="C280" s="27" t="s">
        <v>890</v>
      </c>
      <c r="D280" s="27" t="s">
        <v>891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2037</f>
        <v>2037.0</v>
      </c>
      <c r="L280" s="34" t="s">
        <v>48</v>
      </c>
      <c r="M280" s="33" t="n">
        <f>2086</f>
        <v>2086.0</v>
      </c>
      <c r="N280" s="34" t="s">
        <v>49</v>
      </c>
      <c r="O280" s="33" t="n">
        <f>1875</f>
        <v>1875.0</v>
      </c>
      <c r="P280" s="34" t="s">
        <v>50</v>
      </c>
      <c r="Q280" s="33" t="n">
        <f>1970</f>
        <v>1970.0</v>
      </c>
      <c r="R280" s="34" t="s">
        <v>51</v>
      </c>
      <c r="S280" s="35" t="n">
        <f>1985.18</f>
        <v>1985.18</v>
      </c>
      <c r="T280" s="32" t="n">
        <f>4583</f>
        <v>4583.0</v>
      </c>
      <c r="U280" s="32" t="str">
        <f>"－"</f>
        <v>－</v>
      </c>
      <c r="V280" s="32" t="n">
        <f>9080425</f>
        <v>9080425.0</v>
      </c>
      <c r="W280" s="32" t="str">
        <f>"－"</f>
        <v>－</v>
      </c>
      <c r="X280" s="36" t="n">
        <f>22</f>
        <v>22.0</v>
      </c>
    </row>
    <row r="281">
      <c r="A281" s="27" t="s">
        <v>42</v>
      </c>
      <c r="B281" s="27" t="s">
        <v>892</v>
      </c>
      <c r="C281" s="27" t="s">
        <v>893</v>
      </c>
      <c r="D281" s="27" t="s">
        <v>894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1836</f>
        <v>1836.0</v>
      </c>
      <c r="L281" s="34" t="s">
        <v>48</v>
      </c>
      <c r="M281" s="33" t="n">
        <f>1840</f>
        <v>1840.0</v>
      </c>
      <c r="N281" s="34" t="s">
        <v>48</v>
      </c>
      <c r="O281" s="33" t="n">
        <f>1612</f>
        <v>1612.0</v>
      </c>
      <c r="P281" s="34" t="s">
        <v>50</v>
      </c>
      <c r="Q281" s="33" t="n">
        <f>1718</f>
        <v>1718.0</v>
      </c>
      <c r="R281" s="34" t="s">
        <v>51</v>
      </c>
      <c r="S281" s="35" t="n">
        <f>1734.5</f>
        <v>1734.5</v>
      </c>
      <c r="T281" s="32" t="n">
        <f>9895</f>
        <v>9895.0</v>
      </c>
      <c r="U281" s="32" t="str">
        <f>"－"</f>
        <v>－</v>
      </c>
      <c r="V281" s="32" t="n">
        <f>16426301</f>
        <v>1.6426301E7</v>
      </c>
      <c r="W281" s="32" t="str">
        <f>"－"</f>
        <v>－</v>
      </c>
      <c r="X281" s="36" t="n">
        <f>22</f>
        <v>22.0</v>
      </c>
    </row>
    <row r="282">
      <c r="A282" s="27" t="s">
        <v>42</v>
      </c>
      <c r="B282" s="27" t="s">
        <v>895</v>
      </c>
      <c r="C282" s="27" t="s">
        <v>896</v>
      </c>
      <c r="D282" s="27" t="s">
        <v>897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7673</f>
        <v>7673.0</v>
      </c>
      <c r="L282" s="34" t="s">
        <v>48</v>
      </c>
      <c r="M282" s="33" t="n">
        <f>7973</f>
        <v>7973.0</v>
      </c>
      <c r="N282" s="34" t="s">
        <v>51</v>
      </c>
      <c r="O282" s="33" t="n">
        <f>7633</f>
        <v>7633.0</v>
      </c>
      <c r="P282" s="34" t="s">
        <v>307</v>
      </c>
      <c r="Q282" s="33" t="n">
        <f>7960</f>
        <v>7960.0</v>
      </c>
      <c r="R282" s="34" t="s">
        <v>51</v>
      </c>
      <c r="S282" s="35" t="n">
        <f>7783.33</f>
        <v>7783.33</v>
      </c>
      <c r="T282" s="32" t="n">
        <f>119858</f>
        <v>119858.0</v>
      </c>
      <c r="U282" s="32" t="n">
        <f>39123</f>
        <v>39123.0</v>
      </c>
      <c r="V282" s="32" t="n">
        <f>923672121</f>
        <v>9.23672121E8</v>
      </c>
      <c r="W282" s="32" t="n">
        <f>299486565</f>
        <v>2.99486565E8</v>
      </c>
      <c r="X282" s="36" t="n">
        <f>21</f>
        <v>21.0</v>
      </c>
    </row>
    <row r="283">
      <c r="A283" s="27" t="s">
        <v>42</v>
      </c>
      <c r="B283" s="27" t="s">
        <v>898</v>
      </c>
      <c r="C283" s="27" t="s">
        <v>899</v>
      </c>
      <c r="D283" s="27" t="s">
        <v>900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6682</f>
        <v>6682.0</v>
      </c>
      <c r="L283" s="34" t="s">
        <v>48</v>
      </c>
      <c r="M283" s="33" t="n">
        <f>6682</f>
        <v>6682.0</v>
      </c>
      <c r="N283" s="34" t="s">
        <v>48</v>
      </c>
      <c r="O283" s="33" t="n">
        <f>6356</f>
        <v>6356.0</v>
      </c>
      <c r="P283" s="34" t="s">
        <v>116</v>
      </c>
      <c r="Q283" s="33" t="n">
        <f>6551</f>
        <v>6551.0</v>
      </c>
      <c r="R283" s="34" t="s">
        <v>51</v>
      </c>
      <c r="S283" s="35" t="n">
        <f>6523.72</f>
        <v>6523.72</v>
      </c>
      <c r="T283" s="32" t="n">
        <f>93717</f>
        <v>93717.0</v>
      </c>
      <c r="U283" s="32" t="str">
        <f>"－"</f>
        <v>－</v>
      </c>
      <c r="V283" s="32" t="n">
        <f>602852710</f>
        <v>6.0285271E8</v>
      </c>
      <c r="W283" s="32" t="str">
        <f>"－"</f>
        <v>－</v>
      </c>
      <c r="X283" s="36" t="n">
        <f>18</f>
        <v>18.0</v>
      </c>
    </row>
    <row r="284">
      <c r="A284" s="27" t="s">
        <v>42</v>
      </c>
      <c r="B284" s="27" t="s">
        <v>901</v>
      </c>
      <c r="C284" s="27" t="s">
        <v>902</v>
      </c>
      <c r="D284" s="27" t="s">
        <v>903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15395</f>
        <v>15395.0</v>
      </c>
      <c r="L284" s="34" t="s">
        <v>48</v>
      </c>
      <c r="M284" s="33" t="n">
        <f>16015</f>
        <v>16015.0</v>
      </c>
      <c r="N284" s="34" t="s">
        <v>49</v>
      </c>
      <c r="O284" s="33" t="n">
        <f>13870</f>
        <v>13870.0</v>
      </c>
      <c r="P284" s="34" t="s">
        <v>67</v>
      </c>
      <c r="Q284" s="33" t="n">
        <f>14880</f>
        <v>14880.0</v>
      </c>
      <c r="R284" s="34" t="s">
        <v>51</v>
      </c>
      <c r="S284" s="35" t="n">
        <f>15067.73</f>
        <v>15067.73</v>
      </c>
      <c r="T284" s="32" t="n">
        <f>342695</f>
        <v>342695.0</v>
      </c>
      <c r="U284" s="32" t="str">
        <f>"－"</f>
        <v>－</v>
      </c>
      <c r="V284" s="32" t="n">
        <f>5146305880</f>
        <v>5.14630588E9</v>
      </c>
      <c r="W284" s="32" t="str">
        <f>"－"</f>
        <v>－</v>
      </c>
      <c r="X284" s="36" t="n">
        <f>22</f>
        <v>22.0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8926</f>
        <v>8926.0</v>
      </c>
      <c r="L285" s="34" t="s">
        <v>48</v>
      </c>
      <c r="M285" s="33" t="n">
        <f>9081</f>
        <v>9081.0</v>
      </c>
      <c r="N285" s="34" t="s">
        <v>71</v>
      </c>
      <c r="O285" s="33" t="n">
        <f>7775</f>
        <v>7775.0</v>
      </c>
      <c r="P285" s="34" t="s">
        <v>67</v>
      </c>
      <c r="Q285" s="33" t="n">
        <f>8075</f>
        <v>8075.0</v>
      </c>
      <c r="R285" s="34" t="s">
        <v>51</v>
      </c>
      <c r="S285" s="35" t="n">
        <f>8367.27</f>
        <v>8367.27</v>
      </c>
      <c r="T285" s="32" t="n">
        <f>105013</f>
        <v>105013.0</v>
      </c>
      <c r="U285" s="32" t="str">
        <f>"－"</f>
        <v>－</v>
      </c>
      <c r="V285" s="32" t="n">
        <f>876258103</f>
        <v>8.76258103E8</v>
      </c>
      <c r="W285" s="32" t="str">
        <f>"－"</f>
        <v>－</v>
      </c>
      <c r="X285" s="36" t="n">
        <f>22</f>
        <v>22.0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30010</f>
        <v>30010.0</v>
      </c>
      <c r="L286" s="34" t="s">
        <v>48</v>
      </c>
      <c r="M286" s="33" t="n">
        <f>34440</f>
        <v>34440.0</v>
      </c>
      <c r="N286" s="34" t="s">
        <v>50</v>
      </c>
      <c r="O286" s="33" t="n">
        <f>29450</f>
        <v>29450.0</v>
      </c>
      <c r="P286" s="34" t="s">
        <v>71</v>
      </c>
      <c r="Q286" s="33" t="n">
        <f>32630</f>
        <v>32630.0</v>
      </c>
      <c r="R286" s="34" t="s">
        <v>51</v>
      </c>
      <c r="S286" s="35" t="n">
        <f>31810.68</f>
        <v>31810.68</v>
      </c>
      <c r="T286" s="32" t="n">
        <f>540626</f>
        <v>540626.0</v>
      </c>
      <c r="U286" s="32" t="n">
        <f>76500</f>
        <v>76500.0</v>
      </c>
      <c r="V286" s="32" t="n">
        <f>17406430252</f>
        <v>1.7406430252E10</v>
      </c>
      <c r="W286" s="32" t="n">
        <f>2363548392</f>
        <v>2.363548392E9</v>
      </c>
      <c r="X286" s="36" t="n">
        <f>22</f>
        <v>22.0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4525</f>
        <v>4525.0</v>
      </c>
      <c r="L287" s="34" t="s">
        <v>48</v>
      </c>
      <c r="M287" s="33" t="n">
        <f>4525</f>
        <v>4525.0</v>
      </c>
      <c r="N287" s="34" t="s">
        <v>48</v>
      </c>
      <c r="O287" s="33" t="n">
        <f>4272</f>
        <v>4272.0</v>
      </c>
      <c r="P287" s="34" t="s">
        <v>67</v>
      </c>
      <c r="Q287" s="33" t="n">
        <f>4414</f>
        <v>4414.0</v>
      </c>
      <c r="R287" s="34" t="s">
        <v>253</v>
      </c>
      <c r="S287" s="35" t="n">
        <f>4411.13</f>
        <v>4411.13</v>
      </c>
      <c r="T287" s="32" t="n">
        <f>164660</f>
        <v>164660.0</v>
      </c>
      <c r="U287" s="32" t="str">
        <f>"－"</f>
        <v>－</v>
      </c>
      <c r="V287" s="32" t="n">
        <f>732219710</f>
        <v>7.3221971E8</v>
      </c>
      <c r="W287" s="32" t="str">
        <f>"－"</f>
        <v>－</v>
      </c>
      <c r="X287" s="36" t="n">
        <f>15</f>
        <v>15.0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5090</f>
        <v>5090.0</v>
      </c>
      <c r="L288" s="34" t="s">
        <v>48</v>
      </c>
      <c r="M288" s="33" t="n">
        <f>5279</f>
        <v>5279.0</v>
      </c>
      <c r="N288" s="34" t="s">
        <v>87</v>
      </c>
      <c r="O288" s="33" t="n">
        <f>4837</f>
        <v>4837.0</v>
      </c>
      <c r="P288" s="34" t="s">
        <v>116</v>
      </c>
      <c r="Q288" s="33" t="n">
        <f>5058</f>
        <v>5058.0</v>
      </c>
      <c r="R288" s="34" t="s">
        <v>51</v>
      </c>
      <c r="S288" s="35" t="n">
        <f>5036.68</f>
        <v>5036.68</v>
      </c>
      <c r="T288" s="32" t="n">
        <f>504630</f>
        <v>504630.0</v>
      </c>
      <c r="U288" s="32" t="n">
        <f>444000</f>
        <v>444000.0</v>
      </c>
      <c r="V288" s="32" t="n">
        <f>2508630020</f>
        <v>2.50863002E9</v>
      </c>
      <c r="W288" s="32" t="n">
        <f>2199470800</f>
        <v>2.1994708E9</v>
      </c>
      <c r="X288" s="36" t="n">
        <f>19</f>
        <v>19.0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1863</f>
        <v>1863.0</v>
      </c>
      <c r="L289" s="34" t="s">
        <v>48</v>
      </c>
      <c r="M289" s="33" t="n">
        <f>1891.5</f>
        <v>1891.5</v>
      </c>
      <c r="N289" s="34" t="s">
        <v>71</v>
      </c>
      <c r="O289" s="33" t="n">
        <f>1625</f>
        <v>1625.0</v>
      </c>
      <c r="P289" s="34" t="s">
        <v>67</v>
      </c>
      <c r="Q289" s="33" t="n">
        <f>1682.5</f>
        <v>1682.5</v>
      </c>
      <c r="R289" s="34" t="s">
        <v>51</v>
      </c>
      <c r="S289" s="35" t="n">
        <f>1744.09</f>
        <v>1744.09</v>
      </c>
      <c r="T289" s="32" t="n">
        <f>1652320</f>
        <v>1652320.0</v>
      </c>
      <c r="U289" s="32" t="n">
        <f>296000</f>
        <v>296000.0</v>
      </c>
      <c r="V289" s="32" t="n">
        <f>2821206995</f>
        <v>2.821206995E9</v>
      </c>
      <c r="W289" s="32" t="n">
        <f>503378175</f>
        <v>5.03378175E8</v>
      </c>
      <c r="X289" s="36" t="n">
        <f>22</f>
        <v>22.0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1960</f>
        <v>1960.0</v>
      </c>
      <c r="L290" s="34" t="s">
        <v>48</v>
      </c>
      <c r="M290" s="33" t="n">
        <f>1967</f>
        <v>1967.0</v>
      </c>
      <c r="N290" s="34" t="s">
        <v>71</v>
      </c>
      <c r="O290" s="33" t="n">
        <f>1749</f>
        <v>1749.0</v>
      </c>
      <c r="P290" s="34" t="s">
        <v>50</v>
      </c>
      <c r="Q290" s="33" t="n">
        <f>1812.5</f>
        <v>1812.5</v>
      </c>
      <c r="R290" s="34" t="s">
        <v>51</v>
      </c>
      <c r="S290" s="35" t="n">
        <f>1855.36</f>
        <v>1855.36</v>
      </c>
      <c r="T290" s="32" t="n">
        <f>687480</f>
        <v>687480.0</v>
      </c>
      <c r="U290" s="32" t="n">
        <f>512000</f>
        <v>512000.0</v>
      </c>
      <c r="V290" s="32" t="n">
        <f>1326218590</f>
        <v>1.32621859E9</v>
      </c>
      <c r="W290" s="32" t="n">
        <f>999424000</f>
        <v>9.99424E8</v>
      </c>
      <c r="X290" s="36" t="n">
        <f>22</f>
        <v>22.0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1534</f>
        <v>1534.0</v>
      </c>
      <c r="L291" s="34" t="s">
        <v>48</v>
      </c>
      <c r="M291" s="33" t="n">
        <f>1588</f>
        <v>1588.0</v>
      </c>
      <c r="N291" s="34" t="s">
        <v>49</v>
      </c>
      <c r="O291" s="33" t="n">
        <f>1455</f>
        <v>1455.0</v>
      </c>
      <c r="P291" s="34" t="s">
        <v>50</v>
      </c>
      <c r="Q291" s="33" t="n">
        <f>1528</f>
        <v>1528.0</v>
      </c>
      <c r="R291" s="34" t="s">
        <v>51</v>
      </c>
      <c r="S291" s="35" t="n">
        <f>1522.32</f>
        <v>1522.32</v>
      </c>
      <c r="T291" s="32" t="n">
        <f>2818</f>
        <v>2818.0</v>
      </c>
      <c r="U291" s="32" t="str">
        <f>"－"</f>
        <v>－</v>
      </c>
      <c r="V291" s="32" t="n">
        <f>4370205</f>
        <v>4370205.0</v>
      </c>
      <c r="W291" s="32" t="str">
        <f>"－"</f>
        <v>－</v>
      </c>
      <c r="X291" s="36" t="n">
        <f>22</f>
        <v>22.0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1534</f>
        <v>1534.0</v>
      </c>
      <c r="L292" s="34" t="s">
        <v>48</v>
      </c>
      <c r="M292" s="33" t="n">
        <f>1573</f>
        <v>1573.0</v>
      </c>
      <c r="N292" s="34" t="s">
        <v>49</v>
      </c>
      <c r="O292" s="33" t="n">
        <f>1435</f>
        <v>1435.0</v>
      </c>
      <c r="P292" s="34" t="s">
        <v>50</v>
      </c>
      <c r="Q292" s="33" t="n">
        <f>1485</f>
        <v>1485.0</v>
      </c>
      <c r="R292" s="34" t="s">
        <v>51</v>
      </c>
      <c r="S292" s="35" t="n">
        <f>1508.05</f>
        <v>1508.05</v>
      </c>
      <c r="T292" s="32" t="n">
        <f>1336</f>
        <v>1336.0</v>
      </c>
      <c r="U292" s="32" t="str">
        <f>"－"</f>
        <v>－</v>
      </c>
      <c r="V292" s="32" t="n">
        <f>2041152</f>
        <v>2041152.0</v>
      </c>
      <c r="W292" s="32" t="str">
        <f>"－"</f>
        <v>－</v>
      </c>
      <c r="X292" s="36" t="n">
        <f>21</f>
        <v>21.0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3075</f>
        <v>3075.0</v>
      </c>
      <c r="L293" s="34" t="s">
        <v>48</v>
      </c>
      <c r="M293" s="33" t="n">
        <f>3140</f>
        <v>3140.0</v>
      </c>
      <c r="N293" s="34" t="s">
        <v>49</v>
      </c>
      <c r="O293" s="33" t="n">
        <f>2965</f>
        <v>2965.0</v>
      </c>
      <c r="P293" s="34" t="s">
        <v>67</v>
      </c>
      <c r="Q293" s="33" t="n">
        <f>3105</f>
        <v>3105.0</v>
      </c>
      <c r="R293" s="34" t="s">
        <v>51</v>
      </c>
      <c r="S293" s="35" t="n">
        <f>3073.73</f>
        <v>3073.73</v>
      </c>
      <c r="T293" s="32" t="n">
        <f>3245</f>
        <v>3245.0</v>
      </c>
      <c r="U293" s="32" t="str">
        <f>"－"</f>
        <v>－</v>
      </c>
      <c r="V293" s="32" t="n">
        <f>9937446</f>
        <v>9937446.0</v>
      </c>
      <c r="W293" s="32" t="str">
        <f>"－"</f>
        <v>－</v>
      </c>
      <c r="X293" s="36" t="n">
        <f>22</f>
        <v>22.0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1975.5</f>
        <v>1975.5</v>
      </c>
      <c r="L294" s="34" t="s">
        <v>48</v>
      </c>
      <c r="M294" s="33" t="n">
        <f>2023</f>
        <v>2023.0</v>
      </c>
      <c r="N294" s="34" t="s">
        <v>99</v>
      </c>
      <c r="O294" s="33" t="n">
        <f>1835.5</f>
        <v>1835.5</v>
      </c>
      <c r="P294" s="34" t="s">
        <v>50</v>
      </c>
      <c r="Q294" s="33" t="n">
        <f>1943</f>
        <v>1943.0</v>
      </c>
      <c r="R294" s="34" t="s">
        <v>253</v>
      </c>
      <c r="S294" s="35" t="n">
        <f>1929.83</f>
        <v>1929.83</v>
      </c>
      <c r="T294" s="32" t="n">
        <f>1590</f>
        <v>1590.0</v>
      </c>
      <c r="U294" s="32" t="str">
        <f>"－"</f>
        <v>－</v>
      </c>
      <c r="V294" s="32" t="n">
        <f>3102795</f>
        <v>3102795.0</v>
      </c>
      <c r="W294" s="32" t="str">
        <f>"－"</f>
        <v>－</v>
      </c>
      <c r="X294" s="36" t="n">
        <f>12</f>
        <v>12.0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937</v>
      </c>
      <c r="F295" s="29" t="s">
        <v>938</v>
      </c>
      <c r="G295" s="30" t="s">
        <v>939</v>
      </c>
      <c r="H295" s="31"/>
      <c r="I295" s="31" t="s">
        <v>47</v>
      </c>
      <c r="J295" s="32" t="n">
        <v>10.0</v>
      </c>
      <c r="K295" s="33" t="n">
        <f>240.3</f>
        <v>240.3</v>
      </c>
      <c r="L295" s="34" t="s">
        <v>99</v>
      </c>
      <c r="M295" s="33" t="n">
        <f>249.8</f>
        <v>249.8</v>
      </c>
      <c r="N295" s="34" t="s">
        <v>99</v>
      </c>
      <c r="O295" s="33" t="n">
        <f>177</f>
        <v>177.0</v>
      </c>
      <c r="P295" s="34" t="s">
        <v>50</v>
      </c>
      <c r="Q295" s="33" t="n">
        <f>191.4</f>
        <v>191.4</v>
      </c>
      <c r="R295" s="34" t="s">
        <v>51</v>
      </c>
      <c r="S295" s="35" t="n">
        <f>196.44</f>
        <v>196.44</v>
      </c>
      <c r="T295" s="32" t="n">
        <f>93870</f>
        <v>93870.0</v>
      </c>
      <c r="U295" s="32" t="str">
        <f>"－"</f>
        <v>－</v>
      </c>
      <c r="V295" s="32" t="n">
        <f>19219051</f>
        <v>1.9219051E7</v>
      </c>
      <c r="W295" s="32" t="str">
        <f>"－"</f>
        <v>－</v>
      </c>
      <c r="X295" s="36" t="n">
        <f>17</f>
        <v>17.0</v>
      </c>
    </row>
    <row r="296">
      <c r="A296" s="27" t="s">
        <v>42</v>
      </c>
      <c r="B296" s="27" t="s">
        <v>940</v>
      </c>
      <c r="C296" s="27" t="s">
        <v>941</v>
      </c>
      <c r="D296" s="27" t="s">
        <v>942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201.1</f>
        <v>201.1</v>
      </c>
      <c r="L296" s="34" t="s">
        <v>48</v>
      </c>
      <c r="M296" s="33" t="n">
        <f>204</f>
        <v>204.0</v>
      </c>
      <c r="N296" s="34" t="s">
        <v>103</v>
      </c>
      <c r="O296" s="33" t="n">
        <f>195.1</f>
        <v>195.1</v>
      </c>
      <c r="P296" s="34" t="s">
        <v>407</v>
      </c>
      <c r="Q296" s="33" t="n">
        <f>200</f>
        <v>200.0</v>
      </c>
      <c r="R296" s="34" t="s">
        <v>51</v>
      </c>
      <c r="S296" s="35" t="n">
        <f>200.51</f>
        <v>200.51</v>
      </c>
      <c r="T296" s="32" t="n">
        <f>45260</f>
        <v>45260.0</v>
      </c>
      <c r="U296" s="32" t="n">
        <f>20310</f>
        <v>20310.0</v>
      </c>
      <c r="V296" s="32" t="n">
        <f>8984812</f>
        <v>8984812.0</v>
      </c>
      <c r="W296" s="32" t="n">
        <f>4021380</f>
        <v>4021380.0</v>
      </c>
      <c r="X296" s="36" t="n">
        <f>22</f>
        <v>22.0</v>
      </c>
    </row>
    <row r="297">
      <c r="A297" s="27" t="s">
        <v>42</v>
      </c>
      <c r="B297" s="27" t="s">
        <v>943</v>
      </c>
      <c r="C297" s="27" t="s">
        <v>944</v>
      </c>
      <c r="D297" s="27" t="s">
        <v>945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801.4</f>
        <v>801.4</v>
      </c>
      <c r="L297" s="34" t="s">
        <v>48</v>
      </c>
      <c r="M297" s="33" t="n">
        <f>801.4</f>
        <v>801.4</v>
      </c>
      <c r="N297" s="34" t="s">
        <v>48</v>
      </c>
      <c r="O297" s="33" t="n">
        <f>755.6</f>
        <v>755.6</v>
      </c>
      <c r="P297" s="34" t="s">
        <v>76</v>
      </c>
      <c r="Q297" s="33" t="n">
        <f>776.3</f>
        <v>776.3</v>
      </c>
      <c r="R297" s="34" t="s">
        <v>51</v>
      </c>
      <c r="S297" s="35" t="n">
        <f>779.1</f>
        <v>779.1</v>
      </c>
      <c r="T297" s="32" t="n">
        <f>63690</f>
        <v>63690.0</v>
      </c>
      <c r="U297" s="32" t="n">
        <f>62880</f>
        <v>62880.0</v>
      </c>
      <c r="V297" s="32" t="n">
        <f>48937743</f>
        <v>4.8937743E7</v>
      </c>
      <c r="W297" s="32" t="n">
        <f>48308070</f>
        <v>4.830807E7</v>
      </c>
      <c r="X297" s="36" t="n">
        <f>17</f>
        <v>17.0</v>
      </c>
    </row>
    <row r="298">
      <c r="A298" s="27" t="s">
        <v>42</v>
      </c>
      <c r="B298" s="27" t="s">
        <v>946</v>
      </c>
      <c r="C298" s="27" t="s">
        <v>947</v>
      </c>
      <c r="D298" s="27" t="s">
        <v>948</v>
      </c>
      <c r="E298" s="28" t="s">
        <v>937</v>
      </c>
      <c r="F298" s="29" t="s">
        <v>938</v>
      </c>
      <c r="G298" s="30" t="s">
        <v>949</v>
      </c>
      <c r="H298" s="31"/>
      <c r="I298" s="31" t="s">
        <v>47</v>
      </c>
      <c r="J298" s="32" t="n">
        <v>1.0</v>
      </c>
      <c r="K298" s="33" t="n">
        <f>982</f>
        <v>982.0</v>
      </c>
      <c r="L298" s="34" t="s">
        <v>323</v>
      </c>
      <c r="M298" s="33" t="n">
        <f>1030</f>
        <v>1030.0</v>
      </c>
      <c r="N298" s="34" t="s">
        <v>288</v>
      </c>
      <c r="O298" s="33" t="n">
        <f>982</f>
        <v>982.0</v>
      </c>
      <c r="P298" s="34" t="s">
        <v>323</v>
      </c>
      <c r="Q298" s="33" t="n">
        <f>999</f>
        <v>999.0</v>
      </c>
      <c r="R298" s="34" t="s">
        <v>51</v>
      </c>
      <c r="S298" s="35" t="n">
        <f>1017.8</f>
        <v>1017.8</v>
      </c>
      <c r="T298" s="32" t="n">
        <f>23464</f>
        <v>23464.0</v>
      </c>
      <c r="U298" s="32" t="str">
        <f>"－"</f>
        <v>－</v>
      </c>
      <c r="V298" s="32" t="n">
        <f>23779987</f>
        <v>2.3779987E7</v>
      </c>
      <c r="W298" s="32" t="str">
        <f>"－"</f>
        <v>－</v>
      </c>
      <c r="X298" s="36" t="n">
        <f>5</f>
        <v>5.0</v>
      </c>
    </row>
    <row r="299">
      <c r="A299" s="27" t="s">
        <v>42</v>
      </c>
      <c r="B299" s="27" t="s">
        <v>950</v>
      </c>
      <c r="C299" s="27" t="s">
        <v>951</v>
      </c>
      <c r="D299" s="27" t="s">
        <v>952</v>
      </c>
      <c r="E299" s="28" t="s">
        <v>937</v>
      </c>
      <c r="F299" s="29" t="s">
        <v>938</v>
      </c>
      <c r="G299" s="30" t="s">
        <v>949</v>
      </c>
      <c r="H299" s="31"/>
      <c r="I299" s="31" t="s">
        <v>47</v>
      </c>
      <c r="J299" s="32" t="n">
        <v>1.0</v>
      </c>
      <c r="K299" s="33" t="n">
        <f>1001</f>
        <v>1001.0</v>
      </c>
      <c r="L299" s="34" t="s">
        <v>323</v>
      </c>
      <c r="M299" s="33" t="n">
        <f>1040</f>
        <v>1040.0</v>
      </c>
      <c r="N299" s="34" t="s">
        <v>51</v>
      </c>
      <c r="O299" s="33" t="n">
        <f>997</f>
        <v>997.0</v>
      </c>
      <c r="P299" s="34" t="s">
        <v>323</v>
      </c>
      <c r="Q299" s="33" t="n">
        <f>1030</f>
        <v>1030.0</v>
      </c>
      <c r="R299" s="34" t="s">
        <v>51</v>
      </c>
      <c r="S299" s="35" t="n">
        <f>1021.6</f>
        <v>1021.6</v>
      </c>
      <c r="T299" s="32" t="n">
        <f>22137</f>
        <v>22137.0</v>
      </c>
      <c r="U299" s="32" t="str">
        <f>"－"</f>
        <v>－</v>
      </c>
      <c r="V299" s="32" t="n">
        <f>22653156</f>
        <v>2.2653156E7</v>
      </c>
      <c r="W299" s="32" t="str">
        <f>"－"</f>
        <v>－</v>
      </c>
      <c r="X299" s="36" t="n">
        <f>5</f>
        <v>5.0</v>
      </c>
    </row>
    <row r="300">
      <c r="A300" s="27" t="s">
        <v>42</v>
      </c>
      <c r="B300" s="27" t="s">
        <v>953</v>
      </c>
      <c r="C300" s="27" t="s">
        <v>954</v>
      </c>
      <c r="D300" s="27" t="s">
        <v>955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135100</f>
        <v>135100.0</v>
      </c>
      <c r="L300" s="34" t="s">
        <v>48</v>
      </c>
      <c r="M300" s="33" t="n">
        <f>135400</f>
        <v>135400.0</v>
      </c>
      <c r="N300" s="34" t="s">
        <v>72</v>
      </c>
      <c r="O300" s="33" t="n">
        <f>110000</f>
        <v>110000.0</v>
      </c>
      <c r="P300" s="34" t="s">
        <v>50</v>
      </c>
      <c r="Q300" s="33" t="n">
        <f>123800</f>
        <v>123800.0</v>
      </c>
      <c r="R300" s="34" t="s">
        <v>51</v>
      </c>
      <c r="S300" s="35" t="n">
        <f>126690.91</f>
        <v>126690.91</v>
      </c>
      <c r="T300" s="32" t="n">
        <f>73953</f>
        <v>73953.0</v>
      </c>
      <c r="U300" s="32" t="n">
        <f>13390</f>
        <v>13390.0</v>
      </c>
      <c r="V300" s="32" t="n">
        <f>8869081633</f>
        <v>8.869081633E9</v>
      </c>
      <c r="W300" s="32" t="n">
        <f>1616577633</f>
        <v>1.616577633E9</v>
      </c>
      <c r="X300" s="36" t="n">
        <f>22</f>
        <v>22.0</v>
      </c>
    </row>
    <row r="301">
      <c r="A301" s="27" t="s">
        <v>42</v>
      </c>
      <c r="B301" s="27" t="s">
        <v>956</v>
      </c>
      <c r="C301" s="27" t="s">
        <v>957</v>
      </c>
      <c r="D301" s="27" t="s">
        <v>958</v>
      </c>
      <c r="E301" s="28" t="s">
        <v>46</v>
      </c>
      <c r="F301" s="29" t="s">
        <v>46</v>
      </c>
      <c r="G301" s="30" t="s">
        <v>46</v>
      </c>
      <c r="H301" s="31"/>
      <c r="I301" s="31" t="s">
        <v>603</v>
      </c>
      <c r="J301" s="32" t="n">
        <v>1.0</v>
      </c>
      <c r="K301" s="33" t="n">
        <f>97900</f>
        <v>97900.0</v>
      </c>
      <c r="L301" s="34" t="s">
        <v>48</v>
      </c>
      <c r="M301" s="33" t="n">
        <f>100100</f>
        <v>100100.0</v>
      </c>
      <c r="N301" s="34" t="s">
        <v>49</v>
      </c>
      <c r="O301" s="33" t="n">
        <f>95800</f>
        <v>95800.0</v>
      </c>
      <c r="P301" s="34" t="s">
        <v>116</v>
      </c>
      <c r="Q301" s="33" t="n">
        <f>97400</f>
        <v>97400.0</v>
      </c>
      <c r="R301" s="34" t="s">
        <v>51</v>
      </c>
      <c r="S301" s="35" t="n">
        <f>98027.27</f>
        <v>98027.27</v>
      </c>
      <c r="T301" s="32" t="n">
        <f>62956</f>
        <v>62956.0</v>
      </c>
      <c r="U301" s="32" t="n">
        <f>9548</f>
        <v>9548.0</v>
      </c>
      <c r="V301" s="32" t="n">
        <f>6167606574</f>
        <v>6.167606574E9</v>
      </c>
      <c r="W301" s="32" t="n">
        <f>933243274</f>
        <v>9.33243274E8</v>
      </c>
      <c r="X301" s="36" t="n">
        <f>22</f>
        <v>22.0</v>
      </c>
    </row>
    <row r="302">
      <c r="A302" s="27" t="s">
        <v>42</v>
      </c>
      <c r="B302" s="27" t="s">
        <v>959</v>
      </c>
      <c r="C302" s="27" t="s">
        <v>960</v>
      </c>
      <c r="D302" s="27" t="s">
        <v>961</v>
      </c>
      <c r="E302" s="28" t="s">
        <v>46</v>
      </c>
      <c r="F302" s="29" t="s">
        <v>46</v>
      </c>
      <c r="G302" s="30" t="s">
        <v>46</v>
      </c>
      <c r="H302" s="31"/>
      <c r="I302" s="31" t="s">
        <v>603</v>
      </c>
      <c r="J302" s="32" t="n">
        <v>1.0</v>
      </c>
      <c r="K302" s="33" t="n">
        <f>153200</f>
        <v>153200.0</v>
      </c>
      <c r="L302" s="34" t="s">
        <v>48</v>
      </c>
      <c r="M302" s="33" t="n">
        <f>156200</f>
        <v>156200.0</v>
      </c>
      <c r="N302" s="34" t="s">
        <v>92</v>
      </c>
      <c r="O302" s="33" t="n">
        <f>137600</f>
        <v>137600.0</v>
      </c>
      <c r="P302" s="34" t="s">
        <v>403</v>
      </c>
      <c r="Q302" s="33" t="n">
        <f>144800</f>
        <v>144800.0</v>
      </c>
      <c r="R302" s="34" t="s">
        <v>51</v>
      </c>
      <c r="S302" s="35" t="n">
        <f>146754.55</f>
        <v>146754.55</v>
      </c>
      <c r="T302" s="32" t="n">
        <f>53753</f>
        <v>53753.0</v>
      </c>
      <c r="U302" s="32" t="n">
        <f>13397</f>
        <v>13397.0</v>
      </c>
      <c r="V302" s="32" t="n">
        <f>7858025046</f>
        <v>7.858025046E9</v>
      </c>
      <c r="W302" s="32" t="n">
        <f>1956525346</f>
        <v>1.956525346E9</v>
      </c>
      <c r="X302" s="36" t="n">
        <f>22</f>
        <v>22.0</v>
      </c>
    </row>
    <row r="303">
      <c r="A303" s="27" t="s">
        <v>42</v>
      </c>
      <c r="B303" s="27" t="s">
        <v>962</v>
      </c>
      <c r="C303" s="27" t="s">
        <v>963</v>
      </c>
      <c r="D303" s="27" t="s">
        <v>964</v>
      </c>
      <c r="E303" s="28" t="s">
        <v>46</v>
      </c>
      <c r="F303" s="29" t="s">
        <v>46</v>
      </c>
      <c r="G303" s="30" t="s">
        <v>46</v>
      </c>
      <c r="H303" s="31"/>
      <c r="I303" s="31" t="s">
        <v>603</v>
      </c>
      <c r="J303" s="32" t="n">
        <v>1.0</v>
      </c>
      <c r="K303" s="33" t="n">
        <f>119200</f>
        <v>119200.0</v>
      </c>
      <c r="L303" s="34" t="s">
        <v>48</v>
      </c>
      <c r="M303" s="33" t="n">
        <f>120000</f>
        <v>120000.0</v>
      </c>
      <c r="N303" s="34" t="s">
        <v>129</v>
      </c>
      <c r="O303" s="33" t="n">
        <f>115100</f>
        <v>115100.0</v>
      </c>
      <c r="P303" s="34" t="s">
        <v>67</v>
      </c>
      <c r="Q303" s="33" t="n">
        <f>118000</f>
        <v>118000.0</v>
      </c>
      <c r="R303" s="34" t="s">
        <v>51</v>
      </c>
      <c r="S303" s="35" t="n">
        <f>117759.09</f>
        <v>117759.09</v>
      </c>
      <c r="T303" s="32" t="n">
        <f>19982</f>
        <v>19982.0</v>
      </c>
      <c r="U303" s="32" t="n">
        <f>1577</f>
        <v>1577.0</v>
      </c>
      <c r="V303" s="32" t="n">
        <f>2352647713</f>
        <v>2.352647713E9</v>
      </c>
      <c r="W303" s="32" t="n">
        <f>185386113</f>
        <v>1.85386113E8</v>
      </c>
      <c r="X303" s="36" t="n">
        <f>22</f>
        <v>22.0</v>
      </c>
    </row>
    <row r="304">
      <c r="A304" s="27" t="s">
        <v>42</v>
      </c>
      <c r="B304" s="27" t="s">
        <v>965</v>
      </c>
      <c r="C304" s="27" t="s">
        <v>966</v>
      </c>
      <c r="D304" s="27" t="s">
        <v>967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666000</f>
        <v>666000.0</v>
      </c>
      <c r="L304" s="34" t="s">
        <v>48</v>
      </c>
      <c r="M304" s="33" t="n">
        <f>686000</f>
        <v>686000.0</v>
      </c>
      <c r="N304" s="34" t="s">
        <v>86</v>
      </c>
      <c r="O304" s="33" t="n">
        <f>637000</f>
        <v>637000.0</v>
      </c>
      <c r="P304" s="34" t="s">
        <v>116</v>
      </c>
      <c r="Q304" s="33" t="n">
        <f>682000</f>
        <v>682000.0</v>
      </c>
      <c r="R304" s="34" t="s">
        <v>51</v>
      </c>
      <c r="S304" s="35" t="n">
        <f>663818.18</f>
        <v>663818.18</v>
      </c>
      <c r="T304" s="32" t="n">
        <f>39507</f>
        <v>39507.0</v>
      </c>
      <c r="U304" s="32" t="n">
        <f>8632</f>
        <v>8632.0</v>
      </c>
      <c r="V304" s="32" t="n">
        <f>26214495731</f>
        <v>2.6214495731E10</v>
      </c>
      <c r="W304" s="32" t="n">
        <f>5744362731</f>
        <v>5.744362731E9</v>
      </c>
      <c r="X304" s="36" t="n">
        <f>22</f>
        <v>22.0</v>
      </c>
    </row>
    <row r="305">
      <c r="A305" s="27" t="s">
        <v>42</v>
      </c>
      <c r="B305" s="27" t="s">
        <v>968</v>
      </c>
      <c r="C305" s="27" t="s">
        <v>969</v>
      </c>
      <c r="D305" s="27" t="s">
        <v>970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152000</f>
        <v>152000.0</v>
      </c>
      <c r="L305" s="34" t="s">
        <v>48</v>
      </c>
      <c r="M305" s="33" t="n">
        <f>154000</f>
        <v>154000.0</v>
      </c>
      <c r="N305" s="34" t="s">
        <v>99</v>
      </c>
      <c r="O305" s="33" t="n">
        <f>144000</f>
        <v>144000.0</v>
      </c>
      <c r="P305" s="34" t="s">
        <v>116</v>
      </c>
      <c r="Q305" s="33" t="n">
        <f>152300</f>
        <v>152300.0</v>
      </c>
      <c r="R305" s="34" t="s">
        <v>51</v>
      </c>
      <c r="S305" s="35" t="n">
        <f>150400</f>
        <v>150400.0</v>
      </c>
      <c r="T305" s="32" t="n">
        <f>108668</f>
        <v>108668.0</v>
      </c>
      <c r="U305" s="32" t="n">
        <f>21569</f>
        <v>21569.0</v>
      </c>
      <c r="V305" s="32" t="n">
        <f>16297287192</f>
        <v>1.6297287192E10</v>
      </c>
      <c r="W305" s="32" t="n">
        <f>3238394492</f>
        <v>3.238394492E9</v>
      </c>
      <c r="X305" s="36" t="n">
        <f>22</f>
        <v>22.0</v>
      </c>
    </row>
    <row r="306">
      <c r="A306" s="27" t="s">
        <v>42</v>
      </c>
      <c r="B306" s="27" t="s">
        <v>971</v>
      </c>
      <c r="C306" s="27" t="s">
        <v>972</v>
      </c>
      <c r="D306" s="27" t="s">
        <v>973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188200</f>
        <v>188200.0</v>
      </c>
      <c r="L306" s="34" t="s">
        <v>48</v>
      </c>
      <c r="M306" s="33" t="n">
        <f>191400</f>
        <v>191400.0</v>
      </c>
      <c r="N306" s="34" t="s">
        <v>48</v>
      </c>
      <c r="O306" s="33" t="n">
        <f>170100</f>
        <v>170100.0</v>
      </c>
      <c r="P306" s="34" t="s">
        <v>67</v>
      </c>
      <c r="Q306" s="33" t="n">
        <f>179500</f>
        <v>179500.0</v>
      </c>
      <c r="R306" s="34" t="s">
        <v>51</v>
      </c>
      <c r="S306" s="35" t="n">
        <f>180504.55</f>
        <v>180504.55</v>
      </c>
      <c r="T306" s="32" t="n">
        <f>160754</f>
        <v>160754.0</v>
      </c>
      <c r="U306" s="32" t="n">
        <f>36570</f>
        <v>36570.0</v>
      </c>
      <c r="V306" s="32" t="n">
        <f>28863062512</f>
        <v>2.8863062512E10</v>
      </c>
      <c r="W306" s="32" t="n">
        <f>6590753812</f>
        <v>6.590753812E9</v>
      </c>
      <c r="X306" s="36" t="n">
        <f>22</f>
        <v>22.0</v>
      </c>
    </row>
    <row r="307">
      <c r="A307" s="27" t="s">
        <v>42</v>
      </c>
      <c r="B307" s="27" t="s">
        <v>974</v>
      </c>
      <c r="C307" s="27" t="s">
        <v>975</v>
      </c>
      <c r="D307" s="27" t="s">
        <v>976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357500</f>
        <v>357500.0</v>
      </c>
      <c r="L307" s="34" t="s">
        <v>48</v>
      </c>
      <c r="M307" s="33" t="n">
        <f>366000</f>
        <v>366000.0</v>
      </c>
      <c r="N307" s="34" t="s">
        <v>99</v>
      </c>
      <c r="O307" s="33" t="n">
        <f>333500</f>
        <v>333500.0</v>
      </c>
      <c r="P307" s="34" t="s">
        <v>116</v>
      </c>
      <c r="Q307" s="33" t="n">
        <f>361000</f>
        <v>361000.0</v>
      </c>
      <c r="R307" s="34" t="s">
        <v>51</v>
      </c>
      <c r="S307" s="35" t="n">
        <f>353363.64</f>
        <v>353363.64</v>
      </c>
      <c r="T307" s="32" t="n">
        <f>105855</f>
        <v>105855.0</v>
      </c>
      <c r="U307" s="32" t="n">
        <f>22451</f>
        <v>22451.0</v>
      </c>
      <c r="V307" s="32" t="n">
        <f>37212206464</f>
        <v>3.7212206464E10</v>
      </c>
      <c r="W307" s="32" t="n">
        <f>7901332964</f>
        <v>7.901332964E9</v>
      </c>
      <c r="X307" s="36" t="n">
        <f>22</f>
        <v>22.0</v>
      </c>
    </row>
    <row r="308">
      <c r="A308" s="27" t="s">
        <v>42</v>
      </c>
      <c r="B308" s="27" t="s">
        <v>977</v>
      </c>
      <c r="C308" s="27" t="s">
        <v>978</v>
      </c>
      <c r="D308" s="27" t="s">
        <v>979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213100</f>
        <v>213100.0</v>
      </c>
      <c r="L308" s="34" t="s">
        <v>48</v>
      </c>
      <c r="M308" s="33" t="n">
        <f>217800</f>
        <v>217800.0</v>
      </c>
      <c r="N308" s="34" t="s">
        <v>51</v>
      </c>
      <c r="O308" s="33" t="n">
        <f>201500</f>
        <v>201500.0</v>
      </c>
      <c r="P308" s="34" t="s">
        <v>116</v>
      </c>
      <c r="Q308" s="33" t="n">
        <f>217600</f>
        <v>217600.0</v>
      </c>
      <c r="R308" s="34" t="s">
        <v>51</v>
      </c>
      <c r="S308" s="35" t="n">
        <f>210418.18</f>
        <v>210418.18</v>
      </c>
      <c r="T308" s="32" t="n">
        <f>85733</f>
        <v>85733.0</v>
      </c>
      <c r="U308" s="32" t="n">
        <f>16575</f>
        <v>16575.0</v>
      </c>
      <c r="V308" s="32" t="n">
        <f>17974986450</f>
        <v>1.797498645E10</v>
      </c>
      <c r="W308" s="32" t="n">
        <f>3476936550</f>
        <v>3.47693655E9</v>
      </c>
      <c r="X308" s="36" t="n">
        <f>22</f>
        <v>22.0</v>
      </c>
    </row>
    <row r="309">
      <c r="A309" s="27" t="s">
        <v>42</v>
      </c>
      <c r="B309" s="27" t="s">
        <v>980</v>
      </c>
      <c r="C309" s="27" t="s">
        <v>981</v>
      </c>
      <c r="D309" s="27" t="s">
        <v>982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410500</f>
        <v>410500.0</v>
      </c>
      <c r="L309" s="34" t="s">
        <v>48</v>
      </c>
      <c r="M309" s="33" t="n">
        <f>423500</f>
        <v>423500.0</v>
      </c>
      <c r="N309" s="34" t="s">
        <v>49</v>
      </c>
      <c r="O309" s="33" t="n">
        <f>392000</f>
        <v>392000.0</v>
      </c>
      <c r="P309" s="34" t="s">
        <v>116</v>
      </c>
      <c r="Q309" s="33" t="n">
        <f>404500</f>
        <v>404500.0</v>
      </c>
      <c r="R309" s="34" t="s">
        <v>51</v>
      </c>
      <c r="S309" s="35" t="n">
        <f>409022.73</f>
        <v>409022.73</v>
      </c>
      <c r="T309" s="32" t="n">
        <f>67384</f>
        <v>67384.0</v>
      </c>
      <c r="U309" s="32" t="n">
        <f>14075</f>
        <v>14075.0</v>
      </c>
      <c r="V309" s="32" t="n">
        <f>27522933864</f>
        <v>2.7522933864E10</v>
      </c>
      <c r="W309" s="32" t="n">
        <f>5747517864</f>
        <v>5.747517864E9</v>
      </c>
      <c r="X309" s="36" t="n">
        <f>22</f>
        <v>22.0</v>
      </c>
    </row>
    <row r="310">
      <c r="A310" s="27" t="s">
        <v>42</v>
      </c>
      <c r="B310" s="27" t="s">
        <v>983</v>
      </c>
      <c r="C310" s="27" t="s">
        <v>984</v>
      </c>
      <c r="D310" s="27" t="s">
        <v>985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166500</f>
        <v>166500.0</v>
      </c>
      <c r="L310" s="34" t="s">
        <v>48</v>
      </c>
      <c r="M310" s="33" t="n">
        <f>172700</f>
        <v>172700.0</v>
      </c>
      <c r="N310" s="34" t="s">
        <v>71</v>
      </c>
      <c r="O310" s="33" t="n">
        <f>154100</f>
        <v>154100.0</v>
      </c>
      <c r="P310" s="34" t="s">
        <v>116</v>
      </c>
      <c r="Q310" s="33" t="n">
        <f>165700</f>
        <v>165700.0</v>
      </c>
      <c r="R310" s="34" t="s">
        <v>51</v>
      </c>
      <c r="S310" s="35" t="n">
        <f>163809.09</f>
        <v>163809.09</v>
      </c>
      <c r="T310" s="32" t="n">
        <f>415767</f>
        <v>415767.0</v>
      </c>
      <c r="U310" s="32" t="n">
        <f>106787</f>
        <v>106787.0</v>
      </c>
      <c r="V310" s="32" t="n">
        <f>67828953188</f>
        <v>6.7828953188E10</v>
      </c>
      <c r="W310" s="32" t="n">
        <f>17506332588</f>
        <v>1.7506332588E10</v>
      </c>
      <c r="X310" s="36" t="n">
        <f>22</f>
        <v>22.0</v>
      </c>
    </row>
    <row r="311">
      <c r="A311" s="27" t="s">
        <v>42</v>
      </c>
      <c r="B311" s="27" t="s">
        <v>986</v>
      </c>
      <c r="C311" s="27" t="s">
        <v>987</v>
      </c>
      <c r="D311" s="27" t="s">
        <v>988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338000</f>
        <v>338000.0</v>
      </c>
      <c r="L311" s="34" t="s">
        <v>48</v>
      </c>
      <c r="M311" s="33" t="n">
        <f>341500</f>
        <v>341500.0</v>
      </c>
      <c r="N311" s="34" t="s">
        <v>99</v>
      </c>
      <c r="O311" s="33" t="n">
        <f>318000</f>
        <v>318000.0</v>
      </c>
      <c r="P311" s="34" t="s">
        <v>50</v>
      </c>
      <c r="Q311" s="33" t="n">
        <f>335000</f>
        <v>335000.0</v>
      </c>
      <c r="R311" s="34" t="s">
        <v>51</v>
      </c>
      <c r="S311" s="35" t="n">
        <f>329795.45</f>
        <v>329795.45</v>
      </c>
      <c r="T311" s="32" t="n">
        <f>81382</f>
        <v>81382.0</v>
      </c>
      <c r="U311" s="32" t="n">
        <f>29384</f>
        <v>29384.0</v>
      </c>
      <c r="V311" s="32" t="n">
        <f>26659077950</f>
        <v>2.665907795E10</v>
      </c>
      <c r="W311" s="32" t="n">
        <f>9587339450</f>
        <v>9.58733945E9</v>
      </c>
      <c r="X311" s="36" t="n">
        <f>22</f>
        <v>22.0</v>
      </c>
    </row>
    <row r="312">
      <c r="A312" s="27" t="s">
        <v>42</v>
      </c>
      <c r="B312" s="27" t="s">
        <v>989</v>
      </c>
      <c r="C312" s="27" t="s">
        <v>990</v>
      </c>
      <c r="D312" s="27" t="s">
        <v>991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344500</f>
        <v>344500.0</v>
      </c>
      <c r="L312" s="34" t="s">
        <v>48</v>
      </c>
      <c r="M312" s="33" t="n">
        <f>354000</f>
        <v>354000.0</v>
      </c>
      <c r="N312" s="34" t="s">
        <v>71</v>
      </c>
      <c r="O312" s="33" t="n">
        <f>312500</f>
        <v>312500.0</v>
      </c>
      <c r="P312" s="34" t="s">
        <v>67</v>
      </c>
      <c r="Q312" s="33" t="n">
        <f>334000</f>
        <v>334000.0</v>
      </c>
      <c r="R312" s="34" t="s">
        <v>51</v>
      </c>
      <c r="S312" s="35" t="n">
        <f>334863.64</f>
        <v>334863.64</v>
      </c>
      <c r="T312" s="32" t="n">
        <f>190673</f>
        <v>190673.0</v>
      </c>
      <c r="U312" s="32" t="n">
        <f>44025</f>
        <v>44025.0</v>
      </c>
      <c r="V312" s="32" t="n">
        <f>63191589800</f>
        <v>6.31915898E10</v>
      </c>
      <c r="W312" s="32" t="n">
        <f>14564328300</f>
        <v>1.45643283E10</v>
      </c>
      <c r="X312" s="36" t="n">
        <f>22</f>
        <v>22.0</v>
      </c>
    </row>
    <row r="313">
      <c r="A313" s="27" t="s">
        <v>42</v>
      </c>
      <c r="B313" s="27" t="s">
        <v>992</v>
      </c>
      <c r="C313" s="27" t="s">
        <v>993</v>
      </c>
      <c r="D313" s="27" t="s">
        <v>994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698000</f>
        <v>698000.0</v>
      </c>
      <c r="L313" s="34" t="s">
        <v>48</v>
      </c>
      <c r="M313" s="33" t="n">
        <f>706000</f>
        <v>706000.0</v>
      </c>
      <c r="N313" s="34" t="s">
        <v>49</v>
      </c>
      <c r="O313" s="33" t="n">
        <f>606000</f>
        <v>606000.0</v>
      </c>
      <c r="P313" s="34" t="s">
        <v>67</v>
      </c>
      <c r="Q313" s="33" t="n">
        <f>656000</f>
        <v>656000.0</v>
      </c>
      <c r="R313" s="34" t="s">
        <v>51</v>
      </c>
      <c r="S313" s="35" t="n">
        <f>662954.55</f>
        <v>662954.55</v>
      </c>
      <c r="T313" s="32" t="n">
        <f>42150</f>
        <v>42150.0</v>
      </c>
      <c r="U313" s="32" t="n">
        <f>5306</f>
        <v>5306.0</v>
      </c>
      <c r="V313" s="32" t="n">
        <f>27304912750</f>
        <v>2.730491275E10</v>
      </c>
      <c r="W313" s="32" t="n">
        <f>3476270750</f>
        <v>3.47627075E9</v>
      </c>
      <c r="X313" s="36" t="n">
        <f>22</f>
        <v>22.0</v>
      </c>
    </row>
    <row r="314">
      <c r="A314" s="27" t="s">
        <v>42</v>
      </c>
      <c r="B314" s="27" t="s">
        <v>995</v>
      </c>
      <c r="C314" s="27" t="s">
        <v>996</v>
      </c>
      <c r="D314" s="27" t="s">
        <v>997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279100</f>
        <v>279100.0</v>
      </c>
      <c r="L314" s="34" t="s">
        <v>48</v>
      </c>
      <c r="M314" s="33" t="n">
        <f>281400</f>
        <v>281400.0</v>
      </c>
      <c r="N314" s="34" t="s">
        <v>71</v>
      </c>
      <c r="O314" s="33" t="n">
        <f>257600</f>
        <v>257600.0</v>
      </c>
      <c r="P314" s="34" t="s">
        <v>407</v>
      </c>
      <c r="Q314" s="33" t="n">
        <f>268600</f>
        <v>268600.0</v>
      </c>
      <c r="R314" s="34" t="s">
        <v>51</v>
      </c>
      <c r="S314" s="35" t="n">
        <f>270113.64</f>
        <v>270113.64</v>
      </c>
      <c r="T314" s="32" t="n">
        <f>31689</f>
        <v>31689.0</v>
      </c>
      <c r="U314" s="32" t="n">
        <f>6547</f>
        <v>6547.0</v>
      </c>
      <c r="V314" s="32" t="n">
        <f>8488204836</f>
        <v>8.488204836E9</v>
      </c>
      <c r="W314" s="32" t="n">
        <f>1753777636</f>
        <v>1.753777636E9</v>
      </c>
      <c r="X314" s="36" t="n">
        <f>22</f>
        <v>22.0</v>
      </c>
    </row>
    <row r="315">
      <c r="A315" s="27" t="s">
        <v>42</v>
      </c>
      <c r="B315" s="27" t="s">
        <v>998</v>
      </c>
      <c r="C315" s="27" t="s">
        <v>999</v>
      </c>
      <c r="D315" s="27" t="s">
        <v>1000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153400</f>
        <v>153400.0</v>
      </c>
      <c r="L315" s="34" t="s">
        <v>48</v>
      </c>
      <c r="M315" s="33" t="n">
        <f>154900</f>
        <v>154900.0</v>
      </c>
      <c r="N315" s="34" t="s">
        <v>99</v>
      </c>
      <c r="O315" s="33" t="n">
        <f>145900</f>
        <v>145900.0</v>
      </c>
      <c r="P315" s="34" t="s">
        <v>116</v>
      </c>
      <c r="Q315" s="33" t="n">
        <f>153100</f>
        <v>153100.0</v>
      </c>
      <c r="R315" s="34" t="s">
        <v>51</v>
      </c>
      <c r="S315" s="35" t="n">
        <f>151790.91</f>
        <v>151790.91</v>
      </c>
      <c r="T315" s="32" t="n">
        <f>125228</f>
        <v>125228.0</v>
      </c>
      <c r="U315" s="32" t="n">
        <f>23160</f>
        <v>23160.0</v>
      </c>
      <c r="V315" s="32" t="n">
        <f>18931012343</f>
        <v>1.8931012343E10</v>
      </c>
      <c r="W315" s="32" t="n">
        <f>3504190943</f>
        <v>3.504190943E9</v>
      </c>
      <c r="X315" s="36" t="n">
        <f>22</f>
        <v>22.0</v>
      </c>
    </row>
    <row r="316">
      <c r="A316" s="27" t="s">
        <v>42</v>
      </c>
      <c r="B316" s="27" t="s">
        <v>1001</v>
      </c>
      <c r="C316" s="27" t="s">
        <v>1002</v>
      </c>
      <c r="D316" s="27" t="s">
        <v>1003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161300</f>
        <v>161300.0</v>
      </c>
      <c r="L316" s="34" t="s">
        <v>48</v>
      </c>
      <c r="M316" s="33" t="n">
        <f>164000</f>
        <v>164000.0</v>
      </c>
      <c r="N316" s="34" t="s">
        <v>49</v>
      </c>
      <c r="O316" s="33" t="n">
        <f>153600</f>
        <v>153600.0</v>
      </c>
      <c r="P316" s="34" t="s">
        <v>116</v>
      </c>
      <c r="Q316" s="33" t="n">
        <f>159800</f>
        <v>159800.0</v>
      </c>
      <c r="R316" s="34" t="s">
        <v>51</v>
      </c>
      <c r="S316" s="35" t="n">
        <f>159227.27</f>
        <v>159227.27</v>
      </c>
      <c r="T316" s="32" t="n">
        <f>99168</f>
        <v>99168.0</v>
      </c>
      <c r="U316" s="32" t="n">
        <f>20996</f>
        <v>20996.0</v>
      </c>
      <c r="V316" s="32" t="n">
        <f>15736390192</f>
        <v>1.5736390192E10</v>
      </c>
      <c r="W316" s="32" t="n">
        <f>3333687792</f>
        <v>3.333687792E9</v>
      </c>
      <c r="X316" s="36" t="n">
        <f>22</f>
        <v>22.0</v>
      </c>
    </row>
    <row r="317">
      <c r="A317" s="27" t="s">
        <v>42</v>
      </c>
      <c r="B317" s="27" t="s">
        <v>1004</v>
      </c>
      <c r="C317" s="27" t="s">
        <v>1005</v>
      </c>
      <c r="D317" s="27" t="s">
        <v>1006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378500</f>
        <v>378500.0</v>
      </c>
      <c r="L317" s="34" t="s">
        <v>48</v>
      </c>
      <c r="M317" s="33" t="n">
        <f>386500</f>
        <v>386500.0</v>
      </c>
      <c r="N317" s="34" t="s">
        <v>49</v>
      </c>
      <c r="O317" s="33" t="n">
        <f>357000</f>
        <v>357000.0</v>
      </c>
      <c r="P317" s="34" t="s">
        <v>67</v>
      </c>
      <c r="Q317" s="33" t="n">
        <f>364000</f>
        <v>364000.0</v>
      </c>
      <c r="R317" s="34" t="s">
        <v>51</v>
      </c>
      <c r="S317" s="35" t="n">
        <f>371431.82</f>
        <v>371431.82</v>
      </c>
      <c r="T317" s="32" t="n">
        <f>37276</f>
        <v>37276.0</v>
      </c>
      <c r="U317" s="32" t="n">
        <f>6772</f>
        <v>6772.0</v>
      </c>
      <c r="V317" s="32" t="n">
        <f>13780587295</f>
        <v>1.3780587295E10</v>
      </c>
      <c r="W317" s="32" t="n">
        <f>2501895295</f>
        <v>2.501895295E9</v>
      </c>
      <c r="X317" s="36" t="n">
        <f>22</f>
        <v>22.0</v>
      </c>
    </row>
    <row r="318">
      <c r="A318" s="27" t="s">
        <v>42</v>
      </c>
      <c r="B318" s="27" t="s">
        <v>1007</v>
      </c>
      <c r="C318" s="27" t="s">
        <v>1008</v>
      </c>
      <c r="D318" s="27" t="s">
        <v>1009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79600</f>
        <v>79600.0</v>
      </c>
      <c r="L318" s="34" t="s">
        <v>48</v>
      </c>
      <c r="M318" s="33" t="n">
        <f>80900</f>
        <v>80900.0</v>
      </c>
      <c r="N318" s="34" t="s">
        <v>51</v>
      </c>
      <c r="O318" s="33" t="n">
        <f>75200</f>
        <v>75200.0</v>
      </c>
      <c r="P318" s="34" t="s">
        <v>116</v>
      </c>
      <c r="Q318" s="33" t="n">
        <f>80400</f>
        <v>80400.0</v>
      </c>
      <c r="R318" s="34" t="s">
        <v>51</v>
      </c>
      <c r="S318" s="35" t="n">
        <f>78690.91</f>
        <v>78690.91</v>
      </c>
      <c r="T318" s="32" t="n">
        <f>383472</f>
        <v>383472.0</v>
      </c>
      <c r="U318" s="32" t="n">
        <f>92137</f>
        <v>92137.0</v>
      </c>
      <c r="V318" s="32" t="n">
        <f>30048287765</f>
        <v>3.0048287765E10</v>
      </c>
      <c r="W318" s="32" t="n">
        <f>7225055365</f>
        <v>7.225055365E9</v>
      </c>
      <c r="X318" s="36" t="n">
        <f>22</f>
        <v>22.0</v>
      </c>
    </row>
    <row r="319">
      <c r="A319" s="27" t="s">
        <v>42</v>
      </c>
      <c r="B319" s="27" t="s">
        <v>1010</v>
      </c>
      <c r="C319" s="27" t="s">
        <v>1011</v>
      </c>
      <c r="D319" s="27" t="s">
        <v>1012</v>
      </c>
      <c r="E319" s="28" t="s">
        <v>46</v>
      </c>
      <c r="F319" s="29" t="s">
        <v>46</v>
      </c>
      <c r="G319" s="30" t="s">
        <v>46</v>
      </c>
      <c r="H319" s="31"/>
      <c r="I319" s="31" t="s">
        <v>603</v>
      </c>
      <c r="J319" s="32" t="n">
        <v>1.0</v>
      </c>
      <c r="K319" s="33" t="n">
        <f>132800</f>
        <v>132800.0</v>
      </c>
      <c r="L319" s="34" t="s">
        <v>48</v>
      </c>
      <c r="M319" s="33" t="n">
        <f>135600</f>
        <v>135600.0</v>
      </c>
      <c r="N319" s="34" t="s">
        <v>86</v>
      </c>
      <c r="O319" s="33" t="n">
        <f>127000</f>
        <v>127000.0</v>
      </c>
      <c r="P319" s="34" t="s">
        <v>116</v>
      </c>
      <c r="Q319" s="33" t="n">
        <f>135300</f>
        <v>135300.0</v>
      </c>
      <c r="R319" s="34" t="s">
        <v>51</v>
      </c>
      <c r="S319" s="35" t="n">
        <f>132150</f>
        <v>132150.0</v>
      </c>
      <c r="T319" s="32" t="n">
        <f>26800</f>
        <v>26800.0</v>
      </c>
      <c r="U319" s="32" t="n">
        <f>3499</f>
        <v>3499.0</v>
      </c>
      <c r="V319" s="32" t="n">
        <f>3531072559</f>
        <v>3.531072559E9</v>
      </c>
      <c r="W319" s="32" t="n">
        <f>461299759</f>
        <v>4.61299759E8</v>
      </c>
      <c r="X319" s="36" t="n">
        <f>22</f>
        <v>22.0</v>
      </c>
    </row>
    <row r="320">
      <c r="A320" s="27" t="s">
        <v>42</v>
      </c>
      <c r="B320" s="27" t="s">
        <v>1013</v>
      </c>
      <c r="C320" s="27" t="s">
        <v>1014</v>
      </c>
      <c r="D320" s="27" t="s">
        <v>1015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277200</f>
        <v>277200.0</v>
      </c>
      <c r="L320" s="34" t="s">
        <v>48</v>
      </c>
      <c r="M320" s="33" t="n">
        <f>283500</f>
        <v>283500.0</v>
      </c>
      <c r="N320" s="34" t="s">
        <v>99</v>
      </c>
      <c r="O320" s="33" t="n">
        <f>260200</f>
        <v>260200.0</v>
      </c>
      <c r="P320" s="34" t="s">
        <v>67</v>
      </c>
      <c r="Q320" s="33" t="n">
        <f>275400</f>
        <v>275400.0</v>
      </c>
      <c r="R320" s="34" t="s">
        <v>51</v>
      </c>
      <c r="S320" s="35" t="n">
        <f>273463.64</f>
        <v>273463.64</v>
      </c>
      <c r="T320" s="32" t="n">
        <f>59102</f>
        <v>59102.0</v>
      </c>
      <c r="U320" s="32" t="n">
        <f>12505</f>
        <v>12505.0</v>
      </c>
      <c r="V320" s="32" t="n">
        <f>16103571883</f>
        <v>1.6103571883E10</v>
      </c>
      <c r="W320" s="32" t="n">
        <f>3406000083</f>
        <v>3.406000083E9</v>
      </c>
      <c r="X320" s="36" t="n">
        <f>22</f>
        <v>22.0</v>
      </c>
    </row>
    <row r="321">
      <c r="A321" s="27" t="s">
        <v>42</v>
      </c>
      <c r="B321" s="27" t="s">
        <v>1016</v>
      </c>
      <c r="C321" s="27" t="s">
        <v>1017</v>
      </c>
      <c r="D321" s="27" t="s">
        <v>1018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164000</f>
        <v>164000.0</v>
      </c>
      <c r="L321" s="34" t="s">
        <v>48</v>
      </c>
      <c r="M321" s="33" t="n">
        <f>164500</f>
        <v>164500.0</v>
      </c>
      <c r="N321" s="34" t="s">
        <v>51</v>
      </c>
      <c r="O321" s="33" t="n">
        <f>148800</f>
        <v>148800.0</v>
      </c>
      <c r="P321" s="34" t="s">
        <v>116</v>
      </c>
      <c r="Q321" s="33" t="n">
        <f>164400</f>
        <v>164400.0</v>
      </c>
      <c r="R321" s="34" t="s">
        <v>51</v>
      </c>
      <c r="S321" s="35" t="n">
        <f>157872.73</f>
        <v>157872.73</v>
      </c>
      <c r="T321" s="32" t="n">
        <f>26786</f>
        <v>26786.0</v>
      </c>
      <c r="U321" s="32" t="n">
        <f>5015</f>
        <v>5015.0</v>
      </c>
      <c r="V321" s="32" t="n">
        <f>4218449272</f>
        <v>4.218449272E9</v>
      </c>
      <c r="W321" s="32" t="n">
        <f>793452572</f>
        <v>7.93452572E8</v>
      </c>
      <c r="X321" s="36" t="n">
        <f>22</f>
        <v>22.0</v>
      </c>
    </row>
    <row r="322">
      <c r="A322" s="27" t="s">
        <v>42</v>
      </c>
      <c r="B322" s="27" t="s">
        <v>1019</v>
      </c>
      <c r="C322" s="27" t="s">
        <v>1020</v>
      </c>
      <c r="D322" s="27" t="s">
        <v>1021</v>
      </c>
      <c r="E322" s="28" t="s">
        <v>46</v>
      </c>
      <c r="F322" s="29" t="s">
        <v>46</v>
      </c>
      <c r="G322" s="30" t="s">
        <v>46</v>
      </c>
      <c r="H322" s="31"/>
      <c r="I322" s="31" t="s">
        <v>603</v>
      </c>
      <c r="J322" s="32" t="n">
        <v>1.0</v>
      </c>
      <c r="K322" s="33" t="n">
        <f>135500</f>
        <v>135500.0</v>
      </c>
      <c r="L322" s="34" t="s">
        <v>48</v>
      </c>
      <c r="M322" s="33" t="n">
        <f>141500</f>
        <v>141500.0</v>
      </c>
      <c r="N322" s="34" t="s">
        <v>72</v>
      </c>
      <c r="O322" s="33" t="n">
        <f>125900</f>
        <v>125900.0</v>
      </c>
      <c r="P322" s="34" t="s">
        <v>76</v>
      </c>
      <c r="Q322" s="33" t="n">
        <f>135700</f>
        <v>135700.0</v>
      </c>
      <c r="R322" s="34" t="s">
        <v>51</v>
      </c>
      <c r="S322" s="35" t="n">
        <f>133663.64</f>
        <v>133663.64</v>
      </c>
      <c r="T322" s="32" t="n">
        <f>77685</f>
        <v>77685.0</v>
      </c>
      <c r="U322" s="32" t="n">
        <f>13675</f>
        <v>13675.0</v>
      </c>
      <c r="V322" s="32" t="n">
        <f>10311741301</f>
        <v>1.0311741301E10</v>
      </c>
      <c r="W322" s="32" t="n">
        <f>1821355801</f>
        <v>1.821355801E9</v>
      </c>
      <c r="X322" s="36" t="n">
        <f>22</f>
        <v>22.0</v>
      </c>
    </row>
    <row r="323">
      <c r="A323" s="27" t="s">
        <v>42</v>
      </c>
      <c r="B323" s="27" t="s">
        <v>1022</v>
      </c>
      <c r="C323" s="27" t="s">
        <v>1023</v>
      </c>
      <c r="D323" s="27" t="s">
        <v>1024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167900</f>
        <v>167900.0</v>
      </c>
      <c r="L323" s="34" t="s">
        <v>48</v>
      </c>
      <c r="M323" s="33" t="n">
        <f>171000</f>
        <v>171000.0</v>
      </c>
      <c r="N323" s="34" t="s">
        <v>253</v>
      </c>
      <c r="O323" s="33" t="n">
        <f>159400</f>
        <v>159400.0</v>
      </c>
      <c r="P323" s="34" t="s">
        <v>116</v>
      </c>
      <c r="Q323" s="33" t="n">
        <f>169400</f>
        <v>169400.0</v>
      </c>
      <c r="R323" s="34" t="s">
        <v>51</v>
      </c>
      <c r="S323" s="35" t="n">
        <f>167090.91</f>
        <v>167090.91</v>
      </c>
      <c r="T323" s="32" t="n">
        <f>336127</f>
        <v>336127.0</v>
      </c>
      <c r="U323" s="32" t="n">
        <f>76327</f>
        <v>76327.0</v>
      </c>
      <c r="V323" s="32" t="n">
        <f>55962090267</f>
        <v>5.5962090267E10</v>
      </c>
      <c r="W323" s="32" t="n">
        <f>12711209167</f>
        <v>1.2711209167E10</v>
      </c>
      <c r="X323" s="36" t="n">
        <f>22</f>
        <v>22.0</v>
      </c>
    </row>
    <row r="324">
      <c r="A324" s="27" t="s">
        <v>42</v>
      </c>
      <c r="B324" s="27" t="s">
        <v>1025</v>
      </c>
      <c r="C324" s="27" t="s">
        <v>1026</v>
      </c>
      <c r="D324" s="27" t="s">
        <v>1027</v>
      </c>
      <c r="E324" s="28" t="s">
        <v>46</v>
      </c>
      <c r="F324" s="29" t="s">
        <v>46</v>
      </c>
      <c r="G324" s="30" t="s">
        <v>46</v>
      </c>
      <c r="H324" s="31"/>
      <c r="I324" s="31" t="s">
        <v>603</v>
      </c>
      <c r="J324" s="32" t="n">
        <v>1.0</v>
      </c>
      <c r="K324" s="33" t="n">
        <f>95000</f>
        <v>95000.0</v>
      </c>
      <c r="L324" s="34" t="s">
        <v>48</v>
      </c>
      <c r="M324" s="33" t="n">
        <f>98800</f>
        <v>98800.0</v>
      </c>
      <c r="N324" s="34" t="s">
        <v>72</v>
      </c>
      <c r="O324" s="33" t="n">
        <f>88400</f>
        <v>88400.0</v>
      </c>
      <c r="P324" s="34" t="s">
        <v>116</v>
      </c>
      <c r="Q324" s="33" t="n">
        <f>94500</f>
        <v>94500.0</v>
      </c>
      <c r="R324" s="34" t="s">
        <v>51</v>
      </c>
      <c r="S324" s="35" t="n">
        <f>93631.82</f>
        <v>93631.82</v>
      </c>
      <c r="T324" s="32" t="n">
        <f>32883</f>
        <v>32883.0</v>
      </c>
      <c r="U324" s="32" t="n">
        <f>3277</f>
        <v>3277.0</v>
      </c>
      <c r="V324" s="32" t="n">
        <f>3067182819</f>
        <v>3.067182819E9</v>
      </c>
      <c r="W324" s="32" t="n">
        <f>304536419</f>
        <v>3.04536419E8</v>
      </c>
      <c r="X324" s="36" t="n">
        <f>22</f>
        <v>22.0</v>
      </c>
    </row>
    <row r="325">
      <c r="A325" s="27" t="s">
        <v>42</v>
      </c>
      <c r="B325" s="27" t="s">
        <v>1028</v>
      </c>
      <c r="C325" s="27" t="s">
        <v>1029</v>
      </c>
      <c r="D325" s="27" t="s">
        <v>1030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182000</f>
        <v>182000.0</v>
      </c>
      <c r="L325" s="34" t="s">
        <v>48</v>
      </c>
      <c r="M325" s="33" t="n">
        <f>182600</f>
        <v>182600.0</v>
      </c>
      <c r="N325" s="34" t="s">
        <v>71</v>
      </c>
      <c r="O325" s="33" t="n">
        <f>160400</f>
        <v>160400.0</v>
      </c>
      <c r="P325" s="34" t="s">
        <v>403</v>
      </c>
      <c r="Q325" s="33" t="n">
        <f>166500</f>
        <v>166500.0</v>
      </c>
      <c r="R325" s="34" t="s">
        <v>51</v>
      </c>
      <c r="S325" s="35" t="n">
        <f>170940.91</f>
        <v>170940.91</v>
      </c>
      <c r="T325" s="32" t="n">
        <f>138559</f>
        <v>138559.0</v>
      </c>
      <c r="U325" s="32" t="n">
        <f>28983</f>
        <v>28983.0</v>
      </c>
      <c r="V325" s="32" t="n">
        <f>23535628310</f>
        <v>2.353562831E10</v>
      </c>
      <c r="W325" s="32" t="n">
        <f>4933458210</f>
        <v>4.93345821E9</v>
      </c>
      <c r="X325" s="36" t="n">
        <f>22</f>
        <v>22.0</v>
      </c>
    </row>
    <row r="326">
      <c r="A326" s="27" t="s">
        <v>42</v>
      </c>
      <c r="B326" s="27" t="s">
        <v>1031</v>
      </c>
      <c r="C326" s="27" t="s">
        <v>1032</v>
      </c>
      <c r="D326" s="27" t="s">
        <v>1033</v>
      </c>
      <c r="E326" s="28" t="s">
        <v>46</v>
      </c>
      <c r="F326" s="29" t="s">
        <v>46</v>
      </c>
      <c r="G326" s="30" t="s">
        <v>46</v>
      </c>
      <c r="H326" s="31"/>
      <c r="I326" s="31" t="s">
        <v>603</v>
      </c>
      <c r="J326" s="32" t="n">
        <v>1.0</v>
      </c>
      <c r="K326" s="33" t="n">
        <f>60900</f>
        <v>60900.0</v>
      </c>
      <c r="L326" s="34" t="s">
        <v>48</v>
      </c>
      <c r="M326" s="33" t="n">
        <f>62400</f>
        <v>62400.0</v>
      </c>
      <c r="N326" s="34" t="s">
        <v>86</v>
      </c>
      <c r="O326" s="33" t="n">
        <f>58500</f>
        <v>58500.0</v>
      </c>
      <c r="P326" s="34" t="s">
        <v>67</v>
      </c>
      <c r="Q326" s="33" t="n">
        <f>61400</f>
        <v>61400.0</v>
      </c>
      <c r="R326" s="34" t="s">
        <v>51</v>
      </c>
      <c r="S326" s="35" t="n">
        <f>60627.27</f>
        <v>60627.27</v>
      </c>
      <c r="T326" s="32" t="n">
        <f>148496</f>
        <v>148496.0</v>
      </c>
      <c r="U326" s="32" t="n">
        <f>38860</f>
        <v>38860.0</v>
      </c>
      <c r="V326" s="32" t="n">
        <f>8992057611</f>
        <v>8.992057611E9</v>
      </c>
      <c r="W326" s="32" t="n">
        <f>2354943611</f>
        <v>2.354943611E9</v>
      </c>
      <c r="X326" s="36" t="n">
        <f>22</f>
        <v>22.0</v>
      </c>
    </row>
    <row r="327">
      <c r="A327" s="27" t="s">
        <v>42</v>
      </c>
      <c r="B327" s="27" t="s">
        <v>1034</v>
      </c>
      <c r="C327" s="27" t="s">
        <v>1035</v>
      </c>
      <c r="D327" s="27" t="s">
        <v>1036</v>
      </c>
      <c r="E327" s="28" t="s">
        <v>46</v>
      </c>
      <c r="F327" s="29" t="s">
        <v>46</v>
      </c>
      <c r="G327" s="30" t="s">
        <v>46</v>
      </c>
      <c r="H327" s="31"/>
      <c r="I327" s="31" t="s">
        <v>603</v>
      </c>
      <c r="J327" s="32" t="n">
        <v>1.0</v>
      </c>
      <c r="K327" s="33" t="n">
        <f>138500</f>
        <v>138500.0</v>
      </c>
      <c r="L327" s="34" t="s">
        <v>48</v>
      </c>
      <c r="M327" s="33" t="n">
        <f>139500</f>
        <v>139500.0</v>
      </c>
      <c r="N327" s="34" t="s">
        <v>49</v>
      </c>
      <c r="O327" s="33" t="n">
        <f>131900</f>
        <v>131900.0</v>
      </c>
      <c r="P327" s="34" t="s">
        <v>86</v>
      </c>
      <c r="Q327" s="33" t="n">
        <f>134800</f>
        <v>134800.0</v>
      </c>
      <c r="R327" s="34" t="s">
        <v>51</v>
      </c>
      <c r="S327" s="35" t="n">
        <f>136154.55</f>
        <v>136154.55</v>
      </c>
      <c r="T327" s="32" t="n">
        <f>25491</f>
        <v>25491.0</v>
      </c>
      <c r="U327" s="32" t="n">
        <f>2176</f>
        <v>2176.0</v>
      </c>
      <c r="V327" s="32" t="n">
        <f>3467840931</f>
        <v>3.467840931E9</v>
      </c>
      <c r="W327" s="32" t="n">
        <f>295348931</f>
        <v>2.95348931E8</v>
      </c>
      <c r="X327" s="36" t="n">
        <f>22</f>
        <v>22.0</v>
      </c>
    </row>
    <row r="328">
      <c r="A328" s="27" t="s">
        <v>42</v>
      </c>
      <c r="B328" s="27" t="s">
        <v>1037</v>
      </c>
      <c r="C328" s="27" t="s">
        <v>1038</v>
      </c>
      <c r="D328" s="27" t="s">
        <v>1039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552000</f>
        <v>552000.0</v>
      </c>
      <c r="L328" s="34" t="s">
        <v>48</v>
      </c>
      <c r="M328" s="33" t="n">
        <f>561000</f>
        <v>561000.0</v>
      </c>
      <c r="N328" s="34" t="s">
        <v>87</v>
      </c>
      <c r="O328" s="33" t="n">
        <f>485000</f>
        <v>485000.0</v>
      </c>
      <c r="P328" s="34" t="s">
        <v>323</v>
      </c>
      <c r="Q328" s="33" t="n">
        <f>513000</f>
        <v>513000.0</v>
      </c>
      <c r="R328" s="34" t="s">
        <v>51</v>
      </c>
      <c r="S328" s="35" t="n">
        <f>522795.45</f>
        <v>522795.45</v>
      </c>
      <c r="T328" s="32" t="n">
        <f>57796</f>
        <v>57796.0</v>
      </c>
      <c r="U328" s="32" t="n">
        <f>12607</f>
        <v>12607.0</v>
      </c>
      <c r="V328" s="32" t="n">
        <f>29773984814</f>
        <v>2.9773984814E10</v>
      </c>
      <c r="W328" s="32" t="n">
        <f>6550885814</f>
        <v>6.550885814E9</v>
      </c>
      <c r="X328" s="36" t="n">
        <f>22</f>
        <v>22.0</v>
      </c>
    </row>
    <row r="329">
      <c r="A329" s="27" t="s">
        <v>42</v>
      </c>
      <c r="B329" s="27" t="s">
        <v>1040</v>
      </c>
      <c r="C329" s="27" t="s">
        <v>1041</v>
      </c>
      <c r="D329" s="27" t="s">
        <v>1042</v>
      </c>
      <c r="E329" s="28" t="s">
        <v>46</v>
      </c>
      <c r="F329" s="29" t="s">
        <v>46</v>
      </c>
      <c r="G329" s="30" t="s">
        <v>46</v>
      </c>
      <c r="H329" s="31"/>
      <c r="I329" s="31" t="s">
        <v>603</v>
      </c>
      <c r="J329" s="32" t="n">
        <v>1.0</v>
      </c>
      <c r="K329" s="33" t="n">
        <f>70000</f>
        <v>70000.0</v>
      </c>
      <c r="L329" s="34" t="s">
        <v>48</v>
      </c>
      <c r="M329" s="33" t="n">
        <f>72400</f>
        <v>72400.0</v>
      </c>
      <c r="N329" s="34" t="s">
        <v>99</v>
      </c>
      <c r="O329" s="33" t="n">
        <f>65900</f>
        <v>65900.0</v>
      </c>
      <c r="P329" s="34" t="s">
        <v>116</v>
      </c>
      <c r="Q329" s="33" t="n">
        <f>70600</f>
        <v>70600.0</v>
      </c>
      <c r="R329" s="34" t="s">
        <v>51</v>
      </c>
      <c r="S329" s="35" t="n">
        <f>69281.82</f>
        <v>69281.82</v>
      </c>
      <c r="T329" s="32" t="n">
        <f>17612</f>
        <v>17612.0</v>
      </c>
      <c r="U329" s="32" t="n">
        <f>2197</f>
        <v>2197.0</v>
      </c>
      <c r="V329" s="32" t="n">
        <f>1218520425</f>
        <v>1.218520425E9</v>
      </c>
      <c r="W329" s="32" t="n">
        <f>151630425</f>
        <v>1.51630425E8</v>
      </c>
      <c r="X329" s="36" t="n">
        <f>22</f>
        <v>22.0</v>
      </c>
    </row>
    <row r="330">
      <c r="A330" s="27" t="s">
        <v>42</v>
      </c>
      <c r="B330" s="27" t="s">
        <v>1043</v>
      </c>
      <c r="C330" s="27" t="s">
        <v>1044</v>
      </c>
      <c r="D330" s="27" t="s">
        <v>1045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51600</f>
        <v>51600.0</v>
      </c>
      <c r="L330" s="34" t="s">
        <v>48</v>
      </c>
      <c r="M330" s="33" t="n">
        <f>51700</f>
        <v>51700.0</v>
      </c>
      <c r="N330" s="34" t="s">
        <v>87</v>
      </c>
      <c r="O330" s="33" t="n">
        <f>48000</f>
        <v>48000.0</v>
      </c>
      <c r="P330" s="34" t="s">
        <v>272</v>
      </c>
      <c r="Q330" s="33" t="n">
        <f>49900</f>
        <v>49900.0</v>
      </c>
      <c r="R330" s="34" t="s">
        <v>51</v>
      </c>
      <c r="S330" s="35" t="n">
        <f>49711.36</f>
        <v>49711.36</v>
      </c>
      <c r="T330" s="32" t="n">
        <f>140310</f>
        <v>140310.0</v>
      </c>
      <c r="U330" s="32" t="n">
        <f>21972</f>
        <v>21972.0</v>
      </c>
      <c r="V330" s="32" t="n">
        <f>6951080585</f>
        <v>6.951080585E9</v>
      </c>
      <c r="W330" s="32" t="n">
        <f>1092047185</f>
        <v>1.092047185E9</v>
      </c>
      <c r="X330" s="36" t="n">
        <f>22</f>
        <v>22.0</v>
      </c>
    </row>
    <row r="331">
      <c r="A331" s="27" t="s">
        <v>42</v>
      </c>
      <c r="B331" s="27" t="s">
        <v>1046</v>
      </c>
      <c r="C331" s="27" t="s">
        <v>1047</v>
      </c>
      <c r="D331" s="27" t="s">
        <v>1048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131300</f>
        <v>131300.0</v>
      </c>
      <c r="L331" s="34" t="s">
        <v>48</v>
      </c>
      <c r="M331" s="33" t="n">
        <f>135000</f>
        <v>135000.0</v>
      </c>
      <c r="N331" s="34" t="s">
        <v>49</v>
      </c>
      <c r="O331" s="33" t="n">
        <f>119500</f>
        <v>119500.0</v>
      </c>
      <c r="P331" s="34" t="s">
        <v>67</v>
      </c>
      <c r="Q331" s="33" t="n">
        <f>125600</f>
        <v>125600.0</v>
      </c>
      <c r="R331" s="34" t="s">
        <v>51</v>
      </c>
      <c r="S331" s="35" t="n">
        <f>126886.36</f>
        <v>126886.36</v>
      </c>
      <c r="T331" s="32" t="n">
        <f>20559</f>
        <v>20559.0</v>
      </c>
      <c r="U331" s="32" t="n">
        <f>3612</f>
        <v>3612.0</v>
      </c>
      <c r="V331" s="32" t="n">
        <f>2602016578</f>
        <v>2.602016578E9</v>
      </c>
      <c r="W331" s="32" t="n">
        <f>458887078</f>
        <v>4.58887078E8</v>
      </c>
      <c r="X331" s="36" t="n">
        <f>22</f>
        <v>22.0</v>
      </c>
    </row>
    <row r="332">
      <c r="A332" s="27" t="s">
        <v>42</v>
      </c>
      <c r="B332" s="27" t="s">
        <v>1049</v>
      </c>
      <c r="C332" s="27" t="s">
        <v>1050</v>
      </c>
      <c r="D332" s="27" t="s">
        <v>1051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471000</f>
        <v>471000.0</v>
      </c>
      <c r="L332" s="34" t="s">
        <v>48</v>
      </c>
      <c r="M332" s="33" t="n">
        <f>475500</f>
        <v>475500.0</v>
      </c>
      <c r="N332" s="34" t="s">
        <v>48</v>
      </c>
      <c r="O332" s="33" t="n">
        <f>428500</f>
        <v>428500.0</v>
      </c>
      <c r="P332" s="34" t="s">
        <v>67</v>
      </c>
      <c r="Q332" s="33" t="n">
        <f>460000</f>
        <v>460000.0</v>
      </c>
      <c r="R332" s="34" t="s">
        <v>51</v>
      </c>
      <c r="S332" s="35" t="n">
        <f>453318.18</f>
        <v>453318.18</v>
      </c>
      <c r="T332" s="32" t="n">
        <f>46967</f>
        <v>46967.0</v>
      </c>
      <c r="U332" s="32" t="n">
        <f>8592</f>
        <v>8592.0</v>
      </c>
      <c r="V332" s="32" t="n">
        <f>21241120142</f>
        <v>2.1241120142E10</v>
      </c>
      <c r="W332" s="32" t="n">
        <f>3896677142</f>
        <v>3.896677142E9</v>
      </c>
      <c r="X332" s="36" t="n">
        <f>22</f>
        <v>22.0</v>
      </c>
    </row>
    <row r="333">
      <c r="A333" s="27" t="s">
        <v>42</v>
      </c>
      <c r="B333" s="27" t="s">
        <v>1052</v>
      </c>
      <c r="C333" s="27" t="s">
        <v>1053</v>
      </c>
      <c r="D333" s="27" t="s">
        <v>1054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206900</f>
        <v>206900.0</v>
      </c>
      <c r="L333" s="34" t="s">
        <v>48</v>
      </c>
      <c r="M333" s="33" t="n">
        <f>208300</f>
        <v>208300.0</v>
      </c>
      <c r="N333" s="34" t="s">
        <v>48</v>
      </c>
      <c r="O333" s="33" t="n">
        <f>184600</f>
        <v>184600.0</v>
      </c>
      <c r="P333" s="34" t="s">
        <v>50</v>
      </c>
      <c r="Q333" s="33" t="n">
        <f>188600</f>
        <v>188600.0</v>
      </c>
      <c r="R333" s="34" t="s">
        <v>51</v>
      </c>
      <c r="S333" s="35" t="n">
        <f>195827.27</f>
        <v>195827.27</v>
      </c>
      <c r="T333" s="32" t="n">
        <f>50118</f>
        <v>50118.0</v>
      </c>
      <c r="U333" s="32" t="n">
        <f>7387</f>
        <v>7387.0</v>
      </c>
      <c r="V333" s="32" t="n">
        <f>9735774856</f>
        <v>9.735774856E9</v>
      </c>
      <c r="W333" s="32" t="n">
        <f>1441950556</f>
        <v>1.441950556E9</v>
      </c>
      <c r="X333" s="36" t="n">
        <f>22</f>
        <v>22.0</v>
      </c>
    </row>
    <row r="334">
      <c r="A334" s="27" t="s">
        <v>42</v>
      </c>
      <c r="B334" s="27" t="s">
        <v>1055</v>
      </c>
      <c r="C334" s="27" t="s">
        <v>1056</v>
      </c>
      <c r="D334" s="27" t="s">
        <v>1057</v>
      </c>
      <c r="E334" s="28" t="s">
        <v>46</v>
      </c>
      <c r="F334" s="29" t="s">
        <v>46</v>
      </c>
      <c r="G334" s="30" t="s">
        <v>46</v>
      </c>
      <c r="H334" s="31"/>
      <c r="I334" s="31" t="s">
        <v>603</v>
      </c>
      <c r="J334" s="32" t="n">
        <v>1.0</v>
      </c>
      <c r="K334" s="33" t="n">
        <f>128800</f>
        <v>128800.0</v>
      </c>
      <c r="L334" s="34" t="s">
        <v>48</v>
      </c>
      <c r="M334" s="33" t="n">
        <f>129700</f>
        <v>129700.0</v>
      </c>
      <c r="N334" s="34" t="s">
        <v>49</v>
      </c>
      <c r="O334" s="33" t="n">
        <f>121400</f>
        <v>121400.0</v>
      </c>
      <c r="P334" s="34" t="s">
        <v>116</v>
      </c>
      <c r="Q334" s="33" t="n">
        <f>126800</f>
        <v>126800.0</v>
      </c>
      <c r="R334" s="34" t="s">
        <v>51</v>
      </c>
      <c r="S334" s="35" t="n">
        <f>126463.64</f>
        <v>126463.64</v>
      </c>
      <c r="T334" s="32" t="n">
        <f>21164</f>
        <v>21164.0</v>
      </c>
      <c r="U334" s="32" t="n">
        <f>2692</f>
        <v>2692.0</v>
      </c>
      <c r="V334" s="32" t="n">
        <f>2666706822</f>
        <v>2.666706822E9</v>
      </c>
      <c r="W334" s="32" t="n">
        <f>339556422</f>
        <v>3.39556422E8</v>
      </c>
      <c r="X334" s="36" t="n">
        <f>22</f>
        <v>22.0</v>
      </c>
    </row>
    <row r="335">
      <c r="A335" s="27" t="s">
        <v>42</v>
      </c>
      <c r="B335" s="27" t="s">
        <v>1058</v>
      </c>
      <c r="C335" s="27" t="s">
        <v>1059</v>
      </c>
      <c r="D335" s="27" t="s">
        <v>1060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119300</f>
        <v>119300.0</v>
      </c>
      <c r="L335" s="34" t="s">
        <v>48</v>
      </c>
      <c r="M335" s="33" t="n">
        <f>120200</f>
        <v>120200.0</v>
      </c>
      <c r="N335" s="34" t="s">
        <v>99</v>
      </c>
      <c r="O335" s="33" t="n">
        <f>112100</f>
        <v>112100.0</v>
      </c>
      <c r="P335" s="34" t="s">
        <v>403</v>
      </c>
      <c r="Q335" s="33" t="n">
        <f>117300</f>
        <v>117300.0</v>
      </c>
      <c r="R335" s="34" t="s">
        <v>51</v>
      </c>
      <c r="S335" s="35" t="n">
        <f>116350</f>
        <v>116350.0</v>
      </c>
      <c r="T335" s="32" t="n">
        <f>48036</f>
        <v>48036.0</v>
      </c>
      <c r="U335" s="32" t="n">
        <f>6972</f>
        <v>6972.0</v>
      </c>
      <c r="V335" s="32" t="n">
        <f>5583628330</f>
        <v>5.58362833E9</v>
      </c>
      <c r="W335" s="32" t="n">
        <f>813105330</f>
        <v>8.1310533E8</v>
      </c>
      <c r="X335" s="36" t="n">
        <f>22</f>
        <v>22.0</v>
      </c>
    </row>
    <row r="336">
      <c r="A336" s="27" t="s">
        <v>42</v>
      </c>
      <c r="B336" s="27" t="s">
        <v>1061</v>
      </c>
      <c r="C336" s="27" t="s">
        <v>1062</v>
      </c>
      <c r="D336" s="27" t="s">
        <v>1063</v>
      </c>
      <c r="E336" s="28" t="s">
        <v>46</v>
      </c>
      <c r="F336" s="29" t="s">
        <v>46</v>
      </c>
      <c r="G336" s="30" t="s">
        <v>46</v>
      </c>
      <c r="H336" s="31"/>
      <c r="I336" s="31" t="s">
        <v>603</v>
      </c>
      <c r="J336" s="32" t="n">
        <v>1.0</v>
      </c>
      <c r="K336" s="33" t="n">
        <f>162400</f>
        <v>162400.0</v>
      </c>
      <c r="L336" s="34" t="s">
        <v>48</v>
      </c>
      <c r="M336" s="33" t="n">
        <f>163300</f>
        <v>163300.0</v>
      </c>
      <c r="N336" s="34" t="s">
        <v>48</v>
      </c>
      <c r="O336" s="33" t="n">
        <f>142100</f>
        <v>142100.0</v>
      </c>
      <c r="P336" s="34" t="s">
        <v>323</v>
      </c>
      <c r="Q336" s="33" t="n">
        <f>150400</f>
        <v>150400.0</v>
      </c>
      <c r="R336" s="34" t="s">
        <v>51</v>
      </c>
      <c r="S336" s="35" t="n">
        <f>152777.27</f>
        <v>152777.27</v>
      </c>
      <c r="T336" s="32" t="n">
        <f>42639</f>
        <v>42639.0</v>
      </c>
      <c r="U336" s="32" t="n">
        <f>8772</f>
        <v>8772.0</v>
      </c>
      <c r="V336" s="32" t="n">
        <f>6487926183</f>
        <v>6.487926183E9</v>
      </c>
      <c r="W336" s="32" t="n">
        <f>1337333883</f>
        <v>1.337333883E9</v>
      </c>
      <c r="X336" s="36" t="n">
        <f>22</f>
        <v>22.0</v>
      </c>
    </row>
    <row r="337">
      <c r="A337" s="27" t="s">
        <v>42</v>
      </c>
      <c r="B337" s="27" t="s">
        <v>1064</v>
      </c>
      <c r="C337" s="27" t="s">
        <v>1065</v>
      </c>
      <c r="D337" s="27" t="s">
        <v>1066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706000</f>
        <v>706000.0</v>
      </c>
      <c r="L337" s="34" t="s">
        <v>48</v>
      </c>
      <c r="M337" s="33" t="n">
        <f>725000</f>
        <v>725000.0</v>
      </c>
      <c r="N337" s="34" t="s">
        <v>129</v>
      </c>
      <c r="O337" s="33" t="n">
        <f>661000</f>
        <v>661000.0</v>
      </c>
      <c r="P337" s="34" t="s">
        <v>67</v>
      </c>
      <c r="Q337" s="33" t="n">
        <f>676000</f>
        <v>676000.0</v>
      </c>
      <c r="R337" s="34" t="s">
        <v>51</v>
      </c>
      <c r="S337" s="35" t="n">
        <f>693863.64</f>
        <v>693863.64</v>
      </c>
      <c r="T337" s="32" t="n">
        <f>150083</f>
        <v>150083.0</v>
      </c>
      <c r="U337" s="32" t="n">
        <f>29321</f>
        <v>29321.0</v>
      </c>
      <c r="V337" s="32" t="n">
        <f>103547913599</f>
        <v>1.03547913599E11</v>
      </c>
      <c r="W337" s="32" t="n">
        <f>20214683599</f>
        <v>2.0214683599E10</v>
      </c>
      <c r="X337" s="36" t="n">
        <f>22</f>
        <v>22.0</v>
      </c>
    </row>
    <row r="338">
      <c r="A338" s="27" t="s">
        <v>42</v>
      </c>
      <c r="B338" s="27" t="s">
        <v>1067</v>
      </c>
      <c r="C338" s="27" t="s">
        <v>1068</v>
      </c>
      <c r="D338" s="27" t="s">
        <v>1069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646000</f>
        <v>646000.0</v>
      </c>
      <c r="L338" s="34" t="s">
        <v>48</v>
      </c>
      <c r="M338" s="33" t="n">
        <f>653000</f>
        <v>653000.0</v>
      </c>
      <c r="N338" s="34" t="s">
        <v>129</v>
      </c>
      <c r="O338" s="33" t="n">
        <f>590000</f>
        <v>590000.0</v>
      </c>
      <c r="P338" s="34" t="s">
        <v>50</v>
      </c>
      <c r="Q338" s="33" t="n">
        <f>624000</f>
        <v>624000.0</v>
      </c>
      <c r="R338" s="34" t="s">
        <v>51</v>
      </c>
      <c r="S338" s="35" t="n">
        <f>623636.36</f>
        <v>623636.36</v>
      </c>
      <c r="T338" s="32" t="n">
        <f>119139</f>
        <v>119139.0</v>
      </c>
      <c r="U338" s="32" t="n">
        <f>26031</f>
        <v>26031.0</v>
      </c>
      <c r="V338" s="32" t="n">
        <f>74060533862</f>
        <v>7.4060533862E10</v>
      </c>
      <c r="W338" s="32" t="n">
        <f>16189638862</f>
        <v>1.6189638862E10</v>
      </c>
      <c r="X338" s="36" t="n">
        <f>22</f>
        <v>22.0</v>
      </c>
    </row>
    <row r="339">
      <c r="A339" s="27" t="s">
        <v>42</v>
      </c>
      <c r="B339" s="27" t="s">
        <v>1070</v>
      </c>
      <c r="C339" s="27" t="s">
        <v>1071</v>
      </c>
      <c r="D339" s="27" t="s">
        <v>1072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107600</f>
        <v>107600.0</v>
      </c>
      <c r="L339" s="34" t="s">
        <v>48</v>
      </c>
      <c r="M339" s="33" t="n">
        <f>107700</f>
        <v>107700.0</v>
      </c>
      <c r="N339" s="34" t="s">
        <v>49</v>
      </c>
      <c r="O339" s="33" t="n">
        <f>100000</f>
        <v>100000.0</v>
      </c>
      <c r="P339" s="34" t="s">
        <v>403</v>
      </c>
      <c r="Q339" s="33" t="n">
        <f>105700</f>
        <v>105700.0</v>
      </c>
      <c r="R339" s="34" t="s">
        <v>51</v>
      </c>
      <c r="S339" s="35" t="n">
        <f>104259.09</f>
        <v>104259.09</v>
      </c>
      <c r="T339" s="32" t="n">
        <f>548446</f>
        <v>548446.0</v>
      </c>
      <c r="U339" s="32" t="n">
        <f>144099</f>
        <v>144099.0</v>
      </c>
      <c r="V339" s="32" t="n">
        <f>57099150165</f>
        <v>5.7099150165E10</v>
      </c>
      <c r="W339" s="32" t="n">
        <f>15084909865</f>
        <v>1.5084909865E10</v>
      </c>
      <c r="X339" s="36" t="n">
        <f>22</f>
        <v>22.0</v>
      </c>
    </row>
    <row r="340">
      <c r="A340" s="27" t="s">
        <v>42</v>
      </c>
      <c r="B340" s="27" t="s">
        <v>1073</v>
      </c>
      <c r="C340" s="27" t="s">
        <v>1074</v>
      </c>
      <c r="D340" s="27" t="s">
        <v>1075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185700</f>
        <v>185700.0</v>
      </c>
      <c r="L340" s="34" t="s">
        <v>48</v>
      </c>
      <c r="M340" s="33" t="n">
        <f>188300</f>
        <v>188300.0</v>
      </c>
      <c r="N340" s="34" t="s">
        <v>48</v>
      </c>
      <c r="O340" s="33" t="n">
        <f>174800</f>
        <v>174800.0</v>
      </c>
      <c r="P340" s="34" t="s">
        <v>116</v>
      </c>
      <c r="Q340" s="33" t="n">
        <f>184200</f>
        <v>184200.0</v>
      </c>
      <c r="R340" s="34" t="s">
        <v>51</v>
      </c>
      <c r="S340" s="35" t="n">
        <f>183350</f>
        <v>183350.0</v>
      </c>
      <c r="T340" s="32" t="n">
        <f>319183</f>
        <v>319183.0</v>
      </c>
      <c r="U340" s="32" t="n">
        <f>63640</f>
        <v>63640.0</v>
      </c>
      <c r="V340" s="32" t="n">
        <f>58418492171</f>
        <v>5.8418492171E10</v>
      </c>
      <c r="W340" s="32" t="n">
        <f>11657695571</f>
        <v>1.1657695571E10</v>
      </c>
      <c r="X340" s="36" t="n">
        <f>22</f>
        <v>22.0</v>
      </c>
    </row>
    <row r="341">
      <c r="A341" s="27" t="s">
        <v>42</v>
      </c>
      <c r="B341" s="27" t="s">
        <v>1076</v>
      </c>
      <c r="C341" s="27" t="s">
        <v>1077</v>
      </c>
      <c r="D341" s="27" t="s">
        <v>1078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410500</f>
        <v>410500.0</v>
      </c>
      <c r="L341" s="34" t="s">
        <v>48</v>
      </c>
      <c r="M341" s="33" t="n">
        <f>419000</f>
        <v>419000.0</v>
      </c>
      <c r="N341" s="34" t="s">
        <v>49</v>
      </c>
      <c r="O341" s="33" t="n">
        <f>387500</f>
        <v>387500.0</v>
      </c>
      <c r="P341" s="34" t="s">
        <v>116</v>
      </c>
      <c r="Q341" s="33" t="n">
        <f>398500</f>
        <v>398500.0</v>
      </c>
      <c r="R341" s="34" t="s">
        <v>51</v>
      </c>
      <c r="S341" s="35" t="n">
        <f>404454.55</f>
        <v>404454.55</v>
      </c>
      <c r="T341" s="32" t="n">
        <f>68753</f>
        <v>68753.0</v>
      </c>
      <c r="U341" s="32" t="n">
        <f>15035</f>
        <v>15035.0</v>
      </c>
      <c r="V341" s="32" t="n">
        <f>27726714881</f>
        <v>2.7726714881E10</v>
      </c>
      <c r="W341" s="32" t="n">
        <f>6064228381</f>
        <v>6.064228381E9</v>
      </c>
      <c r="X341" s="36" t="n">
        <f>22</f>
        <v>22.0</v>
      </c>
    </row>
    <row r="342">
      <c r="A342" s="27" t="s">
        <v>42</v>
      </c>
      <c r="B342" s="27" t="s">
        <v>1079</v>
      </c>
      <c r="C342" s="27" t="s">
        <v>1080</v>
      </c>
      <c r="D342" s="27" t="s">
        <v>1081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152100</f>
        <v>152100.0</v>
      </c>
      <c r="L342" s="34" t="s">
        <v>48</v>
      </c>
      <c r="M342" s="33" t="n">
        <f>152100</f>
        <v>152100.0</v>
      </c>
      <c r="N342" s="34" t="s">
        <v>48</v>
      </c>
      <c r="O342" s="33" t="n">
        <f>141400</f>
        <v>141400.0</v>
      </c>
      <c r="P342" s="34" t="s">
        <v>407</v>
      </c>
      <c r="Q342" s="33" t="n">
        <f>148000</f>
        <v>148000.0</v>
      </c>
      <c r="R342" s="34" t="s">
        <v>51</v>
      </c>
      <c r="S342" s="35" t="n">
        <f>147909.09</f>
        <v>147909.09</v>
      </c>
      <c r="T342" s="32" t="n">
        <f>106235</f>
        <v>106235.0</v>
      </c>
      <c r="U342" s="32" t="n">
        <f>17473</f>
        <v>17473.0</v>
      </c>
      <c r="V342" s="32" t="n">
        <f>15644826965</f>
        <v>1.5644826965E10</v>
      </c>
      <c r="W342" s="32" t="n">
        <f>2581396865</f>
        <v>2.581396865E9</v>
      </c>
      <c r="X342" s="36" t="n">
        <f>22</f>
        <v>22.0</v>
      </c>
    </row>
    <row r="343">
      <c r="A343" s="27" t="s">
        <v>42</v>
      </c>
      <c r="B343" s="27" t="s">
        <v>1082</v>
      </c>
      <c r="C343" s="27" t="s">
        <v>1083</v>
      </c>
      <c r="D343" s="27" t="s">
        <v>1084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190700</f>
        <v>190700.0</v>
      </c>
      <c r="L343" s="34" t="s">
        <v>48</v>
      </c>
      <c r="M343" s="33" t="n">
        <f>199100</f>
        <v>199100.0</v>
      </c>
      <c r="N343" s="34" t="s">
        <v>86</v>
      </c>
      <c r="O343" s="33" t="n">
        <f>183200</f>
        <v>183200.0</v>
      </c>
      <c r="P343" s="34" t="s">
        <v>116</v>
      </c>
      <c r="Q343" s="33" t="n">
        <f>198800</f>
        <v>198800.0</v>
      </c>
      <c r="R343" s="34" t="s">
        <v>51</v>
      </c>
      <c r="S343" s="35" t="n">
        <f>191804.55</f>
        <v>191804.55</v>
      </c>
      <c r="T343" s="32" t="n">
        <f>81548</f>
        <v>81548.0</v>
      </c>
      <c r="U343" s="32" t="n">
        <f>17243</f>
        <v>17243.0</v>
      </c>
      <c r="V343" s="32" t="n">
        <f>15602465715</f>
        <v>1.5602465715E10</v>
      </c>
      <c r="W343" s="32" t="n">
        <f>3301509015</f>
        <v>3.301509015E9</v>
      </c>
      <c r="X343" s="36" t="n">
        <f>22</f>
        <v>22.0</v>
      </c>
    </row>
    <row r="344">
      <c r="A344" s="27" t="s">
        <v>42</v>
      </c>
      <c r="B344" s="27" t="s">
        <v>1085</v>
      </c>
      <c r="C344" s="27" t="s">
        <v>1086</v>
      </c>
      <c r="D344" s="27" t="s">
        <v>1087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109500</f>
        <v>109500.0</v>
      </c>
      <c r="L344" s="34" t="s">
        <v>48</v>
      </c>
      <c r="M344" s="33" t="n">
        <f>109800</f>
        <v>109800.0</v>
      </c>
      <c r="N344" s="34" t="s">
        <v>48</v>
      </c>
      <c r="O344" s="33" t="n">
        <f>102500</f>
        <v>102500.0</v>
      </c>
      <c r="P344" s="34" t="s">
        <v>407</v>
      </c>
      <c r="Q344" s="33" t="n">
        <f>106100</f>
        <v>106100.0</v>
      </c>
      <c r="R344" s="34" t="s">
        <v>51</v>
      </c>
      <c r="S344" s="35" t="n">
        <f>105931.82</f>
        <v>105931.82</v>
      </c>
      <c r="T344" s="32" t="n">
        <f>97239</f>
        <v>97239.0</v>
      </c>
      <c r="U344" s="32" t="n">
        <f>19842</f>
        <v>19842.0</v>
      </c>
      <c r="V344" s="32" t="n">
        <f>10305111519</f>
        <v>1.0305111519E10</v>
      </c>
      <c r="W344" s="32" t="n">
        <f>2111075119</f>
        <v>2.111075119E9</v>
      </c>
      <c r="X344" s="36" t="n">
        <f>22</f>
        <v>22.0</v>
      </c>
    </row>
    <row r="345">
      <c r="A345" s="27" t="s">
        <v>42</v>
      </c>
      <c r="B345" s="27" t="s">
        <v>1088</v>
      </c>
      <c r="C345" s="27" t="s">
        <v>1089</v>
      </c>
      <c r="D345" s="27" t="s">
        <v>1090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143100</f>
        <v>143100.0</v>
      </c>
      <c r="L345" s="34" t="s">
        <v>48</v>
      </c>
      <c r="M345" s="33" t="n">
        <f>147900</f>
        <v>147900.0</v>
      </c>
      <c r="N345" s="34" t="s">
        <v>49</v>
      </c>
      <c r="O345" s="33" t="n">
        <f>134200</f>
        <v>134200.0</v>
      </c>
      <c r="P345" s="34" t="s">
        <v>116</v>
      </c>
      <c r="Q345" s="33" t="n">
        <f>142300</f>
        <v>142300.0</v>
      </c>
      <c r="R345" s="34" t="s">
        <v>51</v>
      </c>
      <c r="S345" s="35" t="n">
        <f>143009.09</f>
        <v>143009.09</v>
      </c>
      <c r="T345" s="32" t="n">
        <f>248540</f>
        <v>248540.0</v>
      </c>
      <c r="U345" s="32" t="n">
        <f>55109</f>
        <v>55109.0</v>
      </c>
      <c r="V345" s="32" t="n">
        <f>35426386637</f>
        <v>3.5426386637E10</v>
      </c>
      <c r="W345" s="32" t="n">
        <f>7859957937</f>
        <v>7.859957937E9</v>
      </c>
      <c r="X345" s="36" t="n">
        <f>22</f>
        <v>22.0</v>
      </c>
    </row>
    <row r="346">
      <c r="A346" s="27" t="s">
        <v>42</v>
      </c>
      <c r="B346" s="27" t="s">
        <v>1091</v>
      </c>
      <c r="C346" s="27" t="s">
        <v>1092</v>
      </c>
      <c r="D346" s="27" t="s">
        <v>1093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144200</f>
        <v>144200.0</v>
      </c>
      <c r="L346" s="34" t="s">
        <v>48</v>
      </c>
      <c r="M346" s="33" t="n">
        <f>144600</f>
        <v>144600.0</v>
      </c>
      <c r="N346" s="34" t="s">
        <v>71</v>
      </c>
      <c r="O346" s="33" t="n">
        <f>135100</f>
        <v>135100.0</v>
      </c>
      <c r="P346" s="34" t="s">
        <v>116</v>
      </c>
      <c r="Q346" s="33" t="n">
        <f>142000</f>
        <v>142000.0</v>
      </c>
      <c r="R346" s="34" t="s">
        <v>51</v>
      </c>
      <c r="S346" s="35" t="n">
        <f>140663.64</f>
        <v>140663.64</v>
      </c>
      <c r="T346" s="32" t="n">
        <f>66807</f>
        <v>66807.0</v>
      </c>
      <c r="U346" s="32" t="n">
        <f>13507</f>
        <v>13507.0</v>
      </c>
      <c r="V346" s="32" t="n">
        <f>9371418925</f>
        <v>9.371418925E9</v>
      </c>
      <c r="W346" s="32" t="n">
        <f>1897060325</f>
        <v>1.897060325E9</v>
      </c>
      <c r="X346" s="36" t="n">
        <f>22</f>
        <v>22.0</v>
      </c>
    </row>
    <row r="347">
      <c r="A347" s="27" t="s">
        <v>42</v>
      </c>
      <c r="B347" s="27" t="s">
        <v>1094</v>
      </c>
      <c r="C347" s="27" t="s">
        <v>1095</v>
      </c>
      <c r="D347" s="27" t="s">
        <v>1096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42500</f>
        <v>42500.0</v>
      </c>
      <c r="L347" s="34" t="s">
        <v>48</v>
      </c>
      <c r="M347" s="33" t="n">
        <f>43000</f>
        <v>43000.0</v>
      </c>
      <c r="N347" s="34" t="s">
        <v>48</v>
      </c>
      <c r="O347" s="33" t="n">
        <f>38000</f>
        <v>38000.0</v>
      </c>
      <c r="P347" s="34" t="s">
        <v>67</v>
      </c>
      <c r="Q347" s="33" t="n">
        <f>39900</f>
        <v>39900.0</v>
      </c>
      <c r="R347" s="34" t="s">
        <v>51</v>
      </c>
      <c r="S347" s="35" t="n">
        <f>40456.82</f>
        <v>40456.82</v>
      </c>
      <c r="T347" s="32" t="n">
        <f>876009</f>
        <v>876009.0</v>
      </c>
      <c r="U347" s="32" t="n">
        <f>258160</f>
        <v>258160.0</v>
      </c>
      <c r="V347" s="32" t="n">
        <f>35288106164</f>
        <v>3.5288106164E10</v>
      </c>
      <c r="W347" s="32" t="n">
        <f>10397381714</f>
        <v>1.0397381714E10</v>
      </c>
      <c r="X347" s="36" t="n">
        <f>22</f>
        <v>22.0</v>
      </c>
    </row>
    <row r="348">
      <c r="A348" s="27" t="s">
        <v>42</v>
      </c>
      <c r="B348" s="27" t="s">
        <v>1097</v>
      </c>
      <c r="C348" s="27" t="s">
        <v>1098</v>
      </c>
      <c r="D348" s="27" t="s">
        <v>1099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531000</f>
        <v>531000.0</v>
      </c>
      <c r="L348" s="34" t="s">
        <v>48</v>
      </c>
      <c r="M348" s="33" t="n">
        <f>538000</f>
        <v>538000.0</v>
      </c>
      <c r="N348" s="34" t="s">
        <v>99</v>
      </c>
      <c r="O348" s="33" t="n">
        <f>500000</f>
        <v>500000.0</v>
      </c>
      <c r="P348" s="34" t="s">
        <v>116</v>
      </c>
      <c r="Q348" s="33" t="n">
        <f>523000</f>
        <v>523000.0</v>
      </c>
      <c r="R348" s="34" t="s">
        <v>51</v>
      </c>
      <c r="S348" s="35" t="n">
        <f>526772.73</f>
        <v>526772.73</v>
      </c>
      <c r="T348" s="32" t="n">
        <f>50280</f>
        <v>50280.0</v>
      </c>
      <c r="U348" s="32" t="n">
        <f>9403</f>
        <v>9403.0</v>
      </c>
      <c r="V348" s="32" t="n">
        <f>26393755301</f>
        <v>2.6393755301E10</v>
      </c>
      <c r="W348" s="32" t="n">
        <f>4931028301</f>
        <v>4.931028301E9</v>
      </c>
      <c r="X348" s="36" t="n">
        <f>22</f>
        <v>22.0</v>
      </c>
    </row>
    <row r="349">
      <c r="A349" s="27" t="s">
        <v>42</v>
      </c>
      <c r="B349" s="27" t="s">
        <v>1100</v>
      </c>
      <c r="C349" s="27" t="s">
        <v>1101</v>
      </c>
      <c r="D349" s="27" t="s">
        <v>1102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145800</f>
        <v>145800.0</v>
      </c>
      <c r="L349" s="34" t="s">
        <v>48</v>
      </c>
      <c r="M349" s="33" t="n">
        <f>149400</f>
        <v>149400.0</v>
      </c>
      <c r="N349" s="34" t="s">
        <v>71</v>
      </c>
      <c r="O349" s="33" t="n">
        <f>138000</f>
        <v>138000.0</v>
      </c>
      <c r="P349" s="34" t="s">
        <v>323</v>
      </c>
      <c r="Q349" s="33" t="n">
        <f>146100</f>
        <v>146100.0</v>
      </c>
      <c r="R349" s="34" t="s">
        <v>51</v>
      </c>
      <c r="S349" s="35" t="n">
        <f>143818.18</f>
        <v>143818.18</v>
      </c>
      <c r="T349" s="32" t="n">
        <f>120440</f>
        <v>120440.0</v>
      </c>
      <c r="U349" s="32" t="n">
        <f>28536</f>
        <v>28536.0</v>
      </c>
      <c r="V349" s="32" t="n">
        <f>17388593927</f>
        <v>1.7388593927E10</v>
      </c>
      <c r="W349" s="32" t="n">
        <f>4123307227</f>
        <v>4.123307227E9</v>
      </c>
      <c r="X349" s="36" t="n">
        <f>22</f>
        <v>22.0</v>
      </c>
    </row>
    <row r="350">
      <c r="A350" s="27" t="s">
        <v>42</v>
      </c>
      <c r="B350" s="27" t="s">
        <v>1103</v>
      </c>
      <c r="C350" s="27" t="s">
        <v>1104</v>
      </c>
      <c r="D350" s="27" t="s">
        <v>1105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325500</f>
        <v>325500.0</v>
      </c>
      <c r="L350" s="34" t="s">
        <v>48</v>
      </c>
      <c r="M350" s="33" t="n">
        <f>331000</f>
        <v>331000.0</v>
      </c>
      <c r="N350" s="34" t="s">
        <v>99</v>
      </c>
      <c r="O350" s="33" t="n">
        <f>296400</f>
        <v>296400.0</v>
      </c>
      <c r="P350" s="34" t="s">
        <v>403</v>
      </c>
      <c r="Q350" s="33" t="n">
        <f>313500</f>
        <v>313500.0</v>
      </c>
      <c r="R350" s="34" t="s">
        <v>51</v>
      </c>
      <c r="S350" s="35" t="n">
        <f>315659.09</f>
        <v>315659.09</v>
      </c>
      <c r="T350" s="32" t="n">
        <f>74487</f>
        <v>74487.0</v>
      </c>
      <c r="U350" s="32" t="n">
        <f>16621</f>
        <v>16621.0</v>
      </c>
      <c r="V350" s="32" t="n">
        <f>23353330223</f>
        <v>2.3353330223E10</v>
      </c>
      <c r="W350" s="32" t="n">
        <f>5205992123</f>
        <v>5.205992123E9</v>
      </c>
      <c r="X350" s="36" t="n">
        <f>22</f>
        <v>22.0</v>
      </c>
    </row>
    <row r="351">
      <c r="A351" s="27" t="s">
        <v>42</v>
      </c>
      <c r="B351" s="27" t="s">
        <v>1106</v>
      </c>
      <c r="C351" s="27" t="s">
        <v>1107</v>
      </c>
      <c r="D351" s="27" t="s">
        <v>1108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168300</f>
        <v>168300.0</v>
      </c>
      <c r="L351" s="34" t="s">
        <v>48</v>
      </c>
      <c r="M351" s="33" t="n">
        <f>172000</f>
        <v>172000.0</v>
      </c>
      <c r="N351" s="34" t="s">
        <v>99</v>
      </c>
      <c r="O351" s="33" t="n">
        <f>158800</f>
        <v>158800.0</v>
      </c>
      <c r="P351" s="34" t="s">
        <v>116</v>
      </c>
      <c r="Q351" s="33" t="n">
        <f>168400</f>
        <v>168400.0</v>
      </c>
      <c r="R351" s="34" t="s">
        <v>51</v>
      </c>
      <c r="S351" s="35" t="n">
        <f>166281.82</f>
        <v>166281.82</v>
      </c>
      <c r="T351" s="32" t="n">
        <f>46709</f>
        <v>46709.0</v>
      </c>
      <c r="U351" s="32" t="n">
        <f>9049</f>
        <v>9049.0</v>
      </c>
      <c r="V351" s="32" t="n">
        <f>7742030680</f>
        <v>7.74203068E9</v>
      </c>
      <c r="W351" s="32" t="n">
        <f>1500972280</f>
        <v>1.50097228E9</v>
      </c>
      <c r="X351" s="36" t="n">
        <f>22</f>
        <v>22.0</v>
      </c>
    </row>
    <row r="352">
      <c r="A352" s="27" t="s">
        <v>42</v>
      </c>
      <c r="B352" s="27" t="s">
        <v>1109</v>
      </c>
      <c r="C352" s="27" t="s">
        <v>1110</v>
      </c>
      <c r="D352" s="27" t="s">
        <v>1111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666000</f>
        <v>666000.0</v>
      </c>
      <c r="L352" s="34" t="s">
        <v>48</v>
      </c>
      <c r="M352" s="33" t="n">
        <f>684000</f>
        <v>684000.0</v>
      </c>
      <c r="N352" s="34" t="s">
        <v>86</v>
      </c>
      <c r="O352" s="33" t="n">
        <f>623000</f>
        <v>623000.0</v>
      </c>
      <c r="P352" s="34" t="s">
        <v>116</v>
      </c>
      <c r="Q352" s="33" t="n">
        <f>681000</f>
        <v>681000.0</v>
      </c>
      <c r="R352" s="34" t="s">
        <v>51</v>
      </c>
      <c r="S352" s="35" t="n">
        <f>662863.64</f>
        <v>662863.64</v>
      </c>
      <c r="T352" s="32" t="n">
        <f>59984</f>
        <v>59984.0</v>
      </c>
      <c r="U352" s="32" t="n">
        <f>15384</f>
        <v>15384.0</v>
      </c>
      <c r="V352" s="32" t="n">
        <f>39586789680</f>
        <v>3.958678968E10</v>
      </c>
      <c r="W352" s="32" t="n">
        <f>10158811680</f>
        <v>1.015881168E10</v>
      </c>
      <c r="X352" s="36" t="n">
        <f>22</f>
        <v>22.0</v>
      </c>
    </row>
    <row r="353">
      <c r="A353" s="27" t="s">
        <v>42</v>
      </c>
      <c r="B353" s="27" t="s">
        <v>1112</v>
      </c>
      <c r="C353" s="27" t="s">
        <v>1113</v>
      </c>
      <c r="D353" s="27" t="s">
        <v>1114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86700</f>
        <v>86700.0</v>
      </c>
      <c r="L353" s="34" t="s">
        <v>48</v>
      </c>
      <c r="M353" s="33" t="n">
        <f>88200</f>
        <v>88200.0</v>
      </c>
      <c r="N353" s="34" t="s">
        <v>48</v>
      </c>
      <c r="O353" s="33" t="n">
        <f>80900</f>
        <v>80900.0</v>
      </c>
      <c r="P353" s="34" t="s">
        <v>116</v>
      </c>
      <c r="Q353" s="33" t="n">
        <f>84400</f>
        <v>84400.0</v>
      </c>
      <c r="R353" s="34" t="s">
        <v>51</v>
      </c>
      <c r="S353" s="35" t="n">
        <f>84100</f>
        <v>84100.0</v>
      </c>
      <c r="T353" s="32" t="n">
        <f>124344</f>
        <v>124344.0</v>
      </c>
      <c r="U353" s="32" t="n">
        <f>26874</f>
        <v>26874.0</v>
      </c>
      <c r="V353" s="32" t="n">
        <f>10420232763</f>
        <v>1.0420232763E10</v>
      </c>
      <c r="W353" s="32" t="n">
        <f>2259649463</f>
        <v>2.259649463E9</v>
      </c>
      <c r="X353" s="36" t="n">
        <f>22</f>
        <v>22.0</v>
      </c>
    </row>
    <row r="354">
      <c r="A354" s="27" t="s">
        <v>42</v>
      </c>
      <c r="B354" s="27" t="s">
        <v>1115</v>
      </c>
      <c r="C354" s="27" t="s">
        <v>1116</v>
      </c>
      <c r="D354" s="27" t="s">
        <v>1117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695000</f>
        <v>695000.0</v>
      </c>
      <c r="L354" s="34" t="s">
        <v>48</v>
      </c>
      <c r="M354" s="33" t="n">
        <f>699000</f>
        <v>699000.0</v>
      </c>
      <c r="N354" s="34" t="s">
        <v>49</v>
      </c>
      <c r="O354" s="33" t="n">
        <f>647000</f>
        <v>647000.0</v>
      </c>
      <c r="P354" s="34" t="s">
        <v>116</v>
      </c>
      <c r="Q354" s="33" t="n">
        <f>696000</f>
        <v>696000.0</v>
      </c>
      <c r="R354" s="34" t="s">
        <v>51</v>
      </c>
      <c r="S354" s="35" t="n">
        <f>679136.36</f>
        <v>679136.36</v>
      </c>
      <c r="T354" s="32" t="n">
        <f>45840</f>
        <v>45840.0</v>
      </c>
      <c r="U354" s="32" t="n">
        <f>15360</f>
        <v>15360.0</v>
      </c>
      <c r="V354" s="32" t="n">
        <f>31123173793</f>
        <v>3.1123173793E10</v>
      </c>
      <c r="W354" s="32" t="n">
        <f>10426811793</f>
        <v>1.0426811793E10</v>
      </c>
      <c r="X354" s="36" t="n">
        <f>22</f>
        <v>22.0</v>
      </c>
    </row>
    <row r="355">
      <c r="A355" s="27" t="s">
        <v>42</v>
      </c>
      <c r="B355" s="27" t="s">
        <v>1118</v>
      </c>
      <c r="C355" s="27" t="s">
        <v>1119</v>
      </c>
      <c r="D355" s="27" t="s">
        <v>1120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148300</f>
        <v>148300.0</v>
      </c>
      <c r="L355" s="34" t="s">
        <v>48</v>
      </c>
      <c r="M355" s="33" t="n">
        <f>153200</f>
        <v>153200.0</v>
      </c>
      <c r="N355" s="34" t="s">
        <v>72</v>
      </c>
      <c r="O355" s="33" t="n">
        <f>141000</f>
        <v>141000.0</v>
      </c>
      <c r="P355" s="34" t="s">
        <v>116</v>
      </c>
      <c r="Q355" s="33" t="n">
        <f>149400</f>
        <v>149400.0</v>
      </c>
      <c r="R355" s="34" t="s">
        <v>51</v>
      </c>
      <c r="S355" s="35" t="n">
        <f>147800</f>
        <v>147800.0</v>
      </c>
      <c r="T355" s="32" t="n">
        <f>38319</f>
        <v>38319.0</v>
      </c>
      <c r="U355" s="32" t="n">
        <f>7389</f>
        <v>7389.0</v>
      </c>
      <c r="V355" s="32" t="n">
        <f>5654304284</f>
        <v>5.654304284E9</v>
      </c>
      <c r="W355" s="32" t="n">
        <f>1089766484</f>
        <v>1.089766484E9</v>
      </c>
      <c r="X355" s="36" t="n">
        <f>22</f>
        <v>22.0</v>
      </c>
    </row>
    <row r="356">
      <c r="A356" s="27" t="s">
        <v>42</v>
      </c>
      <c r="B356" s="27" t="s">
        <v>1121</v>
      </c>
      <c r="C356" s="27" t="s">
        <v>1122</v>
      </c>
      <c r="D356" s="27" t="s">
        <v>1123</v>
      </c>
      <c r="E356" s="28" t="s">
        <v>46</v>
      </c>
      <c r="F356" s="29" t="s">
        <v>46</v>
      </c>
      <c r="G356" s="30" t="s">
        <v>46</v>
      </c>
      <c r="H356" s="31"/>
      <c r="I356" s="31" t="s">
        <v>603</v>
      </c>
      <c r="J356" s="32" t="n">
        <v>1.0</v>
      </c>
      <c r="K356" s="33" t="n">
        <f>242000</f>
        <v>242000.0</v>
      </c>
      <c r="L356" s="34" t="s">
        <v>48</v>
      </c>
      <c r="M356" s="33" t="n">
        <f>249000</f>
        <v>249000.0</v>
      </c>
      <c r="N356" s="34" t="s">
        <v>129</v>
      </c>
      <c r="O356" s="33" t="n">
        <f>227900</f>
        <v>227900.0</v>
      </c>
      <c r="P356" s="34" t="s">
        <v>67</v>
      </c>
      <c r="Q356" s="33" t="n">
        <f>241800</f>
        <v>241800.0</v>
      </c>
      <c r="R356" s="34" t="s">
        <v>51</v>
      </c>
      <c r="S356" s="35" t="n">
        <f>239486.36</f>
        <v>239486.36</v>
      </c>
      <c r="T356" s="32" t="n">
        <f>15050</f>
        <v>15050.0</v>
      </c>
      <c r="U356" s="32" t="n">
        <f>2415</f>
        <v>2415.0</v>
      </c>
      <c r="V356" s="32" t="n">
        <f>3591408523</f>
        <v>3.591408523E9</v>
      </c>
      <c r="W356" s="32" t="n">
        <f>574975423</f>
        <v>5.74975423E8</v>
      </c>
      <c r="X356" s="36" t="n">
        <f>22</f>
        <v>22.0</v>
      </c>
    </row>
    <row r="357">
      <c r="A357" s="27" t="s">
        <v>42</v>
      </c>
      <c r="B357" s="27" t="s">
        <v>1124</v>
      </c>
      <c r="C357" s="27" t="s">
        <v>1125</v>
      </c>
      <c r="D357" s="27" t="s">
        <v>1126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316000</f>
        <v>316000.0</v>
      </c>
      <c r="L357" s="34" t="s">
        <v>48</v>
      </c>
      <c r="M357" s="33" t="n">
        <f>323000</f>
        <v>323000.0</v>
      </c>
      <c r="N357" s="34" t="s">
        <v>129</v>
      </c>
      <c r="O357" s="33" t="n">
        <f>289700</f>
        <v>289700.0</v>
      </c>
      <c r="P357" s="34" t="s">
        <v>116</v>
      </c>
      <c r="Q357" s="33" t="n">
        <f>307500</f>
        <v>307500.0</v>
      </c>
      <c r="R357" s="34" t="s">
        <v>51</v>
      </c>
      <c r="S357" s="35" t="n">
        <f>307750</f>
        <v>307750.0</v>
      </c>
      <c r="T357" s="32" t="n">
        <f>158225</f>
        <v>158225.0</v>
      </c>
      <c r="U357" s="32" t="n">
        <f>33761</f>
        <v>33761.0</v>
      </c>
      <c r="V357" s="32" t="n">
        <f>48166960453</f>
        <v>4.8166960453E10</v>
      </c>
      <c r="W357" s="32" t="n">
        <f>10282785153</f>
        <v>1.0282785153E10</v>
      </c>
      <c r="X357" s="36" t="n">
        <f>22</f>
        <v>22.0</v>
      </c>
    </row>
    <row r="358">
      <c r="A358" s="27" t="s">
        <v>42</v>
      </c>
      <c r="B358" s="27" t="s">
        <v>1127</v>
      </c>
      <c r="C358" s="27" t="s">
        <v>1128</v>
      </c>
      <c r="D358" s="27" t="s">
        <v>1129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67200</f>
        <v>67200.0</v>
      </c>
      <c r="L358" s="34" t="s">
        <v>48</v>
      </c>
      <c r="M358" s="33" t="n">
        <f>68300</f>
        <v>68300.0</v>
      </c>
      <c r="N358" s="34" t="s">
        <v>51</v>
      </c>
      <c r="O358" s="33" t="n">
        <f>60800</f>
        <v>60800.0</v>
      </c>
      <c r="P358" s="34" t="s">
        <v>116</v>
      </c>
      <c r="Q358" s="33" t="n">
        <f>67800</f>
        <v>67800.0</v>
      </c>
      <c r="R358" s="34" t="s">
        <v>51</v>
      </c>
      <c r="S358" s="35" t="n">
        <f>65345.45</f>
        <v>65345.45</v>
      </c>
      <c r="T358" s="32" t="n">
        <f>525582</f>
        <v>525582.0</v>
      </c>
      <c r="U358" s="32" t="n">
        <f>154077</f>
        <v>154077.0</v>
      </c>
      <c r="V358" s="32" t="n">
        <f>34257244631</f>
        <v>3.4257244631E10</v>
      </c>
      <c r="W358" s="32" t="n">
        <f>10096384731</f>
        <v>1.0096384731E10</v>
      </c>
      <c r="X358" s="36" t="n">
        <f>22</f>
        <v>22.0</v>
      </c>
    </row>
    <row r="359">
      <c r="A359" s="27" t="s">
        <v>42</v>
      </c>
      <c r="B359" s="27" t="s">
        <v>1130</v>
      </c>
      <c r="C359" s="27" t="s">
        <v>1131</v>
      </c>
      <c r="D359" s="27" t="s">
        <v>1132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115000</f>
        <v>115000.0</v>
      </c>
      <c r="L359" s="34" t="s">
        <v>48</v>
      </c>
      <c r="M359" s="33" t="n">
        <f>119300</f>
        <v>119300.0</v>
      </c>
      <c r="N359" s="34" t="s">
        <v>51</v>
      </c>
      <c r="O359" s="33" t="n">
        <f>111300</f>
        <v>111300.0</v>
      </c>
      <c r="P359" s="34" t="s">
        <v>116</v>
      </c>
      <c r="Q359" s="33" t="n">
        <f>119000</f>
        <v>119000.0</v>
      </c>
      <c r="R359" s="34" t="s">
        <v>51</v>
      </c>
      <c r="S359" s="35" t="n">
        <f>115359.09</f>
        <v>115359.09</v>
      </c>
      <c r="T359" s="32" t="n">
        <f>153587</f>
        <v>153587.0</v>
      </c>
      <c r="U359" s="32" t="n">
        <f>35932</f>
        <v>35932.0</v>
      </c>
      <c r="V359" s="32" t="n">
        <f>17668383622</f>
        <v>1.7668383622E10</v>
      </c>
      <c r="W359" s="32" t="n">
        <f>4130410522</f>
        <v>4.130410522E9</v>
      </c>
      <c r="X359" s="36" t="n">
        <f>22</f>
        <v>22.0</v>
      </c>
    </row>
    <row r="360">
      <c r="A360" s="27" t="s">
        <v>42</v>
      </c>
      <c r="B360" s="27" t="s">
        <v>1133</v>
      </c>
      <c r="C360" s="27" t="s">
        <v>1134</v>
      </c>
      <c r="D360" s="27" t="s">
        <v>1135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128100</f>
        <v>128100.0</v>
      </c>
      <c r="L360" s="34" t="s">
        <v>48</v>
      </c>
      <c r="M360" s="33" t="n">
        <f>130300</f>
        <v>130300.0</v>
      </c>
      <c r="N360" s="34" t="s">
        <v>92</v>
      </c>
      <c r="O360" s="33" t="n">
        <f>120800</f>
        <v>120800.0</v>
      </c>
      <c r="P360" s="34" t="s">
        <v>116</v>
      </c>
      <c r="Q360" s="33" t="n">
        <f>122500</f>
        <v>122500.0</v>
      </c>
      <c r="R360" s="34" t="s">
        <v>51</v>
      </c>
      <c r="S360" s="35" t="n">
        <f>125336.36</f>
        <v>125336.36</v>
      </c>
      <c r="T360" s="32" t="n">
        <f>110566</f>
        <v>110566.0</v>
      </c>
      <c r="U360" s="32" t="n">
        <f>19909</f>
        <v>19909.0</v>
      </c>
      <c r="V360" s="32" t="n">
        <f>13794546759</f>
        <v>1.3794546759E10</v>
      </c>
      <c r="W360" s="32" t="n">
        <f>2482192059</f>
        <v>2.482192059E9</v>
      </c>
      <c r="X360" s="36" t="n">
        <f>22</f>
        <v>22.0</v>
      </c>
    </row>
    <row r="361">
      <c r="A361" s="27" t="s">
        <v>42</v>
      </c>
      <c r="B361" s="27" t="s">
        <v>1136</v>
      </c>
      <c r="C361" s="27" t="s">
        <v>1137</v>
      </c>
      <c r="D361" s="27" t="s">
        <v>1138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110200</f>
        <v>110200.0</v>
      </c>
      <c r="L361" s="34" t="s">
        <v>48</v>
      </c>
      <c r="M361" s="33" t="n">
        <f>114100</f>
        <v>114100.0</v>
      </c>
      <c r="N361" s="34" t="s">
        <v>99</v>
      </c>
      <c r="O361" s="33" t="n">
        <f>110000</f>
        <v>110000.0</v>
      </c>
      <c r="P361" s="34" t="s">
        <v>50</v>
      </c>
      <c r="Q361" s="33" t="n">
        <f>110300</f>
        <v>110300.0</v>
      </c>
      <c r="R361" s="34" t="s">
        <v>51</v>
      </c>
      <c r="S361" s="35" t="n">
        <f>111590.91</f>
        <v>111590.91</v>
      </c>
      <c r="T361" s="32" t="n">
        <f>17356</f>
        <v>17356.0</v>
      </c>
      <c r="U361" s="32" t="n">
        <f>2556</f>
        <v>2556.0</v>
      </c>
      <c r="V361" s="32" t="n">
        <f>1936196506</f>
        <v>1.936196506E9</v>
      </c>
      <c r="W361" s="32" t="n">
        <f>283938906</f>
        <v>2.83938906E8</v>
      </c>
      <c r="X361" s="36" t="n">
        <f>22</f>
        <v>22.0</v>
      </c>
    </row>
    <row r="362">
      <c r="A362" s="27" t="s">
        <v>42</v>
      </c>
      <c r="B362" s="27" t="s">
        <v>1139</v>
      </c>
      <c r="C362" s="27" t="s">
        <v>1140</v>
      </c>
      <c r="D362" s="27" t="s">
        <v>1141</v>
      </c>
      <c r="E362" s="28" t="s">
        <v>46</v>
      </c>
      <c r="F362" s="29" t="s">
        <v>46</v>
      </c>
      <c r="G362" s="30" t="s">
        <v>46</v>
      </c>
      <c r="H362" s="31"/>
      <c r="I362" s="31" t="s">
        <v>603</v>
      </c>
      <c r="J362" s="32" t="n">
        <v>1.0</v>
      </c>
      <c r="K362" s="33" t="n">
        <f>73800</f>
        <v>73800.0</v>
      </c>
      <c r="L362" s="34" t="s">
        <v>48</v>
      </c>
      <c r="M362" s="33" t="n">
        <f>78900</f>
        <v>78900.0</v>
      </c>
      <c r="N362" s="34" t="s">
        <v>49</v>
      </c>
      <c r="O362" s="33" t="n">
        <f>70000</f>
        <v>70000.0</v>
      </c>
      <c r="P362" s="34" t="s">
        <v>67</v>
      </c>
      <c r="Q362" s="33" t="n">
        <f>71100</f>
        <v>71100.0</v>
      </c>
      <c r="R362" s="34" t="s">
        <v>51</v>
      </c>
      <c r="S362" s="35" t="n">
        <f>75377.27</f>
        <v>75377.27</v>
      </c>
      <c r="T362" s="32" t="n">
        <f>7685</f>
        <v>7685.0</v>
      </c>
      <c r="U362" s="32" t="n">
        <f>17</f>
        <v>17.0</v>
      </c>
      <c r="V362" s="32" t="n">
        <f>573115400</f>
        <v>5.731154E8</v>
      </c>
      <c r="W362" s="32" t="n">
        <f>1251500</f>
        <v>1251500.0</v>
      </c>
      <c r="X362" s="36" t="n">
        <f>22</f>
        <v>22.0</v>
      </c>
    </row>
    <row r="363">
      <c r="A363" s="27" t="s">
        <v>42</v>
      </c>
      <c r="B363" s="27" t="s">
        <v>1142</v>
      </c>
      <c r="C363" s="27" t="s">
        <v>1143</v>
      </c>
      <c r="D363" s="27" t="s">
        <v>1144</v>
      </c>
      <c r="E363" s="28" t="s">
        <v>46</v>
      </c>
      <c r="F363" s="29" t="s">
        <v>46</v>
      </c>
      <c r="G363" s="30" t="s">
        <v>46</v>
      </c>
      <c r="H363" s="31" t="s">
        <v>345</v>
      </c>
      <c r="I363" s="31" t="s">
        <v>603</v>
      </c>
      <c r="J363" s="32" t="n">
        <v>1.0</v>
      </c>
      <c r="K363" s="33" t="n">
        <f>113500</f>
        <v>113500.0</v>
      </c>
      <c r="L363" s="34" t="s">
        <v>48</v>
      </c>
      <c r="M363" s="33" t="n">
        <f>116300</f>
        <v>116300.0</v>
      </c>
      <c r="N363" s="34" t="s">
        <v>272</v>
      </c>
      <c r="O363" s="33" t="n">
        <f>113400</f>
        <v>113400.0</v>
      </c>
      <c r="P363" s="34" t="s">
        <v>48</v>
      </c>
      <c r="Q363" s="33" t="n">
        <f>114600</f>
        <v>114600.0</v>
      </c>
      <c r="R363" s="34" t="s">
        <v>51</v>
      </c>
      <c r="S363" s="35" t="n">
        <f>114304.55</f>
        <v>114304.55</v>
      </c>
      <c r="T363" s="32" t="n">
        <f>95929</f>
        <v>95929.0</v>
      </c>
      <c r="U363" s="32" t="n">
        <f>246</f>
        <v>246.0</v>
      </c>
      <c r="V363" s="32" t="n">
        <f>10989824620</f>
        <v>1.098982462E10</v>
      </c>
      <c r="W363" s="32" t="n">
        <f>28295320</f>
        <v>2.829532E7</v>
      </c>
      <c r="X363" s="36" t="n">
        <f>22</f>
        <v>22.0</v>
      </c>
    </row>
    <row r="364">
      <c r="A364" s="27" t="s">
        <v>42</v>
      </c>
      <c r="B364" s="27" t="s">
        <v>1145</v>
      </c>
      <c r="C364" s="27" t="s">
        <v>1146</v>
      </c>
      <c r="D364" s="27" t="s">
        <v>1147</v>
      </c>
      <c r="E364" s="28" t="s">
        <v>46</v>
      </c>
      <c r="F364" s="29" t="s">
        <v>46</v>
      </c>
      <c r="G364" s="30" t="s">
        <v>46</v>
      </c>
      <c r="H364" s="31"/>
      <c r="I364" s="31" t="s">
        <v>603</v>
      </c>
      <c r="J364" s="32" t="n">
        <v>1.0</v>
      </c>
      <c r="K364" s="33" t="n">
        <f>125800</f>
        <v>125800.0</v>
      </c>
      <c r="L364" s="34" t="s">
        <v>48</v>
      </c>
      <c r="M364" s="33" t="n">
        <f>126800</f>
        <v>126800.0</v>
      </c>
      <c r="N364" s="34" t="s">
        <v>103</v>
      </c>
      <c r="O364" s="33" t="n">
        <f>122500</f>
        <v>122500.0</v>
      </c>
      <c r="P364" s="34" t="s">
        <v>51</v>
      </c>
      <c r="Q364" s="33" t="n">
        <f>122500</f>
        <v>122500.0</v>
      </c>
      <c r="R364" s="34" t="s">
        <v>51</v>
      </c>
      <c r="S364" s="35" t="n">
        <f>125804.55</f>
        <v>125804.55</v>
      </c>
      <c r="T364" s="32" t="n">
        <f>14487</f>
        <v>14487.0</v>
      </c>
      <c r="U364" s="32" t="n">
        <f>402</f>
        <v>402.0</v>
      </c>
      <c r="V364" s="32" t="n">
        <f>1819123097</f>
        <v>1.819123097E9</v>
      </c>
      <c r="W364" s="32" t="n">
        <f>50818097</f>
        <v>5.0818097E7</v>
      </c>
      <c r="X364" s="36" t="n">
        <f>22</f>
        <v>22.0</v>
      </c>
    </row>
    <row r="365">
      <c r="A365" s="27" t="s">
        <v>42</v>
      </c>
      <c r="B365" s="27" t="s">
        <v>1148</v>
      </c>
      <c r="C365" s="27" t="s">
        <v>1149</v>
      </c>
      <c r="D365" s="27" t="s">
        <v>1150</v>
      </c>
      <c r="E365" s="28" t="s">
        <v>46</v>
      </c>
      <c r="F365" s="29" t="s">
        <v>46</v>
      </c>
      <c r="G365" s="30" t="s">
        <v>46</v>
      </c>
      <c r="H365" s="31"/>
      <c r="I365" s="31" t="s">
        <v>603</v>
      </c>
      <c r="J365" s="32" t="n">
        <v>1.0</v>
      </c>
      <c r="K365" s="33" t="n">
        <f>99500</f>
        <v>99500.0</v>
      </c>
      <c r="L365" s="34" t="s">
        <v>48</v>
      </c>
      <c r="M365" s="33" t="n">
        <f>102400</f>
        <v>102400.0</v>
      </c>
      <c r="N365" s="34" t="s">
        <v>129</v>
      </c>
      <c r="O365" s="33" t="n">
        <f>98000</f>
        <v>98000.0</v>
      </c>
      <c r="P365" s="34" t="s">
        <v>51</v>
      </c>
      <c r="Q365" s="33" t="n">
        <f>98300</f>
        <v>98300.0</v>
      </c>
      <c r="R365" s="34" t="s">
        <v>51</v>
      </c>
      <c r="S365" s="35" t="n">
        <f>100650</f>
        <v>100650.0</v>
      </c>
      <c r="T365" s="32" t="n">
        <f>5681</f>
        <v>5681.0</v>
      </c>
      <c r="U365" s="32" t="n">
        <f>131</f>
        <v>131.0</v>
      </c>
      <c r="V365" s="32" t="n">
        <f>570076400</f>
        <v>5.700764E8</v>
      </c>
      <c r="W365" s="32" t="n">
        <f>13186600</f>
        <v>1.31866E7</v>
      </c>
      <c r="X365" s="36" t="n">
        <f>22</f>
        <v>22.0</v>
      </c>
    </row>
    <row r="366">
      <c r="A366" s="27" t="s">
        <v>42</v>
      </c>
      <c r="B366" s="27" t="s">
        <v>1151</v>
      </c>
      <c r="C366" s="27" t="s">
        <v>1152</v>
      </c>
      <c r="D366" s="27" t="s">
        <v>1153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91300</f>
        <v>91300.0</v>
      </c>
      <c r="L366" s="34" t="s">
        <v>48</v>
      </c>
      <c r="M366" s="33" t="n">
        <f>94000</f>
        <v>94000.0</v>
      </c>
      <c r="N366" s="34" t="s">
        <v>49</v>
      </c>
      <c r="O366" s="33" t="n">
        <f>91000</f>
        <v>91000.0</v>
      </c>
      <c r="P366" s="34" t="s">
        <v>67</v>
      </c>
      <c r="Q366" s="33" t="n">
        <f>91400</f>
        <v>91400.0</v>
      </c>
      <c r="R366" s="34" t="s">
        <v>51</v>
      </c>
      <c r="S366" s="35" t="n">
        <f>92163.64</f>
        <v>92163.64</v>
      </c>
      <c r="T366" s="32" t="n">
        <f>14549</f>
        <v>14549.0</v>
      </c>
      <c r="U366" s="32" t="n">
        <f>656</f>
        <v>656.0</v>
      </c>
      <c r="V366" s="32" t="n">
        <f>1341953300</f>
        <v>1.3419533E9</v>
      </c>
      <c r="W366" s="32" t="n">
        <f>61113800</f>
        <v>6.11138E7</v>
      </c>
      <c r="X366" s="36" t="n">
        <f>22</f>
        <v>22.0</v>
      </c>
    </row>
    <row r="367">
      <c r="A367" s="27" t="s">
        <v>42</v>
      </c>
      <c r="B367" s="27" t="s">
        <v>1154</v>
      </c>
      <c r="C367" s="27" t="s">
        <v>1155</v>
      </c>
      <c r="D367" s="27" t="s">
        <v>1156</v>
      </c>
      <c r="E367" s="28" t="s">
        <v>46</v>
      </c>
      <c r="F367" s="29" t="s">
        <v>46</v>
      </c>
      <c r="G367" s="30" t="s">
        <v>46</v>
      </c>
      <c r="H367" s="31"/>
      <c r="I367" s="31" t="s">
        <v>603</v>
      </c>
      <c r="J367" s="32" t="n">
        <v>1.0</v>
      </c>
      <c r="K367" s="33" t="n">
        <f>90100</f>
        <v>90100.0</v>
      </c>
      <c r="L367" s="34" t="s">
        <v>48</v>
      </c>
      <c r="M367" s="33" t="n">
        <f>92000</f>
        <v>92000.0</v>
      </c>
      <c r="N367" s="34" t="s">
        <v>99</v>
      </c>
      <c r="O367" s="33" t="n">
        <f>89900</f>
        <v>89900.0</v>
      </c>
      <c r="P367" s="34" t="s">
        <v>87</v>
      </c>
      <c r="Q367" s="33" t="n">
        <f>90800</f>
        <v>90800.0</v>
      </c>
      <c r="R367" s="34" t="s">
        <v>51</v>
      </c>
      <c r="S367" s="35" t="n">
        <f>91100</f>
        <v>91100.0</v>
      </c>
      <c r="T367" s="32" t="n">
        <f>30030</f>
        <v>30030.0</v>
      </c>
      <c r="U367" s="32" t="n">
        <f>974</f>
        <v>974.0</v>
      </c>
      <c r="V367" s="32" t="n">
        <f>2730736380</f>
        <v>2.73073638E9</v>
      </c>
      <c r="W367" s="32" t="n">
        <f>88907080</f>
        <v>8.890708E7</v>
      </c>
      <c r="X367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