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<sst xmlns="http://schemas.openxmlformats.org/spreadsheetml/2006/main" count="4424" uniqueCount="1167">
  <si>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</si>
  <si>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</si>
  <si>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</si>
  <si>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</si>
  <si>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</si>
  <si>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</si>
  <si>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</si>
  <si>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</si>
  <si>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</si>
  <si>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</si>
  <si>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</si>
  <si>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</si>
  <si>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</si>
  <si>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</si>
  <si>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</si>
  <si>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</si>
  <si>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</si>
  <si>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</si>
  <si>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</si>
  <si>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</si>
  <si>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</si>
  <si>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</si>
  <si>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</si>
  <si>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</si>
  <si>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</si>
  <si>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</si>
  <si>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</si>
  <si>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</si>
  <si>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</si>
  <si>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</si>
  <si>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</si>
  <si>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</si>
  <si>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</si>
  <si>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</si>
  <si>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</si>
  <si>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</si>
  <si>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</si>
  <si>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</si>
  <si>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</si>
  <si>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</si>
  <si>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</si>
  <si>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</si>
  <si>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2022/07</t>
  </si>
  <si>
    <t>1305</t>
  </si>
  <si>
    <t>ダイワ上場投信－トピックス　受益証券</t>
  </si>
  <si>
    <t>Daiwa ETF-TOPIX</t>
  </si>
  <si>
    <t/>
  </si>
  <si>
    <t>貸借</t>
  </si>
  <si>
    <t>1</t>
  </si>
  <si>
    <t>22</t>
  </si>
  <si>
    <t>7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</si>
  <si>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</si>
  <si>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</si>
  <si>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</si>
  <si>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</si>
  <si>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</si>
  <si>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</si>
  <si>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</si>
  <si>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</si>
  <si>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</si>
  <si>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</si>
  <si>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</si>
  <si>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</si>
  <si>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</si>
  <si>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28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</si>
  <si>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</si>
  <si>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</si>
  <si>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</si>
  <si>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14</t>
  </si>
  <si>
    <t>1313</t>
  </si>
  <si>
    <t>サムスンＫＯＤＥＸ２００証券上場指数投資信託[株式]　受益証券</t>
  </si>
  <si>
    <t>SAMSUNG KODEX200 SECURITIES EXCHANGE TRADED FUND [STOCK]</t>
  </si>
  <si>
    <t>27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</si>
  <si>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</si>
  <si>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</si>
  <si>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</si>
  <si>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</si>
  <si>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</si>
  <si>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</si>
  <si>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</si>
  <si>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</si>
  <si>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</si>
  <si>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</si>
  <si>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</si>
  <si>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</si>
  <si>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5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</si>
  <si>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</si>
  <si>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</si>
  <si>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</si>
  <si>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 xml:space="preserve">上場廃止  </t>
  </si>
  <si>
    <t xml:space="preserve">Removal  </t>
  </si>
  <si>
    <t xml:space="preserve">2022/07/25  </t>
  </si>
  <si>
    <t>整</t>
  </si>
  <si>
    <t>21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</si>
  <si>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</si>
  <si>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</si>
  <si>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</si>
  <si>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</si>
  <si>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</si>
  <si>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</si>
  <si>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15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</si>
  <si>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</si>
  <si>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</si>
  <si>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</si>
  <si>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</si>
  <si>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</si>
  <si>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</si>
  <si>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</si>
  <si>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</si>
  <si>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</si>
  <si>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</si>
  <si>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</si>
  <si>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</si>
  <si>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</si>
  <si>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</si>
  <si>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</si>
  <si>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</si>
  <si>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</si>
  <si>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</si>
  <si>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</si>
  <si>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</si>
  <si>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</si>
  <si>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</si>
  <si>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</si>
  <si>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</si>
  <si>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</si>
  <si>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</si>
  <si>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</si>
  <si>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</si>
  <si>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</si>
  <si>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</si>
  <si>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</si>
  <si>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</si>
  <si>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</si>
  <si>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</si>
  <si>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</si>
  <si>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</si>
  <si>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</si>
  <si>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</si>
  <si>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</si>
  <si>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</si>
  <si>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</si>
  <si>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</si>
  <si>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</si>
  <si>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</si>
  <si>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</si>
  <si>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</si>
  <si>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</si>
  <si>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</si>
  <si>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</si>
  <si>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</si>
  <si>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</si>
  <si>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</si>
  <si>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</si>
  <si>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</si>
  <si>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</si>
  <si>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</si>
  <si>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</si>
  <si>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</si>
  <si>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</si>
  <si>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</si>
  <si>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20</t>
  </si>
  <si>
    <t>12</t>
  </si>
  <si>
    <t>1386</t>
  </si>
  <si>
    <t>ＵＢＳ　ＥＴＦ　欧州株（ＭＳＣＩヨーロッパ）　受益証券</t>
  </si>
  <si>
    <t>UBS ETF MSCI Europe UCITS ETF-JDR</t>
  </si>
  <si>
    <t>26</t>
  </si>
  <si>
    <t>1387</t>
  </si>
  <si>
    <t>ＵＢＳ　ＥＴＦ　ユーロ圏株（ＭＳＣＩ　ＥＭＵ）　受益証券</t>
  </si>
  <si>
    <t>UBS ETF MSCI EMU UCITS ETF-JDR</t>
  </si>
  <si>
    <t>6</t>
  </si>
  <si>
    <t>1388</t>
  </si>
  <si>
    <t>ＵＢＳ　ＥＴＦ　ユーロ圏小型株（ＭＳＣＩ　ＥＭＵ小型株）　受益証券</t>
  </si>
  <si>
    <t>UBS ETF MSCI EMU Small Cap UCITS ETF-JDR</t>
  </si>
  <si>
    <t>11</t>
  </si>
  <si>
    <t>19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</si>
  <si>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</si>
  <si>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</si>
  <si>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</si>
  <si>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</si>
  <si>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</si>
  <si>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</si>
  <si>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</si>
  <si>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</si>
  <si>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</si>
  <si>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</si>
  <si>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</si>
  <si>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</si>
  <si>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</si>
  <si>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</si>
  <si>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</si>
  <si>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</si>
  <si>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</si>
  <si>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</si>
  <si>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</si>
  <si>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</si>
  <si>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</si>
  <si>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</si>
  <si>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</si>
  <si>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</si>
  <si>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</si>
  <si>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</si>
  <si>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</si>
  <si>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</si>
  <si>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</si>
  <si>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</si>
  <si>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</si>
  <si>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</si>
  <si>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</si>
  <si>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</si>
  <si>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</si>
  <si>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</si>
  <si>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</si>
  <si>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</si>
  <si>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</si>
  <si>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</si>
  <si>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</si>
  <si>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</si>
  <si>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</si>
  <si>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</si>
  <si>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</si>
  <si>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</si>
  <si>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</si>
  <si>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</si>
  <si>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</si>
  <si>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</si>
  <si>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</si>
  <si>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</si>
  <si>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</si>
  <si>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</si>
  <si>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</si>
  <si>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8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</si>
  <si>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</si>
  <si>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</si>
  <si>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</si>
  <si>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</si>
  <si>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</si>
  <si>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</si>
  <si>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</si>
  <si>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</si>
  <si>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</si>
  <si>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</si>
  <si>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</si>
  <si>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</si>
  <si>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</si>
  <si>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</si>
  <si>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</si>
  <si>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</si>
  <si>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</si>
  <si>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</si>
  <si>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</si>
  <si>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</si>
  <si>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</si>
  <si>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</si>
  <si>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</si>
  <si>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</si>
  <si>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</si>
  <si>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</si>
  <si>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</si>
  <si>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</si>
  <si>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</si>
  <si>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</si>
  <si>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4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</si>
  <si>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</si>
  <si>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</si>
  <si>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</si>
  <si>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</si>
  <si>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</si>
  <si>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</si>
  <si>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</si>
  <si>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</si>
  <si>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</si>
  <si>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</si>
  <si>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</si>
  <si>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</si>
  <si>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</si>
  <si>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</si>
  <si>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</si>
  <si>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</si>
  <si>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</si>
  <si>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</si>
  <si>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</si>
  <si>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</si>
  <si>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</si>
  <si>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</si>
  <si>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</si>
  <si>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</si>
  <si>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</si>
  <si>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</si>
  <si>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</si>
  <si>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</si>
  <si>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</si>
  <si>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</si>
  <si>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</si>
  <si>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</si>
  <si>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</si>
  <si>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</si>
  <si>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</si>
  <si>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</si>
  <si>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</si>
  <si>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</si>
  <si>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</si>
  <si>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</si>
  <si>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</si>
  <si>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</si>
  <si>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</si>
  <si>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</si>
  <si>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</si>
  <si>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</si>
  <si>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</si>
  <si>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</si>
  <si>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</si>
  <si>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</si>
  <si>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</si>
  <si>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</si>
  <si>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</si>
  <si>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</si>
  <si>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</si>
  <si>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</si>
  <si>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</si>
  <si>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</si>
  <si>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</si>
  <si>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</si>
  <si>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13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</si>
  <si>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</si>
  <si>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</si>
  <si>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</si>
  <si>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</si>
  <si>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</si>
  <si>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</si>
  <si>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</si>
  <si>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</si>
  <si>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</si>
  <si>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</si>
  <si>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</si>
  <si>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</si>
  <si>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</si>
  <si>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</si>
  <si>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</si>
  <si>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</si>
  <si>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</si>
  <si>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</si>
  <si>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</si>
  <si>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</si>
  <si>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</si>
  <si>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</si>
  <si>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</si>
  <si>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</si>
  <si>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</si>
  <si>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</si>
  <si>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</si>
  <si>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</si>
  <si>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</si>
  <si>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</si>
  <si>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</si>
  <si>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</si>
  <si>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</si>
  <si>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</si>
  <si>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</si>
  <si>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</si>
  <si>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</si>
  <si>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</si>
  <si>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</si>
  <si>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</si>
  <si>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</si>
  <si>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</si>
  <si>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</si>
  <si>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</si>
  <si>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</si>
  <si>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</si>
  <si>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</si>
  <si>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</si>
  <si>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</si>
  <si>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</si>
  <si>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</si>
  <si>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</si>
  <si>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</si>
  <si>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</si>
  <si>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</si>
  <si>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</si>
  <si>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</si>
  <si>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</si>
  <si>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</si>
  <si>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</si>
  <si>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</si>
  <si>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</si>
  <si>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</si>
  <si>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</si>
  <si>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</si>
  <si>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</si>
  <si>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</si>
  <si>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</si>
  <si>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</si>
  <si>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</si>
  <si>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</si>
  <si>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</si>
  <si>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</si>
  <si>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</si>
  <si>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</si>
  <si>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</si>
  <si>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</si>
  <si>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</si>
  <si>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</si>
  <si>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</si>
  <si>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</si>
  <si>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</si>
  <si>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</si>
  <si>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</si>
  <si>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</si>
  <si>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</si>
  <si>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</si>
  <si>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</si>
  <si>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</si>
  <si>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</si>
  <si>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</si>
  <si>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</si>
  <si>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</si>
  <si>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</si>
  <si>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</si>
  <si>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</si>
  <si>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</si>
  <si>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</si>
  <si>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</si>
  <si>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</si>
  <si>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</si>
  <si>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</si>
  <si>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</si>
  <si>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</si>
  <si>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</si>
  <si>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</si>
  <si>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</si>
  <si>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</si>
  <si>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</si>
  <si>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</si>
  <si>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</si>
  <si>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</si>
  <si>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</si>
  <si>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</si>
  <si>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</si>
  <si>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</si>
  <si>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</si>
  <si>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</si>
  <si>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</si>
  <si>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</si>
  <si>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</si>
  <si>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</si>
  <si>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</si>
  <si>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</si>
  <si>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</si>
  <si>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</si>
  <si>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</si>
  <si>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</si>
  <si>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</si>
  <si>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</si>
  <si>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</si>
  <si>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</si>
  <si>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</si>
  <si>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</si>
  <si>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</si>
  <si>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</si>
  <si>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</si>
  <si>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</si>
  <si>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</si>
  <si>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</si>
  <si>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</si>
  <si>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</si>
  <si>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</si>
  <si>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</si>
  <si>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</si>
  <si>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</si>
  <si>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</si>
  <si>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</si>
  <si>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</si>
  <si>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</si>
  <si>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</si>
  <si>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</si>
  <si>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</si>
  <si>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</si>
  <si>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</si>
  <si>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</si>
  <si>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</si>
  <si>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</si>
  <si>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</si>
  <si>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</si>
  <si>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</si>
  <si>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</si>
  <si>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</si>
  <si>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</si>
  <si>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</si>
  <si>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</si>
  <si>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</si>
  <si>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</si>
  <si>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</si>
  <si>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</si>
  <si>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</si>
  <si>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</si>
  <si>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</si>
  <si>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</si>
  <si>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</si>
  <si>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</si>
  <si>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</si>
  <si>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</si>
  <si>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</si>
  <si>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</si>
  <si>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</si>
  <si>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</si>
  <si>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</si>
  <si>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</si>
  <si>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</si>
  <si>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</si>
  <si>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</si>
  <si>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</si>
  <si>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</si>
  <si>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</si>
  <si>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</si>
  <si>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</si>
  <si>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</si>
  <si>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</si>
  <si>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</si>
  <si>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</si>
  <si>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</si>
  <si>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</si>
  <si>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</si>
  <si>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</si>
  <si>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</si>
  <si>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</si>
  <si>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</si>
  <si>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</si>
  <si>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</si>
  <si>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</si>
  <si>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</si>
  <si>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</si>
  <si>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</si>
  <si>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</si>
  <si>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</si>
  <si>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</si>
  <si>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</si>
  <si>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</si>
  <si>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</si>
  <si>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</si>
  <si>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</si>
  <si>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</si>
  <si>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</si>
  <si>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</si>
  <si>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</si>
  <si>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</si>
  <si>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</si>
  <si>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</si>
  <si>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</si>
  <si>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</si>
  <si>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</si>
  <si>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</si>
  <si>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</si>
  <si>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</si>
  <si>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</si>
  <si>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</si>
  <si>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</si>
  <si>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</si>
  <si>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</si>
  <si>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</si>
  <si>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</si>
  <si>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</si>
  <si>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</si>
  <si>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</si>
  <si>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</si>
  <si>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</si>
  <si>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</si>
  <si>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</si>
  <si>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</si>
  <si>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</si>
  <si>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</si>
  <si>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</si>
  <si>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</si>
  <si>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</si>
  <si>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</si>
  <si>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</si>
  <si>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</si>
  <si>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</si>
  <si>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</si>
  <si>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</si>
  <si>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</si>
  <si>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</si>
  <si>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</si>
  <si>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</si>
  <si>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</si>
  <si>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</si>
  <si>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</si>
  <si>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</si>
  <si>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</si>
  <si>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</si>
  <si>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</si>
  <si>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</si>
  <si>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</si>
  <si>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</si>
  <si>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</si>
  <si>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</si>
  <si>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</si>
  <si>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</si>
  <si>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</si>
  <si>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</si>
  <si>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</si>
  <si>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</si>
  <si>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</si>
  <si>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</si>
  <si>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</si>
  <si>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</si>
  <si>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</si>
  <si>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</si>
  <si>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</si>
  <si>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</si>
  <si>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</si>
  <si>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</si>
  <si>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</si>
  <si>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</si>
  <si>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</si>
  <si>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</si>
  <si>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</si>
  <si>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</si>
  <si>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</si>
  <si>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</si>
  <si>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</si>
  <si>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</si>
  <si>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</si>
  <si>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</si>
  <si>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</si>
  <si>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</si>
  <si>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</si>
  <si>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</si>
  <si>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</si>
  <si>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</si>
  <si>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</si>
  <si>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</si>
  <si>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</si>
  <si>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</si>
  <si>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</si>
  <si>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</si>
  <si>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</si>
  <si>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</si>
  <si>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</si>
  <si>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</si>
  <si>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</si>
  <si>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</si>
  <si>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</si>
  <si>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</si>
  <si>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</si>
  <si>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</si>
  <si>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</si>
  <si>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</si>
  <si>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</si>
  <si>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</si>
  <si>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</si>
  <si>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</si>
  <si>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</si>
  <si>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</si>
  <si>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</si>
  <si>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</si>
  <si>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</si>
  <si>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</si>
  <si>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</si>
  <si>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</si>
  <si>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</si>
  <si>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</si>
  <si>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</si>
  <si>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</si>
  <si>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</si>
  <si>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</si>
  <si>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</si>
  <si>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</si>
  <si>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</si>
  <si>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</si>
  <si>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</si>
  <si>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</si>
  <si>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</si>
  <si>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</si>
  <si>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</si>
  <si>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</si>
  <si>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</si>
  <si>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</si>
  <si>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</si>
  <si>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</si>
  <si>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</si>
  <si>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</si>
  <si>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</si>
  <si>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</si>
  <si>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</si>
  <si>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</si>
  <si>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</si>
  <si>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</si>
  <si>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</si>
  <si>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</si>
  <si>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</si>
  <si>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</si>
  <si>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</si>
  <si>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</si>
  <si>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</si>
  <si>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</si>
  <si>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</si>
  <si>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</si>
  <si>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</si>
  <si>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</si>
  <si>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</si>
  <si>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</si>
  <si>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</si>
  <si>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</si>
  <si>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</si>
  <si>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</si>
  <si>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</si>
  <si>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</si>
  <si>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</si>
  <si>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</si>
  <si>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</si>
  <si>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</si>
  <si>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</si>
  <si>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</si>
  <si>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</si>
  <si>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</si>
  <si>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</si>
  <si>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</si>
  <si>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</si>
  <si>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</si>
  <si>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</si>
  <si>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</si>
  <si>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</si>
  <si>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</si>
  <si>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</si>
  <si>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</si>
  <si>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</si>
  <si>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</si>
  <si>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</si>
  <si>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</si>
  <si>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</si>
  <si>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</si>
  <si>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</si>
  <si>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</si>
  <si>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</si>
  <si>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</si>
  <si>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</si>
  <si>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</si>
  <si>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</si>
  <si>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</si>
  <si>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</si>
  <si>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</si>
  <si>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</si>
  <si>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</si>
  <si>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</si>
  <si>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</si>
  <si>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</si>
  <si>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</si>
  <si>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</si>
  <si>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</si>
  <si>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</si>
  <si>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</si>
  <si>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</si>
  <si>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</si>
  <si>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</si>
  <si>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</si>
  <si>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</si>
  <si>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</si>
  <si>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</si>
  <si>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</si>
  <si>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</si>
  <si>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</si>
  <si>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</si>
  <si>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</si>
  <si>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</si>
  <si>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</si>
  <si>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</si>
  <si>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</si>
  <si>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</si>
  <si>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</si>
  <si>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</si>
  <si>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</si>
  <si>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</si>
  <si>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</si>
  <si>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</si>
  <si>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</si>
  <si>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</si>
  <si>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</si>
  <si>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</si>
  <si>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</si>
  <si>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</si>
  <si>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</si>
  <si>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</si>
  <si>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</si>
  <si>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</si>
  <si>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</si>
  <si>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</si>
  <si>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</si>
  <si>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</si>
  <si>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</si>
  <si>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</si>
  <si>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</si>
  <si>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</si>
  <si>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</si>
  <si>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</si>
  <si>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</si>
  <si>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</si>
  <si>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</si>
  <si>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</si>
  <si>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</si>
  <si>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</si>
  <si>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</si>
  <si>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</si>
  <si>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</si>
  <si>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</si>
  <si>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</si>
  <si>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</si>
  <si>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</si>
  <si>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</si>
  <si>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</si>
  <si>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</si>
  <si>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</si>
  <si>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</si>
  <si>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</si>
  <si>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</si>
  <si>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</si>
  <si>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</si>
  <si>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</si>
  <si>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</si>
  <si>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</si>
  <si>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</si>
  <si>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</si>
  <si>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</si>
  <si>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</si>
  <si>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</si>
  <si>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</si>
  <si>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</si>
  <si>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</si>
  <si>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</si>
  <si>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</si>
  <si>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</si>
  <si>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</si>
  <si>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</si>
  <si>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</si>
  <si>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</si>
  <si>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</si>
  <si>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</si>
  <si>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</si>
  <si>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</si>
  <si>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</si>
  <si>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</si>
  <si>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</si>
  <si>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</si>
  <si>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</si>
  <si>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</si>
  <si>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</si>
  <si>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</si>
  <si>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</si>
  <si>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</si>
  <si>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</si>
  <si>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</si>
  <si>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</si>
  <si>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</si>
  <si>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</si>
  <si>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</si>
  <si>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</si>
  <si>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</si>
  <si>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</si>
  <si>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</si>
  <si>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</si>
  <si>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</si>
  <si>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</si>
  <si>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</si>
  <si>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</si>
  <si>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</si>
  <si>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</si>
  <si>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</si>
  <si>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</si>
  <si>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</si>
  <si>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</si>
  <si>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</si>
  <si>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</si>
  <si>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</si>
  <si>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</si>
  <si>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</si>
  <si>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</si>
  <si>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</si>
  <si>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</si>
  <si>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</si>
  <si>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</si>
  <si>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</si>
  <si>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</si>
  <si>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</si>
  <si>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</si>
  <si>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</si>
  <si>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</si>
  <si>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</si>
  <si>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</si>
  <si>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</si>
  <si>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</si>
  <si>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</si>
  <si>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</si>
  <si>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</si>
  <si>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</si>
  <si>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</si>
  <si>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</si>
  <si>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</si>
  <si>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</si>
  <si>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</si>
  <si>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</si>
  <si>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</si>
  <si>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</si>
  <si>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</si>
  <si>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</si>
  <si>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</si>
  <si>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</si>
  <si>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</si>
  <si>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</si>
  <si>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</si>
  <si>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</si>
  <si>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</si>
  <si>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</si>
  <si>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</si>
  <si>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</si>
  <si>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</si>
  <si>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</si>
  <si>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</si>
  <si>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</si>
  <si>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</si>
  <si>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</si>
  <si>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</si>
  <si>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</si>
  <si>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</si>
  <si>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</si>
  <si>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</si>
  <si>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</si>
  <si>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</si>
  <si>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</si>
  <si>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</si>
  <si>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</si>
  <si>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</si>
  <si>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</si>
  <si>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</si>
  <si>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</si>
  <si>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</si>
  <si>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</si>
  <si>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</si>
  <si>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</si>
  <si>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</si>
  <si>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</si>
  <si>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</si>
  <si>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</si>
  <si>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</si>
  <si>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</si>
  <si>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</si>
  <si>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</si>
  <si>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</si>
  <si>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</si>
  <si>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</si>
  <si>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</si>
  <si>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</si>
  <si>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</si>
  <si>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</si>
  <si>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 xml:space="preserve">新規上場  </t>
  </si>
  <si>
    <t xml:space="preserve">New Listing  </t>
  </si>
  <si>
    <t xml:space="preserve">2022/07/27  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</si>
  <si>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</si>
  <si>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</si>
  <si>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</si>
  <si>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</si>
  <si>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</si>
  <si>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</si>
  <si>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 xml:space="preserve">2022/07/29  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</si>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</sst>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1996.5</f>
        <v>1996.5</v>
      </c>
      <c r="L7" s="34" t="s">
        <v>48</v>
      </c>
      <c r="M7" s="33" t="n">
        <f>2041.5</f>
        <v>2041.5</v>
      </c>
      <c r="N7" s="34" t="s">
        <v>49</v>
      </c>
      <c r="O7" s="33" t="n">
        <f>1938</f>
        <v>1938.0</v>
      </c>
      <c r="P7" s="34" t="s">
        <v>50</v>
      </c>
      <c r="Q7" s="33" t="n">
        <f>2021</f>
        <v>2021.0</v>
      </c>
      <c r="R7" s="34" t="s">
        <v>51</v>
      </c>
      <c r="S7" s="35" t="n">
        <f>1997.95</f>
        <v>1997.95</v>
      </c>
      <c r="T7" s="32" t="n">
        <f>8022140</f>
        <v>8022140.0</v>
      </c>
      <c r="U7" s="32" t="n">
        <f>2624250</f>
        <v>2624250.0</v>
      </c>
      <c r="V7" s="32" t="n">
        <f>16073793260</f>
        <v>1.607379326E10</v>
      </c>
      <c r="W7" s="32" t="n">
        <f>5242688635</f>
        <v>5.242688635E9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1976</f>
        <v>1976.0</v>
      </c>
      <c r="L8" s="34" t="s">
        <v>48</v>
      </c>
      <c r="M8" s="33" t="n">
        <f>2020</f>
        <v>2020.0</v>
      </c>
      <c r="N8" s="34" t="s">
        <v>49</v>
      </c>
      <c r="O8" s="33" t="n">
        <f>1913</f>
        <v>1913.0</v>
      </c>
      <c r="P8" s="34" t="s">
        <v>50</v>
      </c>
      <c r="Q8" s="33" t="n">
        <f>1998.5</f>
        <v>1998.5</v>
      </c>
      <c r="R8" s="34" t="s">
        <v>51</v>
      </c>
      <c r="S8" s="35" t="n">
        <f>1976.08</f>
        <v>1976.08</v>
      </c>
      <c r="T8" s="32" t="n">
        <f>56864550</f>
        <v>5.686455E7</v>
      </c>
      <c r="U8" s="32" t="n">
        <f>12534990</f>
        <v>1.253499E7</v>
      </c>
      <c r="V8" s="32" t="n">
        <f>112485466905</f>
        <v>1.12485466905E11</v>
      </c>
      <c r="W8" s="32" t="n">
        <f>25046784535</f>
        <v>2.5046784535E10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1956</f>
        <v>1956.0</v>
      </c>
      <c r="L9" s="34" t="s">
        <v>48</v>
      </c>
      <c r="M9" s="33" t="n">
        <f>1995</f>
        <v>1995.0</v>
      </c>
      <c r="N9" s="34" t="s">
        <v>49</v>
      </c>
      <c r="O9" s="33" t="n">
        <f>1892</f>
        <v>1892.0</v>
      </c>
      <c r="P9" s="34" t="s">
        <v>50</v>
      </c>
      <c r="Q9" s="33" t="n">
        <f>1977.5</f>
        <v>1977.5</v>
      </c>
      <c r="R9" s="34" t="s">
        <v>51</v>
      </c>
      <c r="S9" s="35" t="n">
        <f>1954.25</f>
        <v>1954.25</v>
      </c>
      <c r="T9" s="32" t="n">
        <f>10197100</f>
        <v>1.01971E7</v>
      </c>
      <c r="U9" s="32" t="n">
        <f>3844600</f>
        <v>3844600.0</v>
      </c>
      <c r="V9" s="32" t="n">
        <f>19863697520</f>
        <v>1.986369752E10</v>
      </c>
      <c r="W9" s="32" t="n">
        <f>7470460270</f>
        <v>7.47046027E9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46990</f>
        <v>46990.0</v>
      </c>
      <c r="L10" s="34" t="s">
        <v>48</v>
      </c>
      <c r="M10" s="33" t="n">
        <f>47000</f>
        <v>47000.0</v>
      </c>
      <c r="N10" s="34" t="s">
        <v>48</v>
      </c>
      <c r="O10" s="33" t="n">
        <f>41370</f>
        <v>41370.0</v>
      </c>
      <c r="P10" s="34" t="s">
        <v>51</v>
      </c>
      <c r="Q10" s="33" t="n">
        <f>42000</f>
        <v>42000.0</v>
      </c>
      <c r="R10" s="34" t="s">
        <v>51</v>
      </c>
      <c r="S10" s="35" t="n">
        <f>44434.5</f>
        <v>44434.5</v>
      </c>
      <c r="T10" s="32" t="n">
        <f>4450</f>
        <v>4450.0</v>
      </c>
      <c r="U10" s="32" t="n">
        <f>8</f>
        <v>8.0</v>
      </c>
      <c r="V10" s="32" t="n">
        <f>199501040</f>
        <v>1.9950104E8</v>
      </c>
      <c r="W10" s="32" t="n">
        <f>354940</f>
        <v>354940.0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903.7</f>
        <v>903.7</v>
      </c>
      <c r="L11" s="34" t="s">
        <v>48</v>
      </c>
      <c r="M11" s="33" t="n">
        <f>942.6</f>
        <v>942.6</v>
      </c>
      <c r="N11" s="34" t="s">
        <v>64</v>
      </c>
      <c r="O11" s="33" t="n">
        <f>887</f>
        <v>887.0</v>
      </c>
      <c r="P11" s="34" t="s">
        <v>48</v>
      </c>
      <c r="Q11" s="33" t="n">
        <f>928.3</f>
        <v>928.3</v>
      </c>
      <c r="R11" s="34" t="s">
        <v>51</v>
      </c>
      <c r="S11" s="35" t="n">
        <f>921.55</f>
        <v>921.55</v>
      </c>
      <c r="T11" s="32" t="n">
        <f>92560</f>
        <v>92560.0</v>
      </c>
      <c r="U11" s="32" t="str">
        <f>"－"</f>
        <v>－</v>
      </c>
      <c r="V11" s="32" t="n">
        <f>85307988</f>
        <v>8.5307988E7</v>
      </c>
      <c r="W11" s="32" t="str">
        <f>"－"</f>
        <v>－</v>
      </c>
      <c r="X11" s="36" t="n">
        <f>20</f>
        <v>20.0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18975</f>
        <v>18975.0</v>
      </c>
      <c r="L12" s="34" t="s">
        <v>48</v>
      </c>
      <c r="M12" s="33" t="n">
        <f>20095</f>
        <v>20095.0</v>
      </c>
      <c r="N12" s="34" t="s">
        <v>64</v>
      </c>
      <c r="O12" s="33" t="n">
        <f>18610</f>
        <v>18610.0</v>
      </c>
      <c r="P12" s="34" t="s">
        <v>68</v>
      </c>
      <c r="Q12" s="33" t="n">
        <f>19985</f>
        <v>19985.0</v>
      </c>
      <c r="R12" s="34" t="s">
        <v>51</v>
      </c>
      <c r="S12" s="35" t="n">
        <f>19401.5</f>
        <v>19401.5</v>
      </c>
      <c r="T12" s="32" t="n">
        <f>646</f>
        <v>646.0</v>
      </c>
      <c r="U12" s="32" t="str">
        <f>"－"</f>
        <v>－</v>
      </c>
      <c r="V12" s="32" t="n">
        <f>12563340</f>
        <v>1.256334E7</v>
      </c>
      <c r="W12" s="32" t="str">
        <f>"－"</f>
        <v>－</v>
      </c>
      <c r="X12" s="36" t="n">
        <f>20</f>
        <v>20.0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3385</f>
        <v>3385.0</v>
      </c>
      <c r="L13" s="34" t="s">
        <v>48</v>
      </c>
      <c r="M13" s="33" t="n">
        <f>3800</f>
        <v>3800.0</v>
      </c>
      <c r="N13" s="34" t="s">
        <v>50</v>
      </c>
      <c r="O13" s="33" t="n">
        <f>3200</f>
        <v>3200.0</v>
      </c>
      <c r="P13" s="34" t="s">
        <v>50</v>
      </c>
      <c r="Q13" s="33" t="n">
        <f>3310</f>
        <v>3310.0</v>
      </c>
      <c r="R13" s="34" t="s">
        <v>72</v>
      </c>
      <c r="S13" s="35" t="n">
        <f>3318</f>
        <v>3318.0</v>
      </c>
      <c r="T13" s="32" t="n">
        <f>2250</f>
        <v>2250.0</v>
      </c>
      <c r="U13" s="32" t="n">
        <f>20</f>
        <v>20.0</v>
      </c>
      <c r="V13" s="32" t="n">
        <f>7780830</f>
        <v>7780830.0</v>
      </c>
      <c r="W13" s="32" t="n">
        <f>66200</f>
        <v>66200.0</v>
      </c>
      <c r="X13" s="36" t="n">
        <f>14</f>
        <v>14.0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345.5</f>
        <v>345.5</v>
      </c>
      <c r="L14" s="34" t="s">
        <v>48</v>
      </c>
      <c r="M14" s="33" t="n">
        <f>354.9</f>
        <v>354.9</v>
      </c>
      <c r="N14" s="34" t="s">
        <v>64</v>
      </c>
      <c r="O14" s="33" t="n">
        <f>337.9</f>
        <v>337.9</v>
      </c>
      <c r="P14" s="34" t="s">
        <v>68</v>
      </c>
      <c r="Q14" s="33" t="n">
        <f>354.9</f>
        <v>354.9</v>
      </c>
      <c r="R14" s="34" t="s">
        <v>64</v>
      </c>
      <c r="S14" s="35" t="n">
        <f>347.09</f>
        <v>347.09</v>
      </c>
      <c r="T14" s="32" t="n">
        <f>58000</f>
        <v>58000.0</v>
      </c>
      <c r="U14" s="32" t="n">
        <f>1000</f>
        <v>1000.0</v>
      </c>
      <c r="V14" s="32" t="n">
        <f>20081500</f>
        <v>2.00815E7</v>
      </c>
      <c r="W14" s="32" t="n">
        <f>349800</f>
        <v>349800.0</v>
      </c>
      <c r="X14" s="36" t="n">
        <f>14</f>
        <v>14.0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27520</f>
        <v>27520.0</v>
      </c>
      <c r="L15" s="34" t="s">
        <v>48</v>
      </c>
      <c r="M15" s="33" t="n">
        <f>28610</f>
        <v>28610.0</v>
      </c>
      <c r="N15" s="34" t="s">
        <v>64</v>
      </c>
      <c r="O15" s="33" t="n">
        <f>26665</f>
        <v>26665.0</v>
      </c>
      <c r="P15" s="34" t="s">
        <v>50</v>
      </c>
      <c r="Q15" s="33" t="n">
        <f>28370</f>
        <v>28370.0</v>
      </c>
      <c r="R15" s="34" t="s">
        <v>51</v>
      </c>
      <c r="S15" s="35" t="n">
        <f>27673.5</f>
        <v>27673.5</v>
      </c>
      <c r="T15" s="32" t="n">
        <f>1176119</f>
        <v>1176119.0</v>
      </c>
      <c r="U15" s="32" t="n">
        <f>348124</f>
        <v>348124.0</v>
      </c>
      <c r="V15" s="32" t="n">
        <f>32642258073</f>
        <v>3.2642258073E10</v>
      </c>
      <c r="W15" s="32" t="n">
        <f>9769264368</f>
        <v>9.769264368E9</v>
      </c>
      <c r="X15" s="36" t="n">
        <f>20</f>
        <v>20.0</v>
      </c>
    </row>
    <row r="16">
      <c r="A16" s="27" t="s">
        <v>42</v>
      </c>
      <c r="B16" s="27" t="s">
        <v>79</v>
      </c>
      <c r="C16" s="27" t="s">
        <v>80</v>
      </c>
      <c r="D16" s="27" t="s">
        <v>81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27550</f>
        <v>27550.0</v>
      </c>
      <c r="L16" s="34" t="s">
        <v>48</v>
      </c>
      <c r="M16" s="33" t="n">
        <f>28700</f>
        <v>28700.0</v>
      </c>
      <c r="N16" s="34" t="s">
        <v>64</v>
      </c>
      <c r="O16" s="33" t="n">
        <f>26800</f>
        <v>26800.0</v>
      </c>
      <c r="P16" s="34" t="s">
        <v>50</v>
      </c>
      <c r="Q16" s="33" t="n">
        <f>28480</f>
        <v>28480.0</v>
      </c>
      <c r="R16" s="34" t="s">
        <v>51</v>
      </c>
      <c r="S16" s="35" t="n">
        <f>27745</f>
        <v>27745.0</v>
      </c>
      <c r="T16" s="32" t="n">
        <f>4751130</f>
        <v>4751130.0</v>
      </c>
      <c r="U16" s="32" t="n">
        <f>551495</f>
        <v>551495.0</v>
      </c>
      <c r="V16" s="32" t="n">
        <f>131750093814</f>
        <v>1.31750093814E11</v>
      </c>
      <c r="W16" s="32" t="n">
        <f>15352705289</f>
        <v>1.5352705289E10</v>
      </c>
      <c r="X16" s="36" t="n">
        <f>20</f>
        <v>20.0</v>
      </c>
    </row>
    <row r="17">
      <c r="A17" s="27" t="s">
        <v>42</v>
      </c>
      <c r="B17" s="27" t="s">
        <v>82</v>
      </c>
      <c r="C17" s="27" t="s">
        <v>83</v>
      </c>
      <c r="D17" s="27" t="s">
        <v>84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9000</f>
        <v>9000.0</v>
      </c>
      <c r="L17" s="34" t="s">
        <v>48</v>
      </c>
      <c r="M17" s="33" t="n">
        <f>9100</f>
        <v>9100.0</v>
      </c>
      <c r="N17" s="34" t="s">
        <v>85</v>
      </c>
      <c r="O17" s="33" t="n">
        <f>8120</f>
        <v>8120.0</v>
      </c>
      <c r="P17" s="34" t="s">
        <v>51</v>
      </c>
      <c r="Q17" s="33" t="n">
        <f>8193</f>
        <v>8193.0</v>
      </c>
      <c r="R17" s="34" t="s">
        <v>51</v>
      </c>
      <c r="S17" s="35" t="n">
        <f>8641.05</f>
        <v>8641.05</v>
      </c>
      <c r="T17" s="32" t="n">
        <f>9350</f>
        <v>9350.0</v>
      </c>
      <c r="U17" s="32" t="str">
        <f>"－"</f>
        <v>－</v>
      </c>
      <c r="V17" s="32" t="n">
        <f>81022190</f>
        <v>8.102219E7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89</v>
      </c>
      <c r="F18" s="29" t="s">
        <v>90</v>
      </c>
      <c r="G18" s="30" t="s">
        <v>91</v>
      </c>
      <c r="H18" s="31" t="s">
        <v>92</v>
      </c>
      <c r="I18" s="31"/>
      <c r="J18" s="32" t="n">
        <v>100.0</v>
      </c>
      <c r="K18" s="33" t="n">
        <f>515.2</f>
        <v>515.2</v>
      </c>
      <c r="L18" s="34" t="s">
        <v>48</v>
      </c>
      <c r="M18" s="33" t="n">
        <f>543.9</f>
        <v>543.9</v>
      </c>
      <c r="N18" s="34" t="s">
        <v>93</v>
      </c>
      <c r="O18" s="33" t="n">
        <f>506.2</f>
        <v>506.2</v>
      </c>
      <c r="P18" s="34" t="s">
        <v>50</v>
      </c>
      <c r="Q18" s="33" t="n">
        <f>543.5</f>
        <v>543.5</v>
      </c>
      <c r="R18" s="34" t="s">
        <v>49</v>
      </c>
      <c r="S18" s="35" t="n">
        <f>520.13</f>
        <v>520.13</v>
      </c>
      <c r="T18" s="32" t="n">
        <f>270600</f>
        <v>270600.0</v>
      </c>
      <c r="U18" s="32" t="str">
        <f>"－"</f>
        <v>－</v>
      </c>
      <c r="V18" s="32" t="n">
        <f>142466140</f>
        <v>1.4246614E8</v>
      </c>
      <c r="W18" s="32" t="str">
        <f>"－"</f>
        <v>－</v>
      </c>
      <c r="X18" s="36" t="n">
        <f>15</f>
        <v>15.0</v>
      </c>
    </row>
    <row r="19">
      <c r="A19" s="27" t="s">
        <v>42</v>
      </c>
      <c r="B19" s="27" t="s">
        <v>94</v>
      </c>
      <c r="C19" s="27" t="s">
        <v>95</v>
      </c>
      <c r="D19" s="27" t="s">
        <v>96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str">
        <f>"－"</f>
        <v>－</v>
      </c>
      <c r="L19" s="34"/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5" t="str">
        <f>"－"</f>
        <v>－</v>
      </c>
      <c r="T19" s="32" t="str">
        <f>"－"</f>
        <v>－</v>
      </c>
      <c r="U19" s="32" t="str">
        <f>"－"</f>
        <v>－</v>
      </c>
      <c r="V19" s="32" t="str">
        <f>"－"</f>
        <v>－</v>
      </c>
      <c r="W19" s="32" t="str">
        <f>"－"</f>
        <v>－</v>
      </c>
      <c r="X19" s="36" t="str">
        <f>"－"</f>
        <v>－</v>
      </c>
    </row>
    <row r="20">
      <c r="A20" s="27" t="s">
        <v>42</v>
      </c>
      <c r="B20" s="27" t="s">
        <v>97</v>
      </c>
      <c r="C20" s="27" t="s">
        <v>98</v>
      </c>
      <c r="D20" s="27" t="s">
        <v>99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194</f>
        <v>194.0</v>
      </c>
      <c r="L20" s="34" t="s">
        <v>48</v>
      </c>
      <c r="M20" s="33" t="n">
        <f>194.8</f>
        <v>194.8</v>
      </c>
      <c r="N20" s="34" t="s">
        <v>48</v>
      </c>
      <c r="O20" s="33" t="n">
        <f>175</f>
        <v>175.0</v>
      </c>
      <c r="P20" s="34" t="s">
        <v>100</v>
      </c>
      <c r="Q20" s="33" t="n">
        <f>184.5</f>
        <v>184.5</v>
      </c>
      <c r="R20" s="34" t="s">
        <v>51</v>
      </c>
      <c r="S20" s="35" t="n">
        <f>183.9</f>
        <v>183.9</v>
      </c>
      <c r="T20" s="32" t="n">
        <f>506100</f>
        <v>506100.0</v>
      </c>
      <c r="U20" s="32" t="n">
        <f>300</f>
        <v>300.0</v>
      </c>
      <c r="V20" s="32" t="n">
        <f>92544050</f>
        <v>9.254405E7</v>
      </c>
      <c r="W20" s="32" t="n">
        <f>55070</f>
        <v>55070.0</v>
      </c>
      <c r="X20" s="36" t="n">
        <f>20</f>
        <v>20.0</v>
      </c>
    </row>
    <row r="21">
      <c r="A21" s="27" t="s">
        <v>42</v>
      </c>
      <c r="B21" s="27" t="s">
        <v>101</v>
      </c>
      <c r="C21" s="27" t="s">
        <v>102</v>
      </c>
      <c r="D21" s="27" t="s">
        <v>103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22880</f>
        <v>22880.0</v>
      </c>
      <c r="L21" s="34" t="s">
        <v>48</v>
      </c>
      <c r="M21" s="33" t="n">
        <f>23030</f>
        <v>23030.0</v>
      </c>
      <c r="N21" s="34" t="s">
        <v>85</v>
      </c>
      <c r="O21" s="33" t="n">
        <f>21760</f>
        <v>21760.0</v>
      </c>
      <c r="P21" s="34" t="s">
        <v>93</v>
      </c>
      <c r="Q21" s="33" t="n">
        <f>21860</f>
        <v>21860.0</v>
      </c>
      <c r="R21" s="34" t="s">
        <v>51</v>
      </c>
      <c r="S21" s="35" t="n">
        <f>22156.25</f>
        <v>22156.25</v>
      </c>
      <c r="T21" s="32" t="n">
        <f>365621</f>
        <v>365621.0</v>
      </c>
      <c r="U21" s="32" t="str">
        <f>"－"</f>
        <v>－</v>
      </c>
      <c r="V21" s="32" t="n">
        <f>8038910405</f>
        <v>8.038910405E9</v>
      </c>
      <c r="W21" s="32" t="str">
        <f>"－"</f>
        <v>－</v>
      </c>
      <c r="X21" s="36" t="n">
        <f>20</f>
        <v>20.0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6151</f>
        <v>6151.0</v>
      </c>
      <c r="L22" s="34" t="s">
        <v>48</v>
      </c>
      <c r="M22" s="33" t="n">
        <f>6195</f>
        <v>6195.0</v>
      </c>
      <c r="N22" s="34" t="s">
        <v>85</v>
      </c>
      <c r="O22" s="33" t="n">
        <f>5821</f>
        <v>5821.0</v>
      </c>
      <c r="P22" s="34" t="s">
        <v>93</v>
      </c>
      <c r="Q22" s="33" t="n">
        <f>5880</f>
        <v>5880.0</v>
      </c>
      <c r="R22" s="34" t="s">
        <v>51</v>
      </c>
      <c r="S22" s="35" t="n">
        <f>5950.8</f>
        <v>5950.8</v>
      </c>
      <c r="T22" s="32" t="n">
        <f>1138440</f>
        <v>1138440.0</v>
      </c>
      <c r="U22" s="32" t="n">
        <f>881100</f>
        <v>881100.0</v>
      </c>
      <c r="V22" s="32" t="n">
        <f>6692775270</f>
        <v>6.69277527E9</v>
      </c>
      <c r="W22" s="32" t="n">
        <f>5170761860</f>
        <v>5.17076186E9</v>
      </c>
      <c r="X22" s="36" t="n">
        <f>20</f>
        <v>20.0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27475</f>
        <v>27475.0</v>
      </c>
      <c r="L23" s="34" t="s">
        <v>48</v>
      </c>
      <c r="M23" s="33" t="n">
        <f>29145</f>
        <v>29145.0</v>
      </c>
      <c r="N23" s="34" t="s">
        <v>64</v>
      </c>
      <c r="O23" s="33" t="n">
        <f>26900</f>
        <v>26900.0</v>
      </c>
      <c r="P23" s="34" t="s">
        <v>48</v>
      </c>
      <c r="Q23" s="33" t="n">
        <f>28930</f>
        <v>28930.0</v>
      </c>
      <c r="R23" s="34" t="s">
        <v>51</v>
      </c>
      <c r="S23" s="35" t="n">
        <f>28076.5</f>
        <v>28076.5</v>
      </c>
      <c r="T23" s="32" t="n">
        <f>1451766</f>
        <v>1451766.0</v>
      </c>
      <c r="U23" s="32" t="n">
        <f>855631</f>
        <v>855631.0</v>
      </c>
      <c r="V23" s="32" t="n">
        <f>40744908808</f>
        <v>4.0744908808E10</v>
      </c>
      <c r="W23" s="32" t="n">
        <f>23921402223</f>
        <v>2.3921402223E10</v>
      </c>
      <c r="X23" s="36" t="n">
        <f>20</f>
        <v>20.0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27580</f>
        <v>27580.0</v>
      </c>
      <c r="L24" s="34" t="s">
        <v>48</v>
      </c>
      <c r="M24" s="33" t="n">
        <f>28735</f>
        <v>28735.0</v>
      </c>
      <c r="N24" s="34" t="s">
        <v>64</v>
      </c>
      <c r="O24" s="33" t="n">
        <f>26800</f>
        <v>26800.0</v>
      </c>
      <c r="P24" s="34" t="s">
        <v>50</v>
      </c>
      <c r="Q24" s="33" t="n">
        <f>28505</f>
        <v>28505.0</v>
      </c>
      <c r="R24" s="34" t="s">
        <v>51</v>
      </c>
      <c r="S24" s="35" t="n">
        <f>27776.75</f>
        <v>27776.75</v>
      </c>
      <c r="T24" s="32" t="n">
        <f>2276070</f>
        <v>2276070.0</v>
      </c>
      <c r="U24" s="32" t="n">
        <f>995320</f>
        <v>995320.0</v>
      </c>
      <c r="V24" s="32" t="n">
        <f>63766255741</f>
        <v>6.3766255741E10</v>
      </c>
      <c r="W24" s="32" t="n">
        <f>28103284691</f>
        <v>2.8103284691E10</v>
      </c>
      <c r="X24" s="36" t="n">
        <f>20</f>
        <v>20.0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2117</f>
        <v>2117.0</v>
      </c>
      <c r="L25" s="34" t="s">
        <v>48</v>
      </c>
      <c r="M25" s="33" t="n">
        <f>2178</f>
        <v>2178.0</v>
      </c>
      <c r="N25" s="34" t="s">
        <v>51</v>
      </c>
      <c r="O25" s="33" t="n">
        <f>2079</f>
        <v>2079.0</v>
      </c>
      <c r="P25" s="34" t="s">
        <v>48</v>
      </c>
      <c r="Q25" s="33" t="n">
        <f>2177</f>
        <v>2177.0</v>
      </c>
      <c r="R25" s="34" t="s">
        <v>51</v>
      </c>
      <c r="S25" s="35" t="n">
        <f>2125.48</f>
        <v>2125.48</v>
      </c>
      <c r="T25" s="32" t="n">
        <f>10936320</f>
        <v>1.093632E7</v>
      </c>
      <c r="U25" s="32" t="n">
        <f>3912840</f>
        <v>3912840.0</v>
      </c>
      <c r="V25" s="32" t="n">
        <f>23358044538</f>
        <v>2.3358044538E10</v>
      </c>
      <c r="W25" s="32" t="n">
        <f>8369316298</f>
        <v>8.369316298E9</v>
      </c>
      <c r="X25" s="36" t="n">
        <f>20</f>
        <v>20.0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1998.5</f>
        <v>1998.5</v>
      </c>
      <c r="L26" s="34" t="s">
        <v>48</v>
      </c>
      <c r="M26" s="33" t="n">
        <f>2046.5</f>
        <v>2046.5</v>
      </c>
      <c r="N26" s="34" t="s">
        <v>51</v>
      </c>
      <c r="O26" s="33" t="n">
        <f>1962</f>
        <v>1962.0</v>
      </c>
      <c r="P26" s="34" t="s">
        <v>48</v>
      </c>
      <c r="Q26" s="33" t="n">
        <f>2046.5</f>
        <v>2046.5</v>
      </c>
      <c r="R26" s="34" t="s">
        <v>51</v>
      </c>
      <c r="S26" s="35" t="n">
        <f>1998</f>
        <v>1998.0</v>
      </c>
      <c r="T26" s="32" t="n">
        <f>578200</f>
        <v>578200.0</v>
      </c>
      <c r="U26" s="32" t="n">
        <f>177000</f>
        <v>177000.0</v>
      </c>
      <c r="V26" s="32" t="n">
        <f>1155360615</f>
        <v>1.155360615E9</v>
      </c>
      <c r="W26" s="32" t="n">
        <f>354014915</f>
        <v>3.54014915E8</v>
      </c>
      <c r="X26" s="36" t="n">
        <f>20</f>
        <v>20.0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27470</f>
        <v>27470.0</v>
      </c>
      <c r="L27" s="34" t="s">
        <v>48</v>
      </c>
      <c r="M27" s="33" t="n">
        <f>28830</f>
        <v>28830.0</v>
      </c>
      <c r="N27" s="34" t="s">
        <v>64</v>
      </c>
      <c r="O27" s="33" t="n">
        <f>26890</f>
        <v>26890.0</v>
      </c>
      <c r="P27" s="34" t="s">
        <v>48</v>
      </c>
      <c r="Q27" s="33" t="n">
        <f>28580</f>
        <v>28580.0</v>
      </c>
      <c r="R27" s="34" t="s">
        <v>51</v>
      </c>
      <c r="S27" s="35" t="n">
        <f>27904.75</f>
        <v>27904.75</v>
      </c>
      <c r="T27" s="32" t="n">
        <f>334447</f>
        <v>334447.0</v>
      </c>
      <c r="U27" s="32" t="n">
        <f>91230</f>
        <v>91230.0</v>
      </c>
      <c r="V27" s="32" t="n">
        <f>9363866096</f>
        <v>9.363866096E9</v>
      </c>
      <c r="W27" s="32" t="n">
        <f>2584500461</f>
        <v>2.584500461E9</v>
      </c>
      <c r="X27" s="36" t="n">
        <f>20</f>
        <v>20.0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1960</f>
        <v>1960.0</v>
      </c>
      <c r="L28" s="34" t="s">
        <v>48</v>
      </c>
      <c r="M28" s="33" t="n">
        <f>2021</f>
        <v>2021.0</v>
      </c>
      <c r="N28" s="34" t="s">
        <v>49</v>
      </c>
      <c r="O28" s="33" t="n">
        <f>1921</f>
        <v>1921.0</v>
      </c>
      <c r="P28" s="34" t="s">
        <v>48</v>
      </c>
      <c r="Q28" s="33" t="n">
        <f>2000.5</f>
        <v>2000.5</v>
      </c>
      <c r="R28" s="34" t="s">
        <v>51</v>
      </c>
      <c r="S28" s="35" t="n">
        <f>1981.15</f>
        <v>1981.15</v>
      </c>
      <c r="T28" s="32" t="n">
        <f>6924780</f>
        <v>6924780.0</v>
      </c>
      <c r="U28" s="32" t="n">
        <f>4902000</f>
        <v>4902000.0</v>
      </c>
      <c r="V28" s="32" t="n">
        <f>13531545755</f>
        <v>1.3531545755E10</v>
      </c>
      <c r="W28" s="32" t="n">
        <f>9541677140</f>
        <v>9.54167714E9</v>
      </c>
      <c r="X28" s="36" t="n">
        <f>20</f>
        <v>20.0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14320</f>
        <v>14320.0</v>
      </c>
      <c r="L29" s="34" t="s">
        <v>48</v>
      </c>
      <c r="M29" s="33" t="n">
        <f>14910</f>
        <v>14910.0</v>
      </c>
      <c r="N29" s="34" t="s">
        <v>100</v>
      </c>
      <c r="O29" s="33" t="n">
        <f>14215</f>
        <v>14215.0</v>
      </c>
      <c r="P29" s="34" t="s">
        <v>51</v>
      </c>
      <c r="Q29" s="33" t="n">
        <f>14395</f>
        <v>14395.0</v>
      </c>
      <c r="R29" s="34" t="s">
        <v>51</v>
      </c>
      <c r="S29" s="35" t="n">
        <f>14596.75</f>
        <v>14596.75</v>
      </c>
      <c r="T29" s="32" t="n">
        <f>3344</f>
        <v>3344.0</v>
      </c>
      <c r="U29" s="32" t="str">
        <f>"－"</f>
        <v>－</v>
      </c>
      <c r="V29" s="32" t="n">
        <f>48666795</f>
        <v>4.8666795E7</v>
      </c>
      <c r="W29" s="32" t="str">
        <f>"－"</f>
        <v>－</v>
      </c>
      <c r="X29" s="36" t="n">
        <f>20</f>
        <v>20.0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1049</f>
        <v>1049.0</v>
      </c>
      <c r="L30" s="34" t="s">
        <v>48</v>
      </c>
      <c r="M30" s="33" t="n">
        <f>1090</f>
        <v>1090.0</v>
      </c>
      <c r="N30" s="34" t="s">
        <v>48</v>
      </c>
      <c r="O30" s="33" t="n">
        <f>950.8</f>
        <v>950.8</v>
      </c>
      <c r="P30" s="34" t="s">
        <v>64</v>
      </c>
      <c r="Q30" s="33" t="n">
        <f>971.6</f>
        <v>971.6</v>
      </c>
      <c r="R30" s="34" t="s">
        <v>51</v>
      </c>
      <c r="S30" s="35" t="n">
        <f>1005.72</f>
        <v>1005.72</v>
      </c>
      <c r="T30" s="32" t="n">
        <f>7992940</f>
        <v>7992940.0</v>
      </c>
      <c r="U30" s="32" t="n">
        <f>70050</f>
        <v>70050.0</v>
      </c>
      <c r="V30" s="32" t="n">
        <f>8058611492</f>
        <v>8.058611492E9</v>
      </c>
      <c r="W30" s="32" t="n">
        <f>71827015</f>
        <v>7.1827015E7</v>
      </c>
      <c r="X30" s="36" t="n">
        <f>20</f>
        <v>20.0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413</f>
        <v>413.0</v>
      </c>
      <c r="L31" s="34" t="s">
        <v>48</v>
      </c>
      <c r="M31" s="33" t="n">
        <f>431</f>
        <v>431.0</v>
      </c>
      <c r="N31" s="34" t="s">
        <v>48</v>
      </c>
      <c r="O31" s="33" t="n">
        <f>363</f>
        <v>363.0</v>
      </c>
      <c r="P31" s="34" t="s">
        <v>64</v>
      </c>
      <c r="Q31" s="33" t="n">
        <f>369</f>
        <v>369.0</v>
      </c>
      <c r="R31" s="34" t="s">
        <v>51</v>
      </c>
      <c r="S31" s="35" t="n">
        <f>393.6</f>
        <v>393.6</v>
      </c>
      <c r="T31" s="32" t="n">
        <f>1538578436</f>
        <v>1.538578436E9</v>
      </c>
      <c r="U31" s="32" t="n">
        <f>5717437</f>
        <v>5717437.0</v>
      </c>
      <c r="V31" s="32" t="n">
        <f>605883924915</f>
        <v>6.05883924915E11</v>
      </c>
      <c r="W31" s="32" t="n">
        <f>2345177656</f>
        <v>2.345177656E9</v>
      </c>
      <c r="X31" s="36" t="n">
        <f>20</f>
        <v>20.0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24360</f>
        <v>24360.0</v>
      </c>
      <c r="L32" s="34" t="s">
        <v>48</v>
      </c>
      <c r="M32" s="33" t="n">
        <f>27220</f>
        <v>27220.0</v>
      </c>
      <c r="N32" s="34" t="s">
        <v>64</v>
      </c>
      <c r="O32" s="33" t="n">
        <f>23300</f>
        <v>23300.0</v>
      </c>
      <c r="P32" s="34" t="s">
        <v>48</v>
      </c>
      <c r="Q32" s="33" t="n">
        <f>26760</f>
        <v>26760.0</v>
      </c>
      <c r="R32" s="34" t="s">
        <v>51</v>
      </c>
      <c r="S32" s="35" t="n">
        <f>25298</f>
        <v>25298.0</v>
      </c>
      <c r="T32" s="32" t="n">
        <f>479867</f>
        <v>479867.0</v>
      </c>
      <c r="U32" s="32" t="n">
        <f>4</f>
        <v>4.0</v>
      </c>
      <c r="V32" s="32" t="n">
        <f>12057469880</f>
        <v>1.205746988E10</v>
      </c>
      <c r="W32" s="32" t="n">
        <f>97300</f>
        <v>97300.0</v>
      </c>
      <c r="X32" s="36" t="n">
        <f>20</f>
        <v>20.0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1005</f>
        <v>1005.0</v>
      </c>
      <c r="L33" s="34" t="s">
        <v>48</v>
      </c>
      <c r="M33" s="33" t="n">
        <f>1050</f>
        <v>1050.0</v>
      </c>
      <c r="N33" s="34" t="s">
        <v>48</v>
      </c>
      <c r="O33" s="33" t="n">
        <f>885.8</f>
        <v>885.8</v>
      </c>
      <c r="P33" s="34" t="s">
        <v>64</v>
      </c>
      <c r="Q33" s="33" t="n">
        <f>901.1</f>
        <v>901.1</v>
      </c>
      <c r="R33" s="34" t="s">
        <v>51</v>
      </c>
      <c r="S33" s="35" t="n">
        <f>960.26</f>
        <v>960.26</v>
      </c>
      <c r="T33" s="32" t="n">
        <f>230304010</f>
        <v>2.3030401E8</v>
      </c>
      <c r="U33" s="32" t="n">
        <f>511500</f>
        <v>511500.0</v>
      </c>
      <c r="V33" s="32" t="n">
        <f>222705544212</f>
        <v>2.22705544212E11</v>
      </c>
      <c r="W33" s="32" t="n">
        <f>502508050</f>
        <v>5.0250805E8</v>
      </c>
      <c r="X33" s="36" t="n">
        <f>20</f>
        <v>20.0</v>
      </c>
    </row>
    <row r="34">
      <c r="A34" s="27" t="s">
        <v>42</v>
      </c>
      <c r="B34" s="27" t="s">
        <v>140</v>
      </c>
      <c r="C34" s="27" t="s">
        <v>141</v>
      </c>
      <c r="D34" s="27" t="s">
        <v>142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17325</f>
        <v>17325.0</v>
      </c>
      <c r="L34" s="34" t="s">
        <v>48</v>
      </c>
      <c r="M34" s="33" t="n">
        <f>18175</f>
        <v>18175.0</v>
      </c>
      <c r="N34" s="34" t="s">
        <v>49</v>
      </c>
      <c r="O34" s="33" t="n">
        <f>17000</f>
        <v>17000.0</v>
      </c>
      <c r="P34" s="34" t="s">
        <v>48</v>
      </c>
      <c r="Q34" s="33" t="n">
        <f>17950</f>
        <v>17950.0</v>
      </c>
      <c r="R34" s="34" t="s">
        <v>51</v>
      </c>
      <c r="S34" s="35" t="n">
        <f>17674.75</f>
        <v>17674.75</v>
      </c>
      <c r="T34" s="32" t="n">
        <f>14691</f>
        <v>14691.0</v>
      </c>
      <c r="U34" s="32" t="n">
        <f>11987</f>
        <v>11987.0</v>
      </c>
      <c r="V34" s="32" t="n">
        <f>255003582</f>
        <v>2.55003582E8</v>
      </c>
      <c r="W34" s="32" t="n">
        <f>207455412</f>
        <v>2.07455412E8</v>
      </c>
      <c r="X34" s="36" t="n">
        <f>20</f>
        <v>20.0</v>
      </c>
    </row>
    <row r="35">
      <c r="A35" s="27" t="s">
        <v>42</v>
      </c>
      <c r="B35" s="27" t="s">
        <v>143</v>
      </c>
      <c r="C35" s="27" t="s">
        <v>144</v>
      </c>
      <c r="D35" s="27" t="s">
        <v>145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20195</f>
        <v>20195.0</v>
      </c>
      <c r="L35" s="34" t="s">
        <v>48</v>
      </c>
      <c r="M35" s="33" t="n">
        <f>22700</f>
        <v>22700.0</v>
      </c>
      <c r="N35" s="34" t="s">
        <v>64</v>
      </c>
      <c r="O35" s="33" t="n">
        <f>19330</f>
        <v>19330.0</v>
      </c>
      <c r="P35" s="34" t="s">
        <v>48</v>
      </c>
      <c r="Q35" s="33" t="n">
        <f>22320</f>
        <v>22320.0</v>
      </c>
      <c r="R35" s="34" t="s">
        <v>51</v>
      </c>
      <c r="S35" s="35" t="n">
        <f>21072.25</f>
        <v>21072.25</v>
      </c>
      <c r="T35" s="32" t="n">
        <f>1174449</f>
        <v>1174449.0</v>
      </c>
      <c r="U35" s="32" t="n">
        <f>2</f>
        <v>2.0</v>
      </c>
      <c r="V35" s="32" t="n">
        <f>24599404875</f>
        <v>2.4599404875E10</v>
      </c>
      <c r="W35" s="32" t="n">
        <f>40380</f>
        <v>40380.0</v>
      </c>
      <c r="X35" s="36" t="n">
        <f>20</f>
        <v>20.0</v>
      </c>
    </row>
    <row r="36">
      <c r="A36" s="27" t="s">
        <v>42</v>
      </c>
      <c r="B36" s="27" t="s">
        <v>146</v>
      </c>
      <c r="C36" s="27" t="s">
        <v>147</v>
      </c>
      <c r="D36" s="27" t="s">
        <v>148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1075</f>
        <v>1075.0</v>
      </c>
      <c r="L36" s="34" t="s">
        <v>48</v>
      </c>
      <c r="M36" s="33" t="n">
        <f>1122</f>
        <v>1122.0</v>
      </c>
      <c r="N36" s="34" t="s">
        <v>48</v>
      </c>
      <c r="O36" s="33" t="n">
        <f>946</f>
        <v>946.0</v>
      </c>
      <c r="P36" s="34" t="s">
        <v>64</v>
      </c>
      <c r="Q36" s="33" t="n">
        <f>962</f>
        <v>962.0</v>
      </c>
      <c r="R36" s="34" t="s">
        <v>51</v>
      </c>
      <c r="S36" s="35" t="n">
        <f>1025.4</f>
        <v>1025.4</v>
      </c>
      <c r="T36" s="32" t="n">
        <f>26406157</f>
        <v>2.6406157E7</v>
      </c>
      <c r="U36" s="32" t="n">
        <f>100</f>
        <v>100.0</v>
      </c>
      <c r="V36" s="32" t="n">
        <f>27194204341</f>
        <v>2.7194204341E10</v>
      </c>
      <c r="W36" s="32" t="n">
        <f>106000</f>
        <v>106000.0</v>
      </c>
      <c r="X36" s="36" t="n">
        <f>20</f>
        <v>20.0</v>
      </c>
    </row>
    <row r="37">
      <c r="A37" s="27" t="s">
        <v>42</v>
      </c>
      <c r="B37" s="27" t="s">
        <v>149</v>
      </c>
      <c r="C37" s="27" t="s">
        <v>150</v>
      </c>
      <c r="D37" s="27" t="s">
        <v>151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17315</f>
        <v>17315.0</v>
      </c>
      <c r="L37" s="34" t="s">
        <v>48</v>
      </c>
      <c r="M37" s="33" t="n">
        <f>18910</f>
        <v>18910.0</v>
      </c>
      <c r="N37" s="34" t="s">
        <v>49</v>
      </c>
      <c r="O37" s="33" t="n">
        <f>16635</f>
        <v>16635.0</v>
      </c>
      <c r="P37" s="34" t="s">
        <v>48</v>
      </c>
      <c r="Q37" s="33" t="n">
        <f>18525</f>
        <v>18525.0</v>
      </c>
      <c r="R37" s="34" t="s">
        <v>51</v>
      </c>
      <c r="S37" s="35" t="n">
        <f>17962.75</f>
        <v>17962.75</v>
      </c>
      <c r="T37" s="32" t="n">
        <f>132787</f>
        <v>132787.0</v>
      </c>
      <c r="U37" s="32" t="str">
        <f>"－"</f>
        <v>－</v>
      </c>
      <c r="V37" s="32" t="n">
        <f>2379594295</f>
        <v>2.379594295E9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152</v>
      </c>
      <c r="C38" s="27" t="s">
        <v>153</v>
      </c>
      <c r="D38" s="27" t="s">
        <v>154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1521</f>
        <v>1521.0</v>
      </c>
      <c r="L38" s="34" t="s">
        <v>48</v>
      </c>
      <c r="M38" s="33" t="n">
        <f>1582</f>
        <v>1582.0</v>
      </c>
      <c r="N38" s="34" t="s">
        <v>48</v>
      </c>
      <c r="O38" s="33" t="n">
        <f>1379</f>
        <v>1379.0</v>
      </c>
      <c r="P38" s="34" t="s">
        <v>49</v>
      </c>
      <c r="Q38" s="33" t="n">
        <f>1407</f>
        <v>1407.0</v>
      </c>
      <c r="R38" s="34" t="s">
        <v>51</v>
      </c>
      <c r="S38" s="35" t="n">
        <f>1458.75</f>
        <v>1458.75</v>
      </c>
      <c r="T38" s="32" t="n">
        <f>1359877</f>
        <v>1359877.0</v>
      </c>
      <c r="U38" s="32" t="str">
        <f>"－"</f>
        <v>－</v>
      </c>
      <c r="V38" s="32" t="n">
        <f>1989565670</f>
        <v>1.98956567E9</v>
      </c>
      <c r="W38" s="32" t="str">
        <f>"－"</f>
        <v>－</v>
      </c>
      <c r="X38" s="36" t="n">
        <f>20</f>
        <v>20.0</v>
      </c>
    </row>
    <row r="39">
      <c r="A39" s="27" t="s">
        <v>42</v>
      </c>
      <c r="B39" s="27" t="s">
        <v>155</v>
      </c>
      <c r="C39" s="27" t="s">
        <v>156</v>
      </c>
      <c r="D39" s="27" t="s">
        <v>157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26660</f>
        <v>26660.0</v>
      </c>
      <c r="L39" s="34" t="s">
        <v>48</v>
      </c>
      <c r="M39" s="33" t="n">
        <f>27995</f>
        <v>27995.0</v>
      </c>
      <c r="N39" s="34" t="s">
        <v>64</v>
      </c>
      <c r="O39" s="33" t="n">
        <f>26100</f>
        <v>26100.0</v>
      </c>
      <c r="P39" s="34" t="s">
        <v>48</v>
      </c>
      <c r="Q39" s="33" t="n">
        <f>27735</f>
        <v>27735.0</v>
      </c>
      <c r="R39" s="34" t="s">
        <v>51</v>
      </c>
      <c r="S39" s="35" t="n">
        <f>27017.75</f>
        <v>27017.75</v>
      </c>
      <c r="T39" s="32" t="n">
        <f>183233</f>
        <v>183233.0</v>
      </c>
      <c r="U39" s="32" t="n">
        <f>72827</f>
        <v>72827.0</v>
      </c>
      <c r="V39" s="32" t="n">
        <f>4963129340</f>
        <v>4.96312934E9</v>
      </c>
      <c r="W39" s="32" t="n">
        <f>1987086480</f>
        <v>1.98708648E9</v>
      </c>
      <c r="X39" s="36" t="n">
        <f>20</f>
        <v>20.0</v>
      </c>
    </row>
    <row r="40">
      <c r="A40" s="27" t="s">
        <v>42</v>
      </c>
      <c r="B40" s="27" t="s">
        <v>158</v>
      </c>
      <c r="C40" s="27" t="s">
        <v>159</v>
      </c>
      <c r="D40" s="27" t="s">
        <v>160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5150</f>
        <v>5150.0</v>
      </c>
      <c r="L40" s="34" t="s">
        <v>48</v>
      </c>
      <c r="M40" s="33" t="n">
        <f>5400</f>
        <v>5400.0</v>
      </c>
      <c r="N40" s="34" t="s">
        <v>161</v>
      </c>
      <c r="O40" s="33" t="n">
        <f>4950</f>
        <v>4950.0</v>
      </c>
      <c r="P40" s="34" t="s">
        <v>162</v>
      </c>
      <c r="Q40" s="33" t="n">
        <f>5130</f>
        <v>5130.0</v>
      </c>
      <c r="R40" s="34" t="s">
        <v>51</v>
      </c>
      <c r="S40" s="35" t="n">
        <f>5111.25</f>
        <v>5111.25</v>
      </c>
      <c r="T40" s="32" t="n">
        <f>5290</f>
        <v>5290.0</v>
      </c>
      <c r="U40" s="32" t="str">
        <f>"－"</f>
        <v>－</v>
      </c>
      <c r="V40" s="32" t="n">
        <f>27210095</f>
        <v>2.7210095E7</v>
      </c>
      <c r="W40" s="32" t="str">
        <f>"－"</f>
        <v>－</v>
      </c>
      <c r="X40" s="36" t="n">
        <f>20</f>
        <v>20.0</v>
      </c>
    </row>
    <row r="41">
      <c r="A41" s="27" t="s">
        <v>42</v>
      </c>
      <c r="B41" s="27" t="s">
        <v>163</v>
      </c>
      <c r="C41" s="27" t="s">
        <v>164</v>
      </c>
      <c r="D41" s="27" t="s">
        <v>165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9793</f>
        <v>9793.0</v>
      </c>
      <c r="L41" s="34" t="s">
        <v>48</v>
      </c>
      <c r="M41" s="33" t="n">
        <f>10045</f>
        <v>10045.0</v>
      </c>
      <c r="N41" s="34" t="s">
        <v>166</v>
      </c>
      <c r="O41" s="33" t="n">
        <f>9501</f>
        <v>9501.0</v>
      </c>
      <c r="P41" s="34" t="s">
        <v>68</v>
      </c>
      <c r="Q41" s="33" t="n">
        <f>9783</f>
        <v>9783.0</v>
      </c>
      <c r="R41" s="34" t="s">
        <v>51</v>
      </c>
      <c r="S41" s="35" t="n">
        <f>9748.06</f>
        <v>9748.06</v>
      </c>
      <c r="T41" s="32" t="n">
        <f>1220</f>
        <v>1220.0</v>
      </c>
      <c r="U41" s="32" t="str">
        <f>"－"</f>
        <v>－</v>
      </c>
      <c r="V41" s="32" t="n">
        <f>11952953</f>
        <v>1.1952953E7</v>
      </c>
      <c r="W41" s="32" t="str">
        <f>"－"</f>
        <v>－</v>
      </c>
      <c r="X41" s="36" t="n">
        <f>18</f>
        <v>18.0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17985</f>
        <v>17985.0</v>
      </c>
      <c r="L42" s="34" t="s">
        <v>48</v>
      </c>
      <c r="M42" s="33" t="n">
        <f>18280</f>
        <v>18280.0</v>
      </c>
      <c r="N42" s="34" t="s">
        <v>49</v>
      </c>
      <c r="O42" s="33" t="n">
        <f>16990</f>
        <v>16990.0</v>
      </c>
      <c r="P42" s="34" t="s">
        <v>170</v>
      </c>
      <c r="Q42" s="33" t="n">
        <f>18110</f>
        <v>18110.0</v>
      </c>
      <c r="R42" s="34" t="s">
        <v>72</v>
      </c>
      <c r="S42" s="35" t="n">
        <f>17764.58</f>
        <v>17764.58</v>
      </c>
      <c r="T42" s="32" t="n">
        <f>49</f>
        <v>49.0</v>
      </c>
      <c r="U42" s="32" t="str">
        <f>"－"</f>
        <v>－</v>
      </c>
      <c r="V42" s="32" t="n">
        <f>853565</f>
        <v>853565.0</v>
      </c>
      <c r="W42" s="32" t="str">
        <f>"－"</f>
        <v>－</v>
      </c>
      <c r="X42" s="36" t="n">
        <f>12</f>
        <v>12.0</v>
      </c>
    </row>
    <row r="43">
      <c r="A43" s="27" t="s">
        <v>42</v>
      </c>
      <c r="B43" s="27" t="s">
        <v>171</v>
      </c>
      <c r="C43" s="27" t="s">
        <v>172</v>
      </c>
      <c r="D43" s="27" t="s">
        <v>173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15000</f>
        <v>15000.0</v>
      </c>
      <c r="L43" s="34" t="s">
        <v>174</v>
      </c>
      <c r="M43" s="33" t="n">
        <f>15915</f>
        <v>15915.0</v>
      </c>
      <c r="N43" s="34" t="s">
        <v>175</v>
      </c>
      <c r="O43" s="33" t="n">
        <f>15000</f>
        <v>15000.0</v>
      </c>
      <c r="P43" s="34" t="s">
        <v>174</v>
      </c>
      <c r="Q43" s="33" t="n">
        <f>15050</f>
        <v>15050.0</v>
      </c>
      <c r="R43" s="34" t="s">
        <v>176</v>
      </c>
      <c r="S43" s="35" t="n">
        <f>15301.67</f>
        <v>15301.67</v>
      </c>
      <c r="T43" s="32" t="n">
        <f>60</f>
        <v>60.0</v>
      </c>
      <c r="U43" s="32" t="str">
        <f>"－"</f>
        <v>－</v>
      </c>
      <c r="V43" s="32" t="n">
        <f>904985</f>
        <v>904985.0</v>
      </c>
      <c r="W43" s="32" t="str">
        <f>"－"</f>
        <v>－</v>
      </c>
      <c r="X43" s="36" t="n">
        <f>6</f>
        <v>6.0</v>
      </c>
    </row>
    <row r="44">
      <c r="A44" s="27" t="s">
        <v>42</v>
      </c>
      <c r="B44" s="27" t="s">
        <v>177</v>
      </c>
      <c r="C44" s="27" t="s">
        <v>178</v>
      </c>
      <c r="D44" s="27" t="s">
        <v>179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11290</f>
        <v>11290.0</v>
      </c>
      <c r="L44" s="34" t="s">
        <v>48</v>
      </c>
      <c r="M44" s="33" t="n">
        <f>11380</f>
        <v>11380.0</v>
      </c>
      <c r="N44" s="34" t="s">
        <v>175</v>
      </c>
      <c r="O44" s="33" t="n">
        <f>10750</f>
        <v>10750.0</v>
      </c>
      <c r="P44" s="34" t="s">
        <v>170</v>
      </c>
      <c r="Q44" s="33" t="n">
        <f>11100</f>
        <v>11100.0</v>
      </c>
      <c r="R44" s="34" t="s">
        <v>51</v>
      </c>
      <c r="S44" s="35" t="n">
        <f>11041.05</f>
        <v>11041.05</v>
      </c>
      <c r="T44" s="32" t="n">
        <f>1351</f>
        <v>1351.0</v>
      </c>
      <c r="U44" s="32" t="str">
        <f>"－"</f>
        <v>－</v>
      </c>
      <c r="V44" s="32" t="n">
        <f>14901320</f>
        <v>1.490132E7</v>
      </c>
      <c r="W44" s="32" t="str">
        <f>"－"</f>
        <v>－</v>
      </c>
      <c r="X44" s="36" t="n">
        <f>19</f>
        <v>19.0</v>
      </c>
    </row>
    <row r="45">
      <c r="A45" s="27" t="s">
        <v>42</v>
      </c>
      <c r="B45" s="27" t="s">
        <v>180</v>
      </c>
      <c r="C45" s="27" t="s">
        <v>181</v>
      </c>
      <c r="D45" s="27" t="s">
        <v>182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5580</f>
        <v>5580.0</v>
      </c>
      <c r="L45" s="34" t="s">
        <v>48</v>
      </c>
      <c r="M45" s="33" t="n">
        <f>5800</f>
        <v>5800.0</v>
      </c>
      <c r="N45" s="34" t="s">
        <v>93</v>
      </c>
      <c r="O45" s="33" t="n">
        <f>5360</f>
        <v>5360.0</v>
      </c>
      <c r="P45" s="34" t="s">
        <v>170</v>
      </c>
      <c r="Q45" s="33" t="n">
        <f>5590</f>
        <v>5590.0</v>
      </c>
      <c r="R45" s="34" t="s">
        <v>51</v>
      </c>
      <c r="S45" s="35" t="n">
        <f>5640</f>
        <v>5640.0</v>
      </c>
      <c r="T45" s="32" t="n">
        <f>2569</f>
        <v>2569.0</v>
      </c>
      <c r="U45" s="32" t="str">
        <f>"－"</f>
        <v>－</v>
      </c>
      <c r="V45" s="32" t="n">
        <f>14423210</f>
        <v>1.442321E7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183</v>
      </c>
      <c r="C46" s="27" t="s">
        <v>184</v>
      </c>
      <c r="D46" s="27" t="s">
        <v>185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3035</f>
        <v>3035.0</v>
      </c>
      <c r="L46" s="34" t="s">
        <v>48</v>
      </c>
      <c r="M46" s="33" t="n">
        <f>3150</f>
        <v>3150.0</v>
      </c>
      <c r="N46" s="34" t="s">
        <v>72</v>
      </c>
      <c r="O46" s="33" t="n">
        <f>2962</f>
        <v>2962.0</v>
      </c>
      <c r="P46" s="34" t="s">
        <v>170</v>
      </c>
      <c r="Q46" s="33" t="n">
        <f>3060</f>
        <v>3060.0</v>
      </c>
      <c r="R46" s="34" t="s">
        <v>51</v>
      </c>
      <c r="S46" s="35" t="n">
        <f>3047.1</f>
        <v>3047.1</v>
      </c>
      <c r="T46" s="32" t="n">
        <f>12957</f>
        <v>12957.0</v>
      </c>
      <c r="U46" s="32" t="str">
        <f>"－"</f>
        <v>－</v>
      </c>
      <c r="V46" s="32" t="n">
        <f>39513680</f>
        <v>3.951368E7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186</v>
      </c>
      <c r="C47" s="27" t="s">
        <v>187</v>
      </c>
      <c r="D47" s="27" t="s">
        <v>188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3100</f>
        <v>3100.0</v>
      </c>
      <c r="L47" s="34" t="s">
        <v>48</v>
      </c>
      <c r="M47" s="33" t="n">
        <f>3140</f>
        <v>3140.0</v>
      </c>
      <c r="N47" s="34" t="s">
        <v>49</v>
      </c>
      <c r="O47" s="33" t="n">
        <f>2980</f>
        <v>2980.0</v>
      </c>
      <c r="P47" s="34" t="s">
        <v>170</v>
      </c>
      <c r="Q47" s="33" t="n">
        <f>3050</f>
        <v>3050.0</v>
      </c>
      <c r="R47" s="34" t="s">
        <v>51</v>
      </c>
      <c r="S47" s="35" t="n">
        <f>3058.25</f>
        <v>3058.25</v>
      </c>
      <c r="T47" s="32" t="n">
        <f>937</f>
        <v>937.0</v>
      </c>
      <c r="U47" s="32" t="str">
        <f>"－"</f>
        <v>－</v>
      </c>
      <c r="V47" s="32" t="n">
        <f>2883362</f>
        <v>2883362.0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189</v>
      </c>
      <c r="C48" s="27" t="s">
        <v>190</v>
      </c>
      <c r="D48" s="27" t="s">
        <v>191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50880</f>
        <v>50880.0</v>
      </c>
      <c r="L48" s="34" t="s">
        <v>48</v>
      </c>
      <c r="M48" s="33" t="n">
        <f>53970</f>
        <v>53970.0</v>
      </c>
      <c r="N48" s="34" t="s">
        <v>49</v>
      </c>
      <c r="O48" s="33" t="n">
        <f>49800</f>
        <v>49800.0</v>
      </c>
      <c r="P48" s="34" t="s">
        <v>48</v>
      </c>
      <c r="Q48" s="33" t="n">
        <f>52550</f>
        <v>52550.0</v>
      </c>
      <c r="R48" s="34" t="s">
        <v>51</v>
      </c>
      <c r="S48" s="35" t="n">
        <f>51905</f>
        <v>51905.0</v>
      </c>
      <c r="T48" s="32" t="n">
        <f>998</f>
        <v>998.0</v>
      </c>
      <c r="U48" s="32" t="str">
        <f>"－"</f>
        <v>－</v>
      </c>
      <c r="V48" s="32" t="n">
        <f>52263230</f>
        <v>5.226323E7</v>
      </c>
      <c r="W48" s="32" t="str">
        <f>"－"</f>
        <v>－</v>
      </c>
      <c r="X48" s="36" t="n">
        <f>20</f>
        <v>20.0</v>
      </c>
    </row>
    <row r="49">
      <c r="A49" s="27" t="s">
        <v>42</v>
      </c>
      <c r="B49" s="27" t="s">
        <v>192</v>
      </c>
      <c r="C49" s="27" t="s">
        <v>193</v>
      </c>
      <c r="D49" s="27" t="s">
        <v>194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35900</f>
        <v>35900.0</v>
      </c>
      <c r="L49" s="34" t="s">
        <v>170</v>
      </c>
      <c r="M49" s="33" t="n">
        <f>37480</f>
        <v>37480.0</v>
      </c>
      <c r="N49" s="34" t="s">
        <v>176</v>
      </c>
      <c r="O49" s="33" t="n">
        <f>35900</f>
        <v>35900.0</v>
      </c>
      <c r="P49" s="34" t="s">
        <v>170</v>
      </c>
      <c r="Q49" s="33" t="n">
        <f>36690</f>
        <v>36690.0</v>
      </c>
      <c r="R49" s="34" t="s">
        <v>64</v>
      </c>
      <c r="S49" s="35" t="n">
        <f>36606</f>
        <v>36606.0</v>
      </c>
      <c r="T49" s="32" t="n">
        <f>75</f>
        <v>75.0</v>
      </c>
      <c r="U49" s="32" t="n">
        <f>2</f>
        <v>2.0</v>
      </c>
      <c r="V49" s="32" t="n">
        <f>2754970</f>
        <v>2754970.0</v>
      </c>
      <c r="W49" s="32" t="n">
        <f>73520</f>
        <v>73520.0</v>
      </c>
      <c r="X49" s="36" t="n">
        <f>10</f>
        <v>10.0</v>
      </c>
    </row>
    <row r="50">
      <c r="A50" s="27" t="s">
        <v>42</v>
      </c>
      <c r="B50" s="27" t="s">
        <v>195</v>
      </c>
      <c r="C50" s="27" t="s">
        <v>196</v>
      </c>
      <c r="D50" s="27" t="s">
        <v>197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26685</f>
        <v>26685.0</v>
      </c>
      <c r="L50" s="34" t="s">
        <v>48</v>
      </c>
      <c r="M50" s="33" t="n">
        <f>28230</f>
        <v>28230.0</v>
      </c>
      <c r="N50" s="34" t="s">
        <v>49</v>
      </c>
      <c r="O50" s="33" t="n">
        <f>26110</f>
        <v>26110.0</v>
      </c>
      <c r="P50" s="34" t="s">
        <v>48</v>
      </c>
      <c r="Q50" s="33" t="n">
        <f>28010</f>
        <v>28010.0</v>
      </c>
      <c r="R50" s="34" t="s">
        <v>51</v>
      </c>
      <c r="S50" s="35" t="n">
        <f>27200.88</f>
        <v>27200.88</v>
      </c>
      <c r="T50" s="32" t="n">
        <f>813835</f>
        <v>813835.0</v>
      </c>
      <c r="U50" s="32" t="n">
        <f>810549</f>
        <v>810549.0</v>
      </c>
      <c r="V50" s="32" t="n">
        <f>22281705226</f>
        <v>2.2281705226E10</v>
      </c>
      <c r="W50" s="32" t="n">
        <f>22190329756</f>
        <v>2.2190329756E10</v>
      </c>
      <c r="X50" s="36" t="n">
        <f>17</f>
        <v>17.0</v>
      </c>
    </row>
    <row r="51">
      <c r="A51" s="27" t="s">
        <v>42</v>
      </c>
      <c r="B51" s="27" t="s">
        <v>198</v>
      </c>
      <c r="C51" s="27" t="s">
        <v>199</v>
      </c>
      <c r="D51" s="27" t="s">
        <v>200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1989.5</f>
        <v>1989.5</v>
      </c>
      <c r="L51" s="34" t="s">
        <v>48</v>
      </c>
      <c r="M51" s="33" t="n">
        <f>2067.5</f>
        <v>2067.5</v>
      </c>
      <c r="N51" s="34" t="s">
        <v>51</v>
      </c>
      <c r="O51" s="33" t="n">
        <f>1986</f>
        <v>1986.0</v>
      </c>
      <c r="P51" s="34" t="s">
        <v>48</v>
      </c>
      <c r="Q51" s="33" t="n">
        <f>2067.5</f>
        <v>2067.5</v>
      </c>
      <c r="R51" s="34" t="s">
        <v>51</v>
      </c>
      <c r="S51" s="35" t="n">
        <f>2019.92</f>
        <v>2019.92</v>
      </c>
      <c r="T51" s="32" t="n">
        <f>189820</f>
        <v>189820.0</v>
      </c>
      <c r="U51" s="32" t="n">
        <f>159730</f>
        <v>159730.0</v>
      </c>
      <c r="V51" s="32" t="n">
        <f>380536482</f>
        <v>3.80536482E8</v>
      </c>
      <c r="W51" s="32" t="n">
        <f>319443302</f>
        <v>3.19443302E8</v>
      </c>
      <c r="X51" s="36" t="n">
        <f>19</f>
        <v>19.0</v>
      </c>
    </row>
    <row r="52">
      <c r="A52" s="27" t="s">
        <v>42</v>
      </c>
      <c r="B52" s="27" t="s">
        <v>201</v>
      </c>
      <c r="C52" s="27" t="s">
        <v>202</v>
      </c>
      <c r="D52" s="27" t="s">
        <v>203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1617</f>
        <v>1617.0</v>
      </c>
      <c r="L52" s="34" t="s">
        <v>48</v>
      </c>
      <c r="M52" s="33" t="n">
        <f>1648</f>
        <v>1648.0</v>
      </c>
      <c r="N52" s="34" t="s">
        <v>176</v>
      </c>
      <c r="O52" s="33" t="n">
        <f>1587</f>
        <v>1587.0</v>
      </c>
      <c r="P52" s="34" t="s">
        <v>48</v>
      </c>
      <c r="Q52" s="33" t="n">
        <f>1640</f>
        <v>1640.0</v>
      </c>
      <c r="R52" s="34" t="s">
        <v>51</v>
      </c>
      <c r="S52" s="35" t="n">
        <f>1621.47</f>
        <v>1621.47</v>
      </c>
      <c r="T52" s="32" t="n">
        <f>67470</f>
        <v>67470.0</v>
      </c>
      <c r="U52" s="32" t="n">
        <f>65980</f>
        <v>65980.0</v>
      </c>
      <c r="V52" s="32" t="n">
        <f>108447153</f>
        <v>1.08447153E8</v>
      </c>
      <c r="W52" s="32" t="n">
        <f>106019303</f>
        <v>1.06019303E8</v>
      </c>
      <c r="X52" s="36" t="n">
        <f>17</f>
        <v>17.0</v>
      </c>
    </row>
    <row r="53">
      <c r="A53" s="27" t="s">
        <v>42</v>
      </c>
      <c r="B53" s="27" t="s">
        <v>204</v>
      </c>
      <c r="C53" s="27" t="s">
        <v>205</v>
      </c>
      <c r="D53" s="27" t="s">
        <v>206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4415</f>
        <v>4415.0</v>
      </c>
      <c r="L53" s="34" t="s">
        <v>48</v>
      </c>
      <c r="M53" s="33" t="n">
        <f>4500</f>
        <v>4500.0</v>
      </c>
      <c r="N53" s="34" t="s">
        <v>48</v>
      </c>
      <c r="O53" s="33" t="n">
        <f>4140</f>
        <v>4140.0</v>
      </c>
      <c r="P53" s="34" t="s">
        <v>64</v>
      </c>
      <c r="Q53" s="33" t="n">
        <f>4175</f>
        <v>4175.0</v>
      </c>
      <c r="R53" s="34" t="s">
        <v>51</v>
      </c>
      <c r="S53" s="35" t="n">
        <f>4312.25</f>
        <v>4312.25</v>
      </c>
      <c r="T53" s="32" t="n">
        <f>945806</f>
        <v>945806.0</v>
      </c>
      <c r="U53" s="32" t="n">
        <f>700000</f>
        <v>700000.0</v>
      </c>
      <c r="V53" s="32" t="n">
        <f>4005122780</f>
        <v>4.00512278E9</v>
      </c>
      <c r="W53" s="32" t="n">
        <f>2950770000</f>
        <v>2.95077E9</v>
      </c>
      <c r="X53" s="36" t="n">
        <f>20</f>
        <v>20.0</v>
      </c>
    </row>
    <row r="54">
      <c r="A54" s="27" t="s">
        <v>42</v>
      </c>
      <c r="B54" s="27" t="s">
        <v>207</v>
      </c>
      <c r="C54" s="27" t="s">
        <v>208</v>
      </c>
      <c r="D54" s="27" t="s">
        <v>209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5180</f>
        <v>5180.0</v>
      </c>
      <c r="L54" s="34" t="s">
        <v>48</v>
      </c>
      <c r="M54" s="33" t="n">
        <f>5250</f>
        <v>5250.0</v>
      </c>
      <c r="N54" s="34" t="s">
        <v>48</v>
      </c>
      <c r="O54" s="33" t="n">
        <f>4920</f>
        <v>4920.0</v>
      </c>
      <c r="P54" s="34" t="s">
        <v>49</v>
      </c>
      <c r="Q54" s="33" t="n">
        <f>4970</f>
        <v>4970.0</v>
      </c>
      <c r="R54" s="34" t="s">
        <v>51</v>
      </c>
      <c r="S54" s="35" t="n">
        <f>5058.25</f>
        <v>5058.25</v>
      </c>
      <c r="T54" s="32" t="n">
        <f>786894</f>
        <v>786894.0</v>
      </c>
      <c r="U54" s="32" t="n">
        <f>560000</f>
        <v>560000.0</v>
      </c>
      <c r="V54" s="32" t="n">
        <f>3939013455</f>
        <v>3.939013455E9</v>
      </c>
      <c r="W54" s="32" t="n">
        <f>2810721400</f>
        <v>2.8107214E9</v>
      </c>
      <c r="X54" s="36" t="n">
        <f>20</f>
        <v>20.0</v>
      </c>
    </row>
    <row r="55">
      <c r="A55" s="27" t="s">
        <v>42</v>
      </c>
      <c r="B55" s="27" t="s">
        <v>210</v>
      </c>
      <c r="C55" s="27" t="s">
        <v>211</v>
      </c>
      <c r="D55" s="27" t="s">
        <v>212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15345</f>
        <v>15345.0</v>
      </c>
      <c r="L55" s="34" t="s">
        <v>48</v>
      </c>
      <c r="M55" s="33" t="n">
        <f>17245</f>
        <v>17245.0</v>
      </c>
      <c r="N55" s="34" t="s">
        <v>64</v>
      </c>
      <c r="O55" s="33" t="n">
        <f>14685</f>
        <v>14685.0</v>
      </c>
      <c r="P55" s="34" t="s">
        <v>48</v>
      </c>
      <c r="Q55" s="33" t="n">
        <f>16950</f>
        <v>16950.0</v>
      </c>
      <c r="R55" s="34" t="s">
        <v>51</v>
      </c>
      <c r="S55" s="35" t="n">
        <f>16010.75</f>
        <v>16010.75</v>
      </c>
      <c r="T55" s="32" t="n">
        <f>19822557</f>
        <v>1.9822557E7</v>
      </c>
      <c r="U55" s="32" t="n">
        <f>25155</f>
        <v>25155.0</v>
      </c>
      <c r="V55" s="32" t="n">
        <f>315020860142</f>
        <v>3.15020860142E11</v>
      </c>
      <c r="W55" s="32" t="n">
        <f>374337847</f>
        <v>3.74337847E8</v>
      </c>
      <c r="X55" s="36" t="n">
        <f>20</f>
        <v>20.0</v>
      </c>
    </row>
    <row r="56">
      <c r="A56" s="27" t="s">
        <v>42</v>
      </c>
      <c r="B56" s="27" t="s">
        <v>213</v>
      </c>
      <c r="C56" s="27" t="s">
        <v>214</v>
      </c>
      <c r="D56" s="27" t="s">
        <v>215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1652</f>
        <v>1652.0</v>
      </c>
      <c r="L56" s="34" t="s">
        <v>48</v>
      </c>
      <c r="M56" s="33" t="n">
        <f>1725</f>
        <v>1725.0</v>
      </c>
      <c r="N56" s="34" t="s">
        <v>48</v>
      </c>
      <c r="O56" s="33" t="n">
        <f>1456</f>
        <v>1456.0</v>
      </c>
      <c r="P56" s="34" t="s">
        <v>64</v>
      </c>
      <c r="Q56" s="33" t="n">
        <f>1479</f>
        <v>1479.0</v>
      </c>
      <c r="R56" s="34" t="s">
        <v>51</v>
      </c>
      <c r="S56" s="35" t="n">
        <f>1577.55</f>
        <v>1577.55</v>
      </c>
      <c r="T56" s="32" t="n">
        <f>242101397</f>
        <v>2.42101397E8</v>
      </c>
      <c r="U56" s="32" t="n">
        <f>646</f>
        <v>646.0</v>
      </c>
      <c r="V56" s="32" t="n">
        <f>385206158650</f>
        <v>3.8520615865E11</v>
      </c>
      <c r="W56" s="32" t="n">
        <f>996946</f>
        <v>996946.0</v>
      </c>
      <c r="X56" s="36" t="n">
        <f>20</f>
        <v>20.0</v>
      </c>
    </row>
    <row r="57">
      <c r="A57" s="27" t="s">
        <v>42</v>
      </c>
      <c r="B57" s="27" t="s">
        <v>216</v>
      </c>
      <c r="C57" s="27" t="s">
        <v>217</v>
      </c>
      <c r="D57" s="27" t="s">
        <v>218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13590</f>
        <v>13590.0</v>
      </c>
      <c r="L57" s="34" t="s">
        <v>48</v>
      </c>
      <c r="M57" s="33" t="n">
        <f>14935</f>
        <v>14935.0</v>
      </c>
      <c r="N57" s="34" t="s">
        <v>49</v>
      </c>
      <c r="O57" s="33" t="n">
        <f>13250</f>
        <v>13250.0</v>
      </c>
      <c r="P57" s="34" t="s">
        <v>48</v>
      </c>
      <c r="Q57" s="33" t="n">
        <f>14805</f>
        <v>14805.0</v>
      </c>
      <c r="R57" s="34" t="s">
        <v>51</v>
      </c>
      <c r="S57" s="35" t="n">
        <f>14189.5</f>
        <v>14189.5</v>
      </c>
      <c r="T57" s="32" t="n">
        <f>3722</f>
        <v>3722.0</v>
      </c>
      <c r="U57" s="32" t="str">
        <f>"－"</f>
        <v>－</v>
      </c>
      <c r="V57" s="32" t="n">
        <f>53317820</f>
        <v>5.331782E7</v>
      </c>
      <c r="W57" s="32" t="str">
        <f>"－"</f>
        <v>－</v>
      </c>
      <c r="X57" s="36" t="n">
        <f>20</f>
        <v>20.0</v>
      </c>
    </row>
    <row r="58">
      <c r="A58" s="27" t="s">
        <v>42</v>
      </c>
      <c r="B58" s="27" t="s">
        <v>219</v>
      </c>
      <c r="C58" s="27" t="s">
        <v>220</v>
      </c>
      <c r="D58" s="27" t="s">
        <v>221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5070</f>
        <v>5070.0</v>
      </c>
      <c r="L58" s="34" t="s">
        <v>48</v>
      </c>
      <c r="M58" s="33" t="n">
        <f>5130</f>
        <v>5130.0</v>
      </c>
      <c r="N58" s="34" t="s">
        <v>48</v>
      </c>
      <c r="O58" s="33" t="n">
        <f>4765</f>
        <v>4765.0</v>
      </c>
      <c r="P58" s="34" t="s">
        <v>64</v>
      </c>
      <c r="Q58" s="33" t="n">
        <f>4830</f>
        <v>4830.0</v>
      </c>
      <c r="R58" s="34" t="s">
        <v>51</v>
      </c>
      <c r="S58" s="35" t="n">
        <f>4901.43</f>
        <v>4901.43</v>
      </c>
      <c r="T58" s="32" t="n">
        <f>747</f>
        <v>747.0</v>
      </c>
      <c r="U58" s="32" t="str">
        <f>"－"</f>
        <v>－</v>
      </c>
      <c r="V58" s="32" t="n">
        <f>3706310</f>
        <v>3706310.0</v>
      </c>
      <c r="W58" s="32" t="str">
        <f>"－"</f>
        <v>－</v>
      </c>
      <c r="X58" s="36" t="n">
        <f>14</f>
        <v>14.0</v>
      </c>
    </row>
    <row r="59">
      <c r="A59" s="27" t="s">
        <v>42</v>
      </c>
      <c r="B59" s="27" t="s">
        <v>222</v>
      </c>
      <c r="C59" s="27" t="s">
        <v>223</v>
      </c>
      <c r="D59" s="27" t="s">
        <v>224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1977</f>
        <v>1977.0</v>
      </c>
      <c r="L59" s="34" t="s">
        <v>48</v>
      </c>
      <c r="M59" s="33" t="n">
        <f>2059</f>
        <v>2059.0</v>
      </c>
      <c r="N59" s="34" t="s">
        <v>48</v>
      </c>
      <c r="O59" s="33" t="n">
        <f>1794</f>
        <v>1794.0</v>
      </c>
      <c r="P59" s="34" t="s">
        <v>64</v>
      </c>
      <c r="Q59" s="33" t="n">
        <f>1829</f>
        <v>1829.0</v>
      </c>
      <c r="R59" s="34" t="s">
        <v>51</v>
      </c>
      <c r="S59" s="35" t="n">
        <f>1895.05</f>
        <v>1895.05</v>
      </c>
      <c r="T59" s="32" t="n">
        <f>23623</f>
        <v>23623.0</v>
      </c>
      <c r="U59" s="32" t="str">
        <f>"－"</f>
        <v>－</v>
      </c>
      <c r="V59" s="32" t="n">
        <f>45233836</f>
        <v>4.5233836E7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225</v>
      </c>
      <c r="C60" s="27" t="s">
        <v>226</v>
      </c>
      <c r="D60" s="27" t="s">
        <v>227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13045</f>
        <v>13045.0</v>
      </c>
      <c r="L60" s="34" t="s">
        <v>48</v>
      </c>
      <c r="M60" s="33" t="n">
        <f>14400</f>
        <v>14400.0</v>
      </c>
      <c r="N60" s="34" t="s">
        <v>161</v>
      </c>
      <c r="O60" s="33" t="n">
        <f>12400</f>
        <v>12400.0</v>
      </c>
      <c r="P60" s="34" t="s">
        <v>48</v>
      </c>
      <c r="Q60" s="33" t="n">
        <f>13720</f>
        <v>13720.0</v>
      </c>
      <c r="R60" s="34" t="s">
        <v>51</v>
      </c>
      <c r="S60" s="35" t="n">
        <f>13403.95</f>
        <v>13403.95</v>
      </c>
      <c r="T60" s="32" t="n">
        <f>4310</f>
        <v>4310.0</v>
      </c>
      <c r="U60" s="32" t="str">
        <f>"－"</f>
        <v>－</v>
      </c>
      <c r="V60" s="32" t="n">
        <f>57935250</f>
        <v>5.793525E7</v>
      </c>
      <c r="W60" s="32" t="str">
        <f>"－"</f>
        <v>－</v>
      </c>
      <c r="X60" s="36" t="n">
        <f>19</f>
        <v>19.0</v>
      </c>
    </row>
    <row r="61">
      <c r="A61" s="27" t="s">
        <v>42</v>
      </c>
      <c r="B61" s="27" t="s">
        <v>228</v>
      </c>
      <c r="C61" s="27" t="s">
        <v>229</v>
      </c>
      <c r="D61" s="27" t="s">
        <v>230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4530</f>
        <v>4530.0</v>
      </c>
      <c r="L61" s="34" t="s">
        <v>48</v>
      </c>
      <c r="M61" s="33" t="n">
        <f>4530</f>
        <v>4530.0</v>
      </c>
      <c r="N61" s="34" t="s">
        <v>48</v>
      </c>
      <c r="O61" s="33" t="n">
        <f>4412</f>
        <v>4412.0</v>
      </c>
      <c r="P61" s="34" t="s">
        <v>231</v>
      </c>
      <c r="Q61" s="33" t="n">
        <f>4412</f>
        <v>4412.0</v>
      </c>
      <c r="R61" s="34" t="s">
        <v>174</v>
      </c>
      <c r="S61" s="35" t="n">
        <f>4451.33</f>
        <v>4451.33</v>
      </c>
      <c r="T61" s="32" t="n">
        <f>1160</f>
        <v>1160.0</v>
      </c>
      <c r="U61" s="32" t="str">
        <f>"－"</f>
        <v>－</v>
      </c>
      <c r="V61" s="32" t="n">
        <f>5250080</f>
        <v>5250080.0</v>
      </c>
      <c r="W61" s="32" t="str">
        <f>"－"</f>
        <v>－</v>
      </c>
      <c r="X61" s="36" t="n">
        <f>3</f>
        <v>3.0</v>
      </c>
    </row>
    <row r="62">
      <c r="A62" s="27" t="s">
        <v>42</v>
      </c>
      <c r="B62" s="27" t="s">
        <v>232</v>
      </c>
      <c r="C62" s="27" t="s">
        <v>233</v>
      </c>
      <c r="D62" s="27" t="s">
        <v>234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1938</f>
        <v>1938.0</v>
      </c>
      <c r="L62" s="34" t="s">
        <v>48</v>
      </c>
      <c r="M62" s="33" t="n">
        <f>2040</f>
        <v>2040.0</v>
      </c>
      <c r="N62" s="34" t="s">
        <v>50</v>
      </c>
      <c r="O62" s="33" t="n">
        <f>1770</f>
        <v>1770.0</v>
      </c>
      <c r="P62" s="34" t="s">
        <v>49</v>
      </c>
      <c r="Q62" s="33" t="n">
        <f>1809</f>
        <v>1809.0</v>
      </c>
      <c r="R62" s="34" t="s">
        <v>51</v>
      </c>
      <c r="S62" s="35" t="n">
        <f>1870.8</f>
        <v>1870.8</v>
      </c>
      <c r="T62" s="32" t="n">
        <f>86340</f>
        <v>86340.0</v>
      </c>
      <c r="U62" s="32" t="str">
        <f>"－"</f>
        <v>－</v>
      </c>
      <c r="V62" s="32" t="n">
        <f>159164820</f>
        <v>1.5916482E8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235</v>
      </c>
      <c r="C63" s="27" t="s">
        <v>236</v>
      </c>
      <c r="D63" s="27" t="s">
        <v>237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798</f>
        <v>798.0</v>
      </c>
      <c r="L63" s="34" t="s">
        <v>48</v>
      </c>
      <c r="M63" s="33" t="n">
        <f>839</f>
        <v>839.0</v>
      </c>
      <c r="N63" s="34" t="s">
        <v>48</v>
      </c>
      <c r="O63" s="33" t="n">
        <f>720</f>
        <v>720.0</v>
      </c>
      <c r="P63" s="34" t="s">
        <v>49</v>
      </c>
      <c r="Q63" s="33" t="n">
        <f>731</f>
        <v>731.0</v>
      </c>
      <c r="R63" s="34" t="s">
        <v>51</v>
      </c>
      <c r="S63" s="35" t="n">
        <f>759.15</f>
        <v>759.15</v>
      </c>
      <c r="T63" s="32" t="n">
        <f>34078</f>
        <v>34078.0</v>
      </c>
      <c r="U63" s="32" t="str">
        <f>"－"</f>
        <v>－</v>
      </c>
      <c r="V63" s="32" t="n">
        <f>26066491</f>
        <v>2.6066491E7</v>
      </c>
      <c r="W63" s="32" t="str">
        <f>"－"</f>
        <v>－</v>
      </c>
      <c r="X63" s="36" t="n">
        <f>20</f>
        <v>20.0</v>
      </c>
    </row>
    <row r="64">
      <c r="A64" s="27" t="s">
        <v>42</v>
      </c>
      <c r="B64" s="27" t="s">
        <v>238</v>
      </c>
      <c r="C64" s="27" t="s">
        <v>239</v>
      </c>
      <c r="D64" s="27" t="s">
        <v>240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1927.5</f>
        <v>1927.5</v>
      </c>
      <c r="L64" s="34" t="s">
        <v>48</v>
      </c>
      <c r="M64" s="33" t="n">
        <f>1980.5</f>
        <v>1980.5</v>
      </c>
      <c r="N64" s="34" t="s">
        <v>49</v>
      </c>
      <c r="O64" s="33" t="n">
        <f>1881.5</f>
        <v>1881.5</v>
      </c>
      <c r="P64" s="34" t="s">
        <v>50</v>
      </c>
      <c r="Q64" s="33" t="n">
        <f>1959.5</f>
        <v>1959.5</v>
      </c>
      <c r="R64" s="34" t="s">
        <v>51</v>
      </c>
      <c r="S64" s="35" t="n">
        <f>1935.73</f>
        <v>1935.73</v>
      </c>
      <c r="T64" s="32" t="n">
        <f>670240</f>
        <v>670240.0</v>
      </c>
      <c r="U64" s="32" t="str">
        <f>"－"</f>
        <v>－</v>
      </c>
      <c r="V64" s="32" t="n">
        <f>1285396690</f>
        <v>1.28539669E9</v>
      </c>
      <c r="W64" s="32" t="str">
        <f>"－"</f>
        <v>－</v>
      </c>
      <c r="X64" s="36" t="n">
        <f>20</f>
        <v>20.0</v>
      </c>
    </row>
    <row r="65">
      <c r="A65" s="27" t="s">
        <v>42</v>
      </c>
      <c r="B65" s="27" t="s">
        <v>241</v>
      </c>
      <c r="C65" s="27" t="s">
        <v>242</v>
      </c>
      <c r="D65" s="27" t="s">
        <v>243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17055</f>
        <v>17055.0</v>
      </c>
      <c r="L65" s="34" t="s">
        <v>48</v>
      </c>
      <c r="M65" s="33" t="n">
        <f>17750</f>
        <v>17750.0</v>
      </c>
      <c r="N65" s="34" t="s">
        <v>49</v>
      </c>
      <c r="O65" s="33" t="n">
        <f>16860</f>
        <v>16860.0</v>
      </c>
      <c r="P65" s="34" t="s">
        <v>48</v>
      </c>
      <c r="Q65" s="33" t="n">
        <f>17530</f>
        <v>17530.0</v>
      </c>
      <c r="R65" s="34" t="s">
        <v>51</v>
      </c>
      <c r="S65" s="35" t="n">
        <f>17329.25</f>
        <v>17329.25</v>
      </c>
      <c r="T65" s="32" t="n">
        <f>5477</f>
        <v>5477.0</v>
      </c>
      <c r="U65" s="32" t="str">
        <f>"－"</f>
        <v>－</v>
      </c>
      <c r="V65" s="32" t="n">
        <f>93562375</f>
        <v>9.3562375E7</v>
      </c>
      <c r="W65" s="32" t="str">
        <f>"－"</f>
        <v>－</v>
      </c>
      <c r="X65" s="36" t="n">
        <f>20</f>
        <v>20.0</v>
      </c>
    </row>
    <row r="66">
      <c r="A66" s="27" t="s">
        <v>42</v>
      </c>
      <c r="B66" s="27" t="s">
        <v>244</v>
      </c>
      <c r="C66" s="27" t="s">
        <v>245</v>
      </c>
      <c r="D66" s="27" t="s">
        <v>246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1933</f>
        <v>1933.0</v>
      </c>
      <c r="L66" s="34" t="s">
        <v>48</v>
      </c>
      <c r="M66" s="33" t="n">
        <f>2022</f>
        <v>2022.0</v>
      </c>
      <c r="N66" s="34" t="s">
        <v>49</v>
      </c>
      <c r="O66" s="33" t="n">
        <f>1896</f>
        <v>1896.0</v>
      </c>
      <c r="P66" s="34" t="s">
        <v>48</v>
      </c>
      <c r="Q66" s="33" t="n">
        <f>2003</f>
        <v>2003.0</v>
      </c>
      <c r="R66" s="34" t="s">
        <v>51</v>
      </c>
      <c r="S66" s="35" t="n">
        <f>1969.45</f>
        <v>1969.45</v>
      </c>
      <c r="T66" s="32" t="n">
        <f>3602933</f>
        <v>3602933.0</v>
      </c>
      <c r="U66" s="32" t="n">
        <f>1364728</f>
        <v>1364728.0</v>
      </c>
      <c r="V66" s="32" t="n">
        <f>7103755717</f>
        <v>7.103755717E9</v>
      </c>
      <c r="W66" s="32" t="n">
        <f>2691882368</f>
        <v>2.691882368E9</v>
      </c>
      <c r="X66" s="36" t="n">
        <f>20</f>
        <v>20.0</v>
      </c>
    </row>
    <row r="67">
      <c r="A67" s="27" t="s">
        <v>42</v>
      </c>
      <c r="B67" s="27" t="s">
        <v>247</v>
      </c>
      <c r="C67" s="27" t="s">
        <v>248</v>
      </c>
      <c r="D67" s="27" t="s">
        <v>249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2030</f>
        <v>2030.0</v>
      </c>
      <c r="L67" s="34" t="s">
        <v>48</v>
      </c>
      <c r="M67" s="33" t="n">
        <f>2092</f>
        <v>2092.0</v>
      </c>
      <c r="N67" s="34" t="s">
        <v>51</v>
      </c>
      <c r="O67" s="33" t="n">
        <f>1992</f>
        <v>1992.0</v>
      </c>
      <c r="P67" s="34" t="s">
        <v>48</v>
      </c>
      <c r="Q67" s="33" t="n">
        <f>2092</f>
        <v>2092.0</v>
      </c>
      <c r="R67" s="34" t="s">
        <v>51</v>
      </c>
      <c r="S67" s="35" t="n">
        <f>2038.3</f>
        <v>2038.3</v>
      </c>
      <c r="T67" s="32" t="n">
        <f>5624999</f>
        <v>5624999.0</v>
      </c>
      <c r="U67" s="32" t="n">
        <f>3188330</f>
        <v>3188330.0</v>
      </c>
      <c r="V67" s="32" t="n">
        <f>11472287122</f>
        <v>1.1472287122E10</v>
      </c>
      <c r="W67" s="32" t="n">
        <f>6501246035</f>
        <v>6.501246035E9</v>
      </c>
      <c r="X67" s="36" t="n">
        <f>20</f>
        <v>20.0</v>
      </c>
    </row>
    <row r="68">
      <c r="A68" s="27" t="s">
        <v>42</v>
      </c>
      <c r="B68" s="27" t="s">
        <v>250</v>
      </c>
      <c r="C68" s="27" t="s">
        <v>251</v>
      </c>
      <c r="D68" s="27" t="s">
        <v>252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1848</f>
        <v>1848.0</v>
      </c>
      <c r="L68" s="34" t="s">
        <v>48</v>
      </c>
      <c r="M68" s="33" t="n">
        <f>1928</f>
        <v>1928.0</v>
      </c>
      <c r="N68" s="34" t="s">
        <v>49</v>
      </c>
      <c r="O68" s="33" t="n">
        <f>1825</f>
        <v>1825.0</v>
      </c>
      <c r="P68" s="34" t="s">
        <v>48</v>
      </c>
      <c r="Q68" s="33" t="n">
        <f>1913</f>
        <v>1913.0</v>
      </c>
      <c r="R68" s="34" t="s">
        <v>51</v>
      </c>
      <c r="S68" s="35" t="n">
        <f>1892.4</f>
        <v>1892.4</v>
      </c>
      <c r="T68" s="32" t="n">
        <f>100425</f>
        <v>100425.0</v>
      </c>
      <c r="U68" s="32" t="n">
        <f>2</f>
        <v>2.0</v>
      </c>
      <c r="V68" s="32" t="n">
        <f>190522944</f>
        <v>1.90522944E8</v>
      </c>
      <c r="W68" s="32" t="n">
        <f>3782</f>
        <v>3782.0</v>
      </c>
      <c r="X68" s="36" t="n">
        <f>20</f>
        <v>20.0</v>
      </c>
    </row>
    <row r="69">
      <c r="A69" s="27" t="s">
        <v>42</v>
      </c>
      <c r="B69" s="27" t="s">
        <v>253</v>
      </c>
      <c r="C69" s="27" t="s">
        <v>254</v>
      </c>
      <c r="D69" s="27" t="s">
        <v>255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2371</f>
        <v>2371.0</v>
      </c>
      <c r="L69" s="34" t="s">
        <v>48</v>
      </c>
      <c r="M69" s="33" t="n">
        <f>2440</f>
        <v>2440.0</v>
      </c>
      <c r="N69" s="34" t="s">
        <v>161</v>
      </c>
      <c r="O69" s="33" t="n">
        <f>2330</f>
        <v>2330.0</v>
      </c>
      <c r="P69" s="34" t="s">
        <v>170</v>
      </c>
      <c r="Q69" s="33" t="n">
        <f>2400</f>
        <v>2400.0</v>
      </c>
      <c r="R69" s="34" t="s">
        <v>51</v>
      </c>
      <c r="S69" s="35" t="n">
        <f>2400.5</f>
        <v>2400.5</v>
      </c>
      <c r="T69" s="32" t="n">
        <f>355163</f>
        <v>355163.0</v>
      </c>
      <c r="U69" s="32" t="n">
        <f>2</f>
        <v>2.0</v>
      </c>
      <c r="V69" s="32" t="n">
        <f>853782987</f>
        <v>8.53782987E8</v>
      </c>
      <c r="W69" s="32" t="n">
        <f>4776</f>
        <v>4776.0</v>
      </c>
      <c r="X69" s="36" t="n">
        <f>20</f>
        <v>20.0</v>
      </c>
    </row>
    <row r="70">
      <c r="A70" s="27" t="s">
        <v>42</v>
      </c>
      <c r="B70" s="27" t="s">
        <v>256</v>
      </c>
      <c r="C70" s="27" t="s">
        <v>257</v>
      </c>
      <c r="D70" s="27" t="s">
        <v>258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23630</f>
        <v>23630.0</v>
      </c>
      <c r="L70" s="34" t="s">
        <v>48</v>
      </c>
      <c r="M70" s="33" t="n">
        <f>24235</f>
        <v>24235.0</v>
      </c>
      <c r="N70" s="34" t="s">
        <v>64</v>
      </c>
      <c r="O70" s="33" t="n">
        <f>23360</f>
        <v>23360.0</v>
      </c>
      <c r="P70" s="34" t="s">
        <v>170</v>
      </c>
      <c r="Q70" s="33" t="n">
        <f>24235</f>
        <v>24235.0</v>
      </c>
      <c r="R70" s="34" t="s">
        <v>64</v>
      </c>
      <c r="S70" s="35" t="n">
        <f>23663.13</f>
        <v>23663.13</v>
      </c>
      <c r="T70" s="32" t="n">
        <f>322</f>
        <v>322.0</v>
      </c>
      <c r="U70" s="32" t="str">
        <f>"－"</f>
        <v>－</v>
      </c>
      <c r="V70" s="32" t="n">
        <f>7786450</f>
        <v>7786450.0</v>
      </c>
      <c r="W70" s="32" t="str">
        <f>"－"</f>
        <v>－</v>
      </c>
      <c r="X70" s="36" t="n">
        <f>8</f>
        <v>8.0</v>
      </c>
    </row>
    <row r="71">
      <c r="A71" s="27" t="s">
        <v>42</v>
      </c>
      <c r="B71" s="27" t="s">
        <v>259</v>
      </c>
      <c r="C71" s="27" t="s">
        <v>260</v>
      </c>
      <c r="D71" s="27" t="s">
        <v>261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18715</f>
        <v>18715.0</v>
      </c>
      <c r="L71" s="34" t="s">
        <v>262</v>
      </c>
      <c r="M71" s="33" t="n">
        <f>19515</f>
        <v>19515.0</v>
      </c>
      <c r="N71" s="34" t="s">
        <v>166</v>
      </c>
      <c r="O71" s="33" t="n">
        <f>18715</f>
        <v>18715.0</v>
      </c>
      <c r="P71" s="34" t="s">
        <v>262</v>
      </c>
      <c r="Q71" s="33" t="n">
        <f>19510</f>
        <v>19510.0</v>
      </c>
      <c r="R71" s="34" t="s">
        <v>166</v>
      </c>
      <c r="S71" s="35" t="n">
        <f>18980</f>
        <v>18980.0</v>
      </c>
      <c r="T71" s="32" t="n">
        <f>673</f>
        <v>673.0</v>
      </c>
      <c r="U71" s="32" t="str">
        <f>"－"</f>
        <v>－</v>
      </c>
      <c r="V71" s="32" t="n">
        <f>13129845</f>
        <v>1.3129845E7</v>
      </c>
      <c r="W71" s="32" t="str">
        <f>"－"</f>
        <v>－</v>
      </c>
      <c r="X71" s="36" t="n">
        <f>3</f>
        <v>3.0</v>
      </c>
    </row>
    <row r="72">
      <c r="A72" s="27" t="s">
        <v>42</v>
      </c>
      <c r="B72" s="27" t="s">
        <v>263</v>
      </c>
      <c r="C72" s="27" t="s">
        <v>264</v>
      </c>
      <c r="D72" s="27" t="s">
        <v>265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1962</f>
        <v>1962.0</v>
      </c>
      <c r="L72" s="34" t="s">
        <v>48</v>
      </c>
      <c r="M72" s="33" t="n">
        <f>2034</f>
        <v>2034.0</v>
      </c>
      <c r="N72" s="34" t="s">
        <v>49</v>
      </c>
      <c r="O72" s="33" t="n">
        <f>1938</f>
        <v>1938.0</v>
      </c>
      <c r="P72" s="34" t="s">
        <v>48</v>
      </c>
      <c r="Q72" s="33" t="n">
        <f>2016</f>
        <v>2016.0</v>
      </c>
      <c r="R72" s="34" t="s">
        <v>51</v>
      </c>
      <c r="S72" s="35" t="n">
        <f>1990.16</f>
        <v>1990.16</v>
      </c>
      <c r="T72" s="32" t="n">
        <f>326</f>
        <v>326.0</v>
      </c>
      <c r="U72" s="32" t="str">
        <f>"－"</f>
        <v>－</v>
      </c>
      <c r="V72" s="32" t="n">
        <f>656502</f>
        <v>656502.0</v>
      </c>
      <c r="W72" s="32" t="str">
        <f>"－"</f>
        <v>－</v>
      </c>
      <c r="X72" s="36" t="n">
        <f>19</f>
        <v>19.0</v>
      </c>
    </row>
    <row r="73">
      <c r="A73" s="27" t="s">
        <v>42</v>
      </c>
      <c r="B73" s="27" t="s">
        <v>266</v>
      </c>
      <c r="C73" s="27" t="s">
        <v>267</v>
      </c>
      <c r="D73" s="27" t="s">
        <v>268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2046</f>
        <v>2046.0</v>
      </c>
      <c r="L73" s="34" t="s">
        <v>48</v>
      </c>
      <c r="M73" s="33" t="n">
        <f>2108</f>
        <v>2108.0</v>
      </c>
      <c r="N73" s="34" t="s">
        <v>51</v>
      </c>
      <c r="O73" s="33" t="n">
        <f>2030</f>
        <v>2030.0</v>
      </c>
      <c r="P73" s="34" t="s">
        <v>174</v>
      </c>
      <c r="Q73" s="33" t="n">
        <f>2108</f>
        <v>2108.0</v>
      </c>
      <c r="R73" s="34" t="s">
        <v>51</v>
      </c>
      <c r="S73" s="35" t="n">
        <f>2064.4</f>
        <v>2064.4</v>
      </c>
      <c r="T73" s="32" t="n">
        <f>3743850</f>
        <v>3743850.0</v>
      </c>
      <c r="U73" s="32" t="n">
        <f>1312770</f>
        <v>1312770.0</v>
      </c>
      <c r="V73" s="32" t="n">
        <f>7686414064</f>
        <v>7.686414064E9</v>
      </c>
      <c r="W73" s="32" t="n">
        <f>2689979719</f>
        <v>2.689979719E9</v>
      </c>
      <c r="X73" s="36" t="n">
        <f>20</f>
        <v>20.0</v>
      </c>
    </row>
    <row r="74">
      <c r="A74" s="27" t="s">
        <v>42</v>
      </c>
      <c r="B74" s="27" t="s">
        <v>269</v>
      </c>
      <c r="C74" s="27" t="s">
        <v>270</v>
      </c>
      <c r="D74" s="27" t="s">
        <v>271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2031</f>
        <v>2031.0</v>
      </c>
      <c r="L74" s="34" t="s">
        <v>48</v>
      </c>
      <c r="M74" s="33" t="n">
        <f>2700</f>
        <v>2700.0</v>
      </c>
      <c r="N74" s="34" t="s">
        <v>176</v>
      </c>
      <c r="O74" s="33" t="n">
        <f>1986</f>
        <v>1986.0</v>
      </c>
      <c r="P74" s="34" t="s">
        <v>85</v>
      </c>
      <c r="Q74" s="33" t="n">
        <f>2180</f>
        <v>2180.0</v>
      </c>
      <c r="R74" s="34" t="s">
        <v>51</v>
      </c>
      <c r="S74" s="35" t="n">
        <f>2074.4</f>
        <v>2074.4</v>
      </c>
      <c r="T74" s="32" t="n">
        <f>16483</f>
        <v>16483.0</v>
      </c>
      <c r="U74" s="32" t="str">
        <f>"－"</f>
        <v>－</v>
      </c>
      <c r="V74" s="32" t="n">
        <f>37521417</f>
        <v>3.7521417E7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272</v>
      </c>
      <c r="C75" s="27" t="s">
        <v>273</v>
      </c>
      <c r="D75" s="27" t="s">
        <v>274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10.0</v>
      </c>
      <c r="K75" s="33" t="n">
        <f>1948</f>
        <v>1948.0</v>
      </c>
      <c r="L75" s="34" t="s">
        <v>48</v>
      </c>
      <c r="M75" s="33" t="n">
        <f>2003.5</f>
        <v>2003.5</v>
      </c>
      <c r="N75" s="34" t="s">
        <v>49</v>
      </c>
      <c r="O75" s="33" t="n">
        <f>1909</f>
        <v>1909.0</v>
      </c>
      <c r="P75" s="34" t="s">
        <v>48</v>
      </c>
      <c r="Q75" s="33" t="n">
        <f>1977</f>
        <v>1977.0</v>
      </c>
      <c r="R75" s="34" t="s">
        <v>51</v>
      </c>
      <c r="S75" s="35" t="n">
        <f>1962.13</f>
        <v>1962.13</v>
      </c>
      <c r="T75" s="32" t="n">
        <f>6890</f>
        <v>6890.0</v>
      </c>
      <c r="U75" s="32" t="str">
        <f>"－"</f>
        <v>－</v>
      </c>
      <c r="V75" s="32" t="n">
        <f>13525055</f>
        <v>1.3525055E7</v>
      </c>
      <c r="W75" s="32" t="str">
        <f>"－"</f>
        <v>－</v>
      </c>
      <c r="X75" s="36" t="n">
        <f>20</f>
        <v>20.0</v>
      </c>
    </row>
    <row r="76">
      <c r="A76" s="27" t="s">
        <v>42</v>
      </c>
      <c r="B76" s="27" t="s">
        <v>275</v>
      </c>
      <c r="C76" s="27" t="s">
        <v>276</v>
      </c>
      <c r="D76" s="27" t="s">
        <v>277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28395</f>
        <v>28395.0</v>
      </c>
      <c r="L76" s="34" t="s">
        <v>48</v>
      </c>
      <c r="M76" s="33" t="n">
        <f>31000</f>
        <v>31000.0</v>
      </c>
      <c r="N76" s="34" t="s">
        <v>49</v>
      </c>
      <c r="O76" s="33" t="n">
        <f>28395</f>
        <v>28395.0</v>
      </c>
      <c r="P76" s="34" t="s">
        <v>48</v>
      </c>
      <c r="Q76" s="33" t="n">
        <f>30900</f>
        <v>30900.0</v>
      </c>
      <c r="R76" s="34" t="s">
        <v>51</v>
      </c>
      <c r="S76" s="35" t="n">
        <f>29815</f>
        <v>29815.0</v>
      </c>
      <c r="T76" s="32" t="n">
        <f>30</f>
        <v>30.0</v>
      </c>
      <c r="U76" s="32" t="str">
        <f>"－"</f>
        <v>－</v>
      </c>
      <c r="V76" s="32" t="n">
        <f>892865</f>
        <v>892865.0</v>
      </c>
      <c r="W76" s="32" t="str">
        <f>"－"</f>
        <v>－</v>
      </c>
      <c r="X76" s="36" t="n">
        <f>5</f>
        <v>5.0</v>
      </c>
    </row>
    <row r="77">
      <c r="A77" s="27" t="s">
        <v>42</v>
      </c>
      <c r="B77" s="27" t="s">
        <v>278</v>
      </c>
      <c r="C77" s="27" t="s">
        <v>279</v>
      </c>
      <c r="D77" s="27" t="s">
        <v>280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23125</f>
        <v>23125.0</v>
      </c>
      <c r="L77" s="34" t="s">
        <v>48</v>
      </c>
      <c r="M77" s="33" t="n">
        <f>23670</f>
        <v>23670.0</v>
      </c>
      <c r="N77" s="34" t="s">
        <v>100</v>
      </c>
      <c r="O77" s="33" t="n">
        <f>22705</f>
        <v>22705.0</v>
      </c>
      <c r="P77" s="34" t="s">
        <v>174</v>
      </c>
      <c r="Q77" s="33" t="n">
        <f>23165</f>
        <v>23165.0</v>
      </c>
      <c r="R77" s="34" t="s">
        <v>51</v>
      </c>
      <c r="S77" s="35" t="n">
        <f>23306.5</f>
        <v>23306.5</v>
      </c>
      <c r="T77" s="32" t="n">
        <f>1330810</f>
        <v>1330810.0</v>
      </c>
      <c r="U77" s="32" t="n">
        <f>542025</f>
        <v>542025.0</v>
      </c>
      <c r="V77" s="32" t="n">
        <f>30903174644</f>
        <v>3.0903174644E10</v>
      </c>
      <c r="W77" s="32" t="n">
        <f>12627084014</f>
        <v>1.2627084014E10</v>
      </c>
      <c r="X77" s="36" t="n">
        <f>20</f>
        <v>20.0</v>
      </c>
    </row>
    <row r="78">
      <c r="A78" s="27" t="s">
        <v>42</v>
      </c>
      <c r="B78" s="27" t="s">
        <v>281</v>
      </c>
      <c r="C78" s="27" t="s">
        <v>282</v>
      </c>
      <c r="D78" s="27" t="s">
        <v>283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15995</f>
        <v>15995.0</v>
      </c>
      <c r="L78" s="34" t="s">
        <v>48</v>
      </c>
      <c r="M78" s="33" t="n">
        <f>16300</f>
        <v>16300.0</v>
      </c>
      <c r="N78" s="34" t="s">
        <v>51</v>
      </c>
      <c r="O78" s="33" t="n">
        <f>15700</f>
        <v>15700.0</v>
      </c>
      <c r="P78" s="34" t="s">
        <v>174</v>
      </c>
      <c r="Q78" s="33" t="n">
        <f>16290</f>
        <v>16290.0</v>
      </c>
      <c r="R78" s="34" t="s">
        <v>51</v>
      </c>
      <c r="S78" s="35" t="n">
        <f>15987.25</f>
        <v>15987.25</v>
      </c>
      <c r="T78" s="32" t="n">
        <f>622733</f>
        <v>622733.0</v>
      </c>
      <c r="U78" s="32" t="n">
        <f>302000</f>
        <v>302000.0</v>
      </c>
      <c r="V78" s="32" t="n">
        <f>9990318663</f>
        <v>9.990318663E9</v>
      </c>
      <c r="W78" s="32" t="n">
        <f>4819432193</f>
        <v>4.819432193E9</v>
      </c>
      <c r="X78" s="36" t="n">
        <f>20</f>
        <v>20.0</v>
      </c>
    </row>
    <row r="79">
      <c r="A79" s="27" t="s">
        <v>42</v>
      </c>
      <c r="B79" s="27" t="s">
        <v>284</v>
      </c>
      <c r="C79" s="27" t="s">
        <v>285</v>
      </c>
      <c r="D79" s="27" t="s">
        <v>286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2033</f>
        <v>2033.0</v>
      </c>
      <c r="L79" s="34" t="s">
        <v>48</v>
      </c>
      <c r="M79" s="33" t="n">
        <f>2085</f>
        <v>2085.0</v>
      </c>
      <c r="N79" s="34" t="s">
        <v>51</v>
      </c>
      <c r="O79" s="33" t="n">
        <f>1990.5</f>
        <v>1990.5</v>
      </c>
      <c r="P79" s="34" t="s">
        <v>48</v>
      </c>
      <c r="Q79" s="33" t="n">
        <f>2085</f>
        <v>2085.0</v>
      </c>
      <c r="R79" s="34" t="s">
        <v>51</v>
      </c>
      <c r="S79" s="35" t="n">
        <f>2036.2</f>
        <v>2036.2</v>
      </c>
      <c r="T79" s="32" t="n">
        <f>377560</f>
        <v>377560.0</v>
      </c>
      <c r="U79" s="32" t="n">
        <f>30</f>
        <v>30.0</v>
      </c>
      <c r="V79" s="32" t="n">
        <f>771595740</f>
        <v>7.7159574E8</v>
      </c>
      <c r="W79" s="32" t="n">
        <f>61020</f>
        <v>61020.0</v>
      </c>
      <c r="X79" s="36" t="n">
        <f>20</f>
        <v>20.0</v>
      </c>
    </row>
    <row r="80">
      <c r="A80" s="27" t="s">
        <v>42</v>
      </c>
      <c r="B80" s="27" t="s">
        <v>287</v>
      </c>
      <c r="C80" s="27" t="s">
        <v>288</v>
      </c>
      <c r="D80" s="27" t="s">
        <v>289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40450</f>
        <v>40450.0</v>
      </c>
      <c r="L80" s="34" t="s">
        <v>48</v>
      </c>
      <c r="M80" s="33" t="n">
        <f>41200</f>
        <v>41200.0</v>
      </c>
      <c r="N80" s="34" t="s">
        <v>64</v>
      </c>
      <c r="O80" s="33" t="n">
        <f>39150</f>
        <v>39150.0</v>
      </c>
      <c r="P80" s="34" t="s">
        <v>170</v>
      </c>
      <c r="Q80" s="33" t="n">
        <f>40920</f>
        <v>40920.0</v>
      </c>
      <c r="R80" s="34" t="s">
        <v>51</v>
      </c>
      <c r="S80" s="35" t="n">
        <f>40434</f>
        <v>40434.0</v>
      </c>
      <c r="T80" s="32" t="n">
        <f>105785</f>
        <v>105785.0</v>
      </c>
      <c r="U80" s="32" t="n">
        <f>11220</f>
        <v>11220.0</v>
      </c>
      <c r="V80" s="32" t="n">
        <f>4253503480</f>
        <v>4.25350348E9</v>
      </c>
      <c r="W80" s="32" t="n">
        <f>447899400</f>
        <v>4.478994E8</v>
      </c>
      <c r="X80" s="36" t="n">
        <f>20</f>
        <v>20.0</v>
      </c>
    </row>
    <row r="81">
      <c r="A81" s="27" t="s">
        <v>42</v>
      </c>
      <c r="B81" s="27" t="s">
        <v>290</v>
      </c>
      <c r="C81" s="27" t="s">
        <v>291</v>
      </c>
      <c r="D81" s="27" t="s">
        <v>292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7977</f>
        <v>7977.0</v>
      </c>
      <c r="L81" s="34" t="s">
        <v>48</v>
      </c>
      <c r="M81" s="33" t="n">
        <f>8727</f>
        <v>8727.0</v>
      </c>
      <c r="N81" s="34" t="s">
        <v>262</v>
      </c>
      <c r="O81" s="33" t="n">
        <f>7795</f>
        <v>7795.0</v>
      </c>
      <c r="P81" s="34" t="s">
        <v>166</v>
      </c>
      <c r="Q81" s="33" t="n">
        <f>7795</f>
        <v>7795.0</v>
      </c>
      <c r="R81" s="34" t="s">
        <v>166</v>
      </c>
      <c r="S81" s="35" t="n">
        <f>7954.67</f>
        <v>7954.67</v>
      </c>
      <c r="T81" s="32" t="n">
        <f>26190</f>
        <v>26190.0</v>
      </c>
      <c r="U81" s="32" t="n">
        <f>26000</f>
        <v>26000.0</v>
      </c>
      <c r="V81" s="32" t="n">
        <f>205328510</f>
        <v>2.0532851E8</v>
      </c>
      <c r="W81" s="32" t="n">
        <f>203788000</f>
        <v>2.03788E8</v>
      </c>
      <c r="X81" s="36" t="n">
        <f>6</f>
        <v>6.0</v>
      </c>
    </row>
    <row r="82">
      <c r="A82" s="27" t="s">
        <v>42</v>
      </c>
      <c r="B82" s="27" t="s">
        <v>293</v>
      </c>
      <c r="C82" s="27" t="s">
        <v>294</v>
      </c>
      <c r="D82" s="27" t="s">
        <v>295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14870</f>
        <v>14870.0</v>
      </c>
      <c r="L82" s="34" t="s">
        <v>48</v>
      </c>
      <c r="M82" s="33" t="n">
        <f>15535</f>
        <v>15535.0</v>
      </c>
      <c r="N82" s="34" t="s">
        <v>51</v>
      </c>
      <c r="O82" s="33" t="n">
        <f>14790</f>
        <v>14790.0</v>
      </c>
      <c r="P82" s="34" t="s">
        <v>100</v>
      </c>
      <c r="Q82" s="33" t="n">
        <f>15515</f>
        <v>15515.0</v>
      </c>
      <c r="R82" s="34" t="s">
        <v>51</v>
      </c>
      <c r="S82" s="35" t="n">
        <f>15128.25</f>
        <v>15128.25</v>
      </c>
      <c r="T82" s="32" t="n">
        <f>350</f>
        <v>350.0</v>
      </c>
      <c r="U82" s="32" t="str">
        <f>"－"</f>
        <v>－</v>
      </c>
      <c r="V82" s="32" t="n">
        <f>5312530</f>
        <v>5312530.0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296</v>
      </c>
      <c r="C83" s="27" t="s">
        <v>297</v>
      </c>
      <c r="D83" s="27" t="s">
        <v>298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14885</f>
        <v>14885.0</v>
      </c>
      <c r="L83" s="34" t="s">
        <v>48</v>
      </c>
      <c r="M83" s="33" t="n">
        <f>15435</f>
        <v>15435.0</v>
      </c>
      <c r="N83" s="34" t="s">
        <v>64</v>
      </c>
      <c r="O83" s="33" t="n">
        <f>14615</f>
        <v>14615.0</v>
      </c>
      <c r="P83" s="34" t="s">
        <v>50</v>
      </c>
      <c r="Q83" s="33" t="n">
        <f>15365</f>
        <v>15365.0</v>
      </c>
      <c r="R83" s="34" t="s">
        <v>51</v>
      </c>
      <c r="S83" s="35" t="n">
        <f>15029.75</f>
        <v>15029.75</v>
      </c>
      <c r="T83" s="32" t="n">
        <f>568</f>
        <v>568.0</v>
      </c>
      <c r="U83" s="32" t="str">
        <f>"－"</f>
        <v>－</v>
      </c>
      <c r="V83" s="32" t="n">
        <f>8496405</f>
        <v>8496405.0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299</v>
      </c>
      <c r="C84" s="27" t="s">
        <v>300</v>
      </c>
      <c r="D84" s="27" t="s">
        <v>301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20040</f>
        <v>20040.0</v>
      </c>
      <c r="L84" s="34" t="s">
        <v>48</v>
      </c>
      <c r="M84" s="33" t="n">
        <f>20480</f>
        <v>20480.0</v>
      </c>
      <c r="N84" s="34" t="s">
        <v>166</v>
      </c>
      <c r="O84" s="33" t="n">
        <f>19685</f>
        <v>19685.0</v>
      </c>
      <c r="P84" s="34" t="s">
        <v>170</v>
      </c>
      <c r="Q84" s="33" t="n">
        <f>20245</f>
        <v>20245.0</v>
      </c>
      <c r="R84" s="34" t="s">
        <v>51</v>
      </c>
      <c r="S84" s="35" t="n">
        <f>20150</f>
        <v>20150.0</v>
      </c>
      <c r="T84" s="32" t="n">
        <f>4331</f>
        <v>4331.0</v>
      </c>
      <c r="U84" s="32" t="str">
        <f>"－"</f>
        <v>－</v>
      </c>
      <c r="V84" s="32" t="n">
        <f>86648615</f>
        <v>8.6648615E7</v>
      </c>
      <c r="W84" s="32" t="str">
        <f>"－"</f>
        <v>－</v>
      </c>
      <c r="X84" s="36" t="n">
        <f>20</f>
        <v>20.0</v>
      </c>
    </row>
    <row r="85">
      <c r="A85" s="27" t="s">
        <v>42</v>
      </c>
      <c r="B85" s="27" t="s">
        <v>302</v>
      </c>
      <c r="C85" s="27" t="s">
        <v>303</v>
      </c>
      <c r="D85" s="27" t="s">
        <v>304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11690</f>
        <v>11690.0</v>
      </c>
      <c r="L85" s="34" t="s">
        <v>48</v>
      </c>
      <c r="M85" s="33" t="n">
        <f>11980</f>
        <v>11980.0</v>
      </c>
      <c r="N85" s="34" t="s">
        <v>175</v>
      </c>
      <c r="O85" s="33" t="n">
        <f>11230</f>
        <v>11230.0</v>
      </c>
      <c r="P85" s="34" t="s">
        <v>176</v>
      </c>
      <c r="Q85" s="33" t="n">
        <f>11470</f>
        <v>11470.0</v>
      </c>
      <c r="R85" s="34" t="s">
        <v>51</v>
      </c>
      <c r="S85" s="35" t="n">
        <f>11478.25</f>
        <v>11478.25</v>
      </c>
      <c r="T85" s="32" t="n">
        <f>10730</f>
        <v>10730.0</v>
      </c>
      <c r="U85" s="32" t="n">
        <f>10</f>
        <v>10.0</v>
      </c>
      <c r="V85" s="32" t="n">
        <f>124107300</f>
        <v>1.241073E8</v>
      </c>
      <c r="W85" s="32" t="n">
        <f>116200</f>
        <v>116200.0</v>
      </c>
      <c r="X85" s="36" t="n">
        <f>20</f>
        <v>20.0</v>
      </c>
    </row>
    <row r="86">
      <c r="A86" s="27" t="s">
        <v>42</v>
      </c>
      <c r="B86" s="27" t="s">
        <v>305</v>
      </c>
      <c r="C86" s="27" t="s">
        <v>306</v>
      </c>
      <c r="D86" s="27" t="s">
        <v>307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2102</f>
        <v>2102.0</v>
      </c>
      <c r="L86" s="34" t="s">
        <v>48</v>
      </c>
      <c r="M86" s="33" t="n">
        <f>2182</f>
        <v>2182.0</v>
      </c>
      <c r="N86" s="34" t="s">
        <v>51</v>
      </c>
      <c r="O86" s="33" t="n">
        <f>2095</f>
        <v>2095.0</v>
      </c>
      <c r="P86" s="34" t="s">
        <v>174</v>
      </c>
      <c r="Q86" s="33" t="n">
        <f>2182</f>
        <v>2182.0</v>
      </c>
      <c r="R86" s="34" t="s">
        <v>51</v>
      </c>
      <c r="S86" s="35" t="n">
        <f>2128.4</f>
        <v>2128.4</v>
      </c>
      <c r="T86" s="32" t="n">
        <f>143189</f>
        <v>143189.0</v>
      </c>
      <c r="U86" s="32" t="n">
        <f>63459</f>
        <v>63459.0</v>
      </c>
      <c r="V86" s="32" t="n">
        <f>305694651</f>
        <v>3.05694651E8</v>
      </c>
      <c r="W86" s="32" t="n">
        <f>135848345</f>
        <v>1.35848345E8</v>
      </c>
      <c r="X86" s="36" t="n">
        <f>20</f>
        <v>20.0</v>
      </c>
    </row>
    <row r="87">
      <c r="A87" s="27" t="s">
        <v>42</v>
      </c>
      <c r="B87" s="27" t="s">
        <v>308</v>
      </c>
      <c r="C87" s="27" t="s">
        <v>309</v>
      </c>
      <c r="D87" s="27" t="s">
        <v>310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1973</f>
        <v>1973.0</v>
      </c>
      <c r="L87" s="34" t="s">
        <v>48</v>
      </c>
      <c r="M87" s="33" t="n">
        <f>2080</f>
        <v>2080.0</v>
      </c>
      <c r="N87" s="34" t="s">
        <v>51</v>
      </c>
      <c r="O87" s="33" t="n">
        <f>1967</f>
        <v>1967.0</v>
      </c>
      <c r="P87" s="34" t="s">
        <v>48</v>
      </c>
      <c r="Q87" s="33" t="n">
        <f>2073</f>
        <v>2073.0</v>
      </c>
      <c r="R87" s="34" t="s">
        <v>51</v>
      </c>
      <c r="S87" s="35" t="n">
        <f>2005.2</f>
        <v>2005.2</v>
      </c>
      <c r="T87" s="32" t="n">
        <f>509242</f>
        <v>509242.0</v>
      </c>
      <c r="U87" s="32" t="n">
        <f>370010</f>
        <v>370010.0</v>
      </c>
      <c r="V87" s="32" t="n">
        <f>1014186006</f>
        <v>1.014186006E9</v>
      </c>
      <c r="W87" s="32" t="n">
        <f>735641660</f>
        <v>7.3564166E8</v>
      </c>
      <c r="X87" s="36" t="n">
        <f>20</f>
        <v>20.0</v>
      </c>
    </row>
    <row r="88">
      <c r="A88" s="27" t="s">
        <v>42</v>
      </c>
      <c r="B88" s="27" t="s">
        <v>311</v>
      </c>
      <c r="C88" s="27" t="s">
        <v>312</v>
      </c>
      <c r="D88" s="27" t="s">
        <v>313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14485</f>
        <v>14485.0</v>
      </c>
      <c r="L88" s="34" t="s">
        <v>48</v>
      </c>
      <c r="M88" s="33" t="n">
        <f>14945</f>
        <v>14945.0</v>
      </c>
      <c r="N88" s="34" t="s">
        <v>49</v>
      </c>
      <c r="O88" s="33" t="n">
        <f>14155</f>
        <v>14155.0</v>
      </c>
      <c r="P88" s="34" t="s">
        <v>50</v>
      </c>
      <c r="Q88" s="33" t="n">
        <f>14785</f>
        <v>14785.0</v>
      </c>
      <c r="R88" s="34" t="s">
        <v>51</v>
      </c>
      <c r="S88" s="35" t="n">
        <f>14598</f>
        <v>14598.0</v>
      </c>
      <c r="T88" s="32" t="n">
        <f>9503</f>
        <v>9503.0</v>
      </c>
      <c r="U88" s="32" t="str">
        <f>"－"</f>
        <v>－</v>
      </c>
      <c r="V88" s="32" t="n">
        <f>138489755</f>
        <v>1.38489755E8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314</v>
      </c>
      <c r="C89" s="27" t="s">
        <v>315</v>
      </c>
      <c r="D89" s="27" t="s">
        <v>316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9086</f>
        <v>9086.0</v>
      </c>
      <c r="L89" s="34" t="s">
        <v>48</v>
      </c>
      <c r="M89" s="33" t="n">
        <f>9198</f>
        <v>9198.0</v>
      </c>
      <c r="N89" s="34" t="s">
        <v>48</v>
      </c>
      <c r="O89" s="33" t="n">
        <f>8607</f>
        <v>8607.0</v>
      </c>
      <c r="P89" s="34" t="s">
        <v>51</v>
      </c>
      <c r="Q89" s="33" t="n">
        <f>8888</f>
        <v>8888.0</v>
      </c>
      <c r="R89" s="34" t="s">
        <v>51</v>
      </c>
      <c r="S89" s="35" t="n">
        <f>9016.15</f>
        <v>9016.15</v>
      </c>
      <c r="T89" s="32" t="n">
        <f>1828</f>
        <v>1828.0</v>
      </c>
      <c r="U89" s="32" t="n">
        <f>3</f>
        <v>3.0</v>
      </c>
      <c r="V89" s="32" t="n">
        <f>16412630</f>
        <v>1.641263E7</v>
      </c>
      <c r="W89" s="32" t="n">
        <f>26664</f>
        <v>26664.0</v>
      </c>
      <c r="X89" s="36" t="n">
        <f>20</f>
        <v>20.0</v>
      </c>
    </row>
    <row r="90">
      <c r="A90" s="27" t="s">
        <v>42</v>
      </c>
      <c r="B90" s="27" t="s">
        <v>317</v>
      </c>
      <c r="C90" s="27" t="s">
        <v>318</v>
      </c>
      <c r="D90" s="27" t="s">
        <v>319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7500</f>
        <v>7500.0</v>
      </c>
      <c r="L90" s="34" t="s">
        <v>48</v>
      </c>
      <c r="M90" s="33" t="n">
        <f>7535</f>
        <v>7535.0</v>
      </c>
      <c r="N90" s="34" t="s">
        <v>85</v>
      </c>
      <c r="O90" s="33" t="n">
        <f>7136</f>
        <v>7136.0</v>
      </c>
      <c r="P90" s="34" t="s">
        <v>93</v>
      </c>
      <c r="Q90" s="33" t="n">
        <f>7169</f>
        <v>7169.0</v>
      </c>
      <c r="R90" s="34" t="s">
        <v>51</v>
      </c>
      <c r="S90" s="35" t="n">
        <f>7259.8</f>
        <v>7259.8</v>
      </c>
      <c r="T90" s="32" t="n">
        <f>2114757</f>
        <v>2114757.0</v>
      </c>
      <c r="U90" s="32" t="n">
        <f>79348</f>
        <v>79348.0</v>
      </c>
      <c r="V90" s="32" t="n">
        <f>15354725696</f>
        <v>1.5354725696E10</v>
      </c>
      <c r="W90" s="32" t="n">
        <f>572604043</f>
        <v>5.72604043E8</v>
      </c>
      <c r="X90" s="36" t="n">
        <f>20</f>
        <v>20.0</v>
      </c>
    </row>
    <row r="91">
      <c r="A91" s="27" t="s">
        <v>42</v>
      </c>
      <c r="B91" s="27" t="s">
        <v>320</v>
      </c>
      <c r="C91" s="27" t="s">
        <v>321</v>
      </c>
      <c r="D91" s="27" t="s">
        <v>322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3665</f>
        <v>3665.0</v>
      </c>
      <c r="L91" s="34" t="s">
        <v>48</v>
      </c>
      <c r="M91" s="33" t="n">
        <f>3680</f>
        <v>3680.0</v>
      </c>
      <c r="N91" s="34" t="s">
        <v>48</v>
      </c>
      <c r="O91" s="33" t="n">
        <f>3485</f>
        <v>3485.0</v>
      </c>
      <c r="P91" s="34" t="s">
        <v>323</v>
      </c>
      <c r="Q91" s="33" t="n">
        <f>3635</f>
        <v>3635.0</v>
      </c>
      <c r="R91" s="34" t="s">
        <v>51</v>
      </c>
      <c r="S91" s="35" t="n">
        <f>3600.5</f>
        <v>3600.5</v>
      </c>
      <c r="T91" s="32" t="n">
        <f>554492</f>
        <v>554492.0</v>
      </c>
      <c r="U91" s="32" t="n">
        <f>5</f>
        <v>5.0</v>
      </c>
      <c r="V91" s="32" t="n">
        <f>1996583775</f>
        <v>1.996583775E9</v>
      </c>
      <c r="W91" s="32" t="n">
        <f>18275</f>
        <v>18275.0</v>
      </c>
      <c r="X91" s="36" t="n">
        <f>20</f>
        <v>20.0</v>
      </c>
    </row>
    <row r="92">
      <c r="A92" s="27" t="s">
        <v>42</v>
      </c>
      <c r="B92" s="27" t="s">
        <v>324</v>
      </c>
      <c r="C92" s="27" t="s">
        <v>325</v>
      </c>
      <c r="D92" s="27" t="s">
        <v>326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8223</f>
        <v>8223.0</v>
      </c>
      <c r="L92" s="34" t="s">
        <v>48</v>
      </c>
      <c r="M92" s="33" t="n">
        <f>8229</f>
        <v>8229.0</v>
      </c>
      <c r="N92" s="34" t="s">
        <v>48</v>
      </c>
      <c r="O92" s="33" t="n">
        <f>7569</f>
        <v>7569.0</v>
      </c>
      <c r="P92" s="34" t="s">
        <v>166</v>
      </c>
      <c r="Q92" s="33" t="n">
        <f>8070</f>
        <v>8070.0</v>
      </c>
      <c r="R92" s="34" t="s">
        <v>51</v>
      </c>
      <c r="S92" s="35" t="n">
        <f>7828.6</f>
        <v>7828.6</v>
      </c>
      <c r="T92" s="32" t="n">
        <f>213411</f>
        <v>213411.0</v>
      </c>
      <c r="U92" s="32" t="n">
        <f>6</f>
        <v>6.0</v>
      </c>
      <c r="V92" s="32" t="n">
        <f>1672460540</f>
        <v>1.67246054E9</v>
      </c>
      <c r="W92" s="32" t="n">
        <f>45660</f>
        <v>45660.0</v>
      </c>
      <c r="X92" s="36" t="n">
        <f>20</f>
        <v>20.0</v>
      </c>
    </row>
    <row r="93">
      <c r="A93" s="27" t="s">
        <v>42</v>
      </c>
      <c r="B93" s="27" t="s">
        <v>327</v>
      </c>
      <c r="C93" s="27" t="s">
        <v>328</v>
      </c>
      <c r="D93" s="27" t="s">
        <v>329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77000</f>
        <v>77000.0</v>
      </c>
      <c r="L93" s="34" t="s">
        <v>48</v>
      </c>
      <c r="M93" s="33" t="n">
        <f>85700</f>
        <v>85700.0</v>
      </c>
      <c r="N93" s="34" t="s">
        <v>174</v>
      </c>
      <c r="O93" s="33" t="n">
        <f>74800</f>
        <v>74800.0</v>
      </c>
      <c r="P93" s="34" t="s">
        <v>175</v>
      </c>
      <c r="Q93" s="33" t="n">
        <f>80710</f>
        <v>80710.0</v>
      </c>
      <c r="R93" s="34" t="s">
        <v>51</v>
      </c>
      <c r="S93" s="35" t="n">
        <f>78438.5</f>
        <v>78438.5</v>
      </c>
      <c r="T93" s="32" t="n">
        <f>6627</f>
        <v>6627.0</v>
      </c>
      <c r="U93" s="32" t="str">
        <f>"－"</f>
        <v>－</v>
      </c>
      <c r="V93" s="32" t="n">
        <f>531265590</f>
        <v>5.3126559E8</v>
      </c>
      <c r="W93" s="32" t="str">
        <f>"－"</f>
        <v>－</v>
      </c>
      <c r="X93" s="36" t="n">
        <f>20</f>
        <v>20.0</v>
      </c>
    </row>
    <row r="94">
      <c r="A94" s="27" t="s">
        <v>42</v>
      </c>
      <c r="B94" s="27" t="s">
        <v>330</v>
      </c>
      <c r="C94" s="27" t="s">
        <v>331</v>
      </c>
      <c r="D94" s="27" t="s">
        <v>332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15885</f>
        <v>15885.0</v>
      </c>
      <c r="L94" s="34" t="s">
        <v>48</v>
      </c>
      <c r="M94" s="33" t="n">
        <f>17590</f>
        <v>17590.0</v>
      </c>
      <c r="N94" s="34" t="s">
        <v>51</v>
      </c>
      <c r="O94" s="33" t="n">
        <f>15550</f>
        <v>15550.0</v>
      </c>
      <c r="P94" s="34" t="s">
        <v>48</v>
      </c>
      <c r="Q94" s="33" t="n">
        <f>17405</f>
        <v>17405.0</v>
      </c>
      <c r="R94" s="34" t="s">
        <v>51</v>
      </c>
      <c r="S94" s="35" t="n">
        <f>16697</f>
        <v>16697.0</v>
      </c>
      <c r="T94" s="32" t="n">
        <f>1935269</f>
        <v>1935269.0</v>
      </c>
      <c r="U94" s="32" t="n">
        <f>146857</f>
        <v>146857.0</v>
      </c>
      <c r="V94" s="32" t="n">
        <f>32494013722</f>
        <v>3.2494013722E10</v>
      </c>
      <c r="W94" s="32" t="n">
        <f>2537072027</f>
        <v>2.537072027E9</v>
      </c>
      <c r="X94" s="36" t="n">
        <f>20</f>
        <v>20.0</v>
      </c>
    </row>
    <row r="95">
      <c r="A95" s="27" t="s">
        <v>42</v>
      </c>
      <c r="B95" s="27" t="s">
        <v>333</v>
      </c>
      <c r="C95" s="27" t="s">
        <v>334</v>
      </c>
      <c r="D95" s="27" t="s">
        <v>335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41170</f>
        <v>41170.0</v>
      </c>
      <c r="L95" s="34" t="s">
        <v>48</v>
      </c>
      <c r="M95" s="33" t="n">
        <f>43520</f>
        <v>43520.0</v>
      </c>
      <c r="N95" s="34" t="s">
        <v>161</v>
      </c>
      <c r="O95" s="33" t="n">
        <f>40440</f>
        <v>40440.0</v>
      </c>
      <c r="P95" s="34" t="s">
        <v>48</v>
      </c>
      <c r="Q95" s="33" t="n">
        <f>42670</f>
        <v>42670.0</v>
      </c>
      <c r="R95" s="34" t="s">
        <v>51</v>
      </c>
      <c r="S95" s="35" t="n">
        <f>42231</f>
        <v>42231.0</v>
      </c>
      <c r="T95" s="32" t="n">
        <f>169289</f>
        <v>169289.0</v>
      </c>
      <c r="U95" s="32" t="n">
        <f>63800</f>
        <v>63800.0</v>
      </c>
      <c r="V95" s="32" t="n">
        <f>7221070920</f>
        <v>7.22107092E9</v>
      </c>
      <c r="W95" s="32" t="n">
        <f>2753417460</f>
        <v>2.75341746E9</v>
      </c>
      <c r="X95" s="36" t="n">
        <f>20</f>
        <v>20.0</v>
      </c>
    </row>
    <row r="96">
      <c r="A96" s="27" t="s">
        <v>42</v>
      </c>
      <c r="B96" s="27" t="s">
        <v>336</v>
      </c>
      <c r="C96" s="27" t="s">
        <v>337</v>
      </c>
      <c r="D96" s="27" t="s">
        <v>338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5605</f>
        <v>5605.0</v>
      </c>
      <c r="L96" s="34" t="s">
        <v>48</v>
      </c>
      <c r="M96" s="33" t="n">
        <f>6010</f>
        <v>6010.0</v>
      </c>
      <c r="N96" s="34" t="s">
        <v>51</v>
      </c>
      <c r="O96" s="33" t="n">
        <f>5503</f>
        <v>5503.0</v>
      </c>
      <c r="P96" s="34" t="s">
        <v>48</v>
      </c>
      <c r="Q96" s="33" t="n">
        <f>5947</f>
        <v>5947.0</v>
      </c>
      <c r="R96" s="34" t="s">
        <v>51</v>
      </c>
      <c r="S96" s="35" t="n">
        <f>5791.6</f>
        <v>5791.6</v>
      </c>
      <c r="T96" s="32" t="n">
        <f>1547370</f>
        <v>1547370.0</v>
      </c>
      <c r="U96" s="32" t="n">
        <f>369420</f>
        <v>369420.0</v>
      </c>
      <c r="V96" s="32" t="n">
        <f>9063436328</f>
        <v>9.063436328E9</v>
      </c>
      <c r="W96" s="32" t="n">
        <f>2203959148</f>
        <v>2.203959148E9</v>
      </c>
      <c r="X96" s="36" t="n">
        <f>20</f>
        <v>20.0</v>
      </c>
    </row>
    <row r="97">
      <c r="A97" s="27" t="s">
        <v>42</v>
      </c>
      <c r="B97" s="27" t="s">
        <v>339</v>
      </c>
      <c r="C97" s="27" t="s">
        <v>340</v>
      </c>
      <c r="D97" s="27" t="s">
        <v>341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3588</f>
        <v>3588.0</v>
      </c>
      <c r="L97" s="34" t="s">
        <v>48</v>
      </c>
      <c r="M97" s="33" t="n">
        <f>3783</f>
        <v>3783.0</v>
      </c>
      <c r="N97" s="34" t="s">
        <v>51</v>
      </c>
      <c r="O97" s="33" t="n">
        <f>3519</f>
        <v>3519.0</v>
      </c>
      <c r="P97" s="34" t="s">
        <v>48</v>
      </c>
      <c r="Q97" s="33" t="n">
        <f>3750</f>
        <v>3750.0</v>
      </c>
      <c r="R97" s="34" t="s">
        <v>51</v>
      </c>
      <c r="S97" s="35" t="n">
        <f>3665.75</f>
        <v>3665.75</v>
      </c>
      <c r="T97" s="32" t="n">
        <f>64360</f>
        <v>64360.0</v>
      </c>
      <c r="U97" s="32" t="n">
        <f>90</f>
        <v>90.0</v>
      </c>
      <c r="V97" s="32" t="n">
        <f>237298150</f>
        <v>2.3729815E8</v>
      </c>
      <c r="W97" s="32" t="n">
        <f>326670</f>
        <v>326670.0</v>
      </c>
      <c r="X97" s="36" t="n">
        <f>20</f>
        <v>20.0</v>
      </c>
    </row>
    <row r="98">
      <c r="A98" s="27" t="s">
        <v>42</v>
      </c>
      <c r="B98" s="27" t="s">
        <v>342</v>
      </c>
      <c r="C98" s="27" t="s">
        <v>343</v>
      </c>
      <c r="D98" s="27" t="s">
        <v>344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4120</f>
        <v>4120.0</v>
      </c>
      <c r="L98" s="34" t="s">
        <v>48</v>
      </c>
      <c r="M98" s="33" t="n">
        <f>4397</f>
        <v>4397.0</v>
      </c>
      <c r="N98" s="34" t="s">
        <v>64</v>
      </c>
      <c r="O98" s="33" t="n">
        <f>4020</f>
        <v>4020.0</v>
      </c>
      <c r="P98" s="34" t="s">
        <v>48</v>
      </c>
      <c r="Q98" s="33" t="n">
        <f>4330</f>
        <v>4330.0</v>
      </c>
      <c r="R98" s="34" t="s">
        <v>51</v>
      </c>
      <c r="S98" s="35" t="n">
        <f>4200.15</f>
        <v>4200.15</v>
      </c>
      <c r="T98" s="32" t="n">
        <f>5150</f>
        <v>5150.0</v>
      </c>
      <c r="U98" s="32" t="str">
        <f>"－"</f>
        <v>－</v>
      </c>
      <c r="V98" s="32" t="n">
        <f>21714010</f>
        <v>2.171401E7</v>
      </c>
      <c r="W98" s="32" t="str">
        <f>"－"</f>
        <v>－</v>
      </c>
      <c r="X98" s="36" t="n">
        <f>20</f>
        <v>20.0</v>
      </c>
    </row>
    <row r="99">
      <c r="A99" s="27" t="s">
        <v>42</v>
      </c>
      <c r="B99" s="27" t="s">
        <v>345</v>
      </c>
      <c r="C99" s="27" t="s">
        <v>346</v>
      </c>
      <c r="D99" s="27" t="s">
        <v>347</v>
      </c>
      <c r="E99" s="28" t="s">
        <v>46</v>
      </c>
      <c r="F99" s="29" t="s">
        <v>46</v>
      </c>
      <c r="G99" s="30" t="s">
        <v>46</v>
      </c>
      <c r="H99" s="31" t="s">
        <v>348</v>
      </c>
      <c r="I99" s="31" t="s">
        <v>47</v>
      </c>
      <c r="J99" s="32" t="n">
        <v>1.0</v>
      </c>
      <c r="K99" s="33" t="n">
        <f>2441</f>
        <v>2441.0</v>
      </c>
      <c r="L99" s="34" t="s">
        <v>48</v>
      </c>
      <c r="M99" s="33" t="n">
        <f>2499</f>
        <v>2499.0</v>
      </c>
      <c r="N99" s="34" t="s">
        <v>48</v>
      </c>
      <c r="O99" s="33" t="n">
        <f>1916</f>
        <v>1916.0</v>
      </c>
      <c r="P99" s="34" t="s">
        <v>51</v>
      </c>
      <c r="Q99" s="33" t="n">
        <f>1920</f>
        <v>1920.0</v>
      </c>
      <c r="R99" s="34" t="s">
        <v>51</v>
      </c>
      <c r="S99" s="35" t="n">
        <f>2272.4</f>
        <v>2272.4</v>
      </c>
      <c r="T99" s="32" t="n">
        <f>32249493</f>
        <v>3.2249493E7</v>
      </c>
      <c r="U99" s="32" t="n">
        <f>78053</f>
        <v>78053.0</v>
      </c>
      <c r="V99" s="32" t="n">
        <f>72767308133</f>
        <v>7.2767308133E10</v>
      </c>
      <c r="W99" s="32" t="n">
        <f>183303464</f>
        <v>1.83303464E8</v>
      </c>
      <c r="X99" s="36" t="n">
        <f>20</f>
        <v>20.0</v>
      </c>
    </row>
    <row r="100">
      <c r="A100" s="27" t="s">
        <v>42</v>
      </c>
      <c r="B100" s="27" t="s">
        <v>349</v>
      </c>
      <c r="C100" s="27" t="s">
        <v>350</v>
      </c>
      <c r="D100" s="27" t="s">
        <v>351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3062</f>
        <v>3062.0</v>
      </c>
      <c r="L100" s="34" t="s">
        <v>48</v>
      </c>
      <c r="M100" s="33" t="n">
        <f>3210</f>
        <v>3210.0</v>
      </c>
      <c r="N100" s="34" t="s">
        <v>93</v>
      </c>
      <c r="O100" s="33" t="n">
        <f>3000</f>
        <v>3000.0</v>
      </c>
      <c r="P100" s="34" t="s">
        <v>48</v>
      </c>
      <c r="Q100" s="33" t="n">
        <f>3178</f>
        <v>3178.0</v>
      </c>
      <c r="R100" s="34" t="s">
        <v>51</v>
      </c>
      <c r="S100" s="35" t="n">
        <f>3116.7</f>
        <v>3116.7</v>
      </c>
      <c r="T100" s="32" t="n">
        <f>61650</f>
        <v>61650.0</v>
      </c>
      <c r="U100" s="32" t="str">
        <f>"－"</f>
        <v>－</v>
      </c>
      <c r="V100" s="32" t="n">
        <f>192541670</f>
        <v>1.9254167E8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352</v>
      </c>
      <c r="C101" s="27" t="s">
        <v>353</v>
      </c>
      <c r="D101" s="27" t="s">
        <v>354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1721</f>
        <v>1721.0</v>
      </c>
      <c r="L101" s="34" t="s">
        <v>48</v>
      </c>
      <c r="M101" s="33" t="n">
        <f>1824</f>
        <v>1824.0</v>
      </c>
      <c r="N101" s="34" t="s">
        <v>51</v>
      </c>
      <c r="O101" s="33" t="n">
        <f>1655</f>
        <v>1655.0</v>
      </c>
      <c r="P101" s="34" t="s">
        <v>170</v>
      </c>
      <c r="Q101" s="33" t="n">
        <f>1820</f>
        <v>1820.0</v>
      </c>
      <c r="R101" s="34" t="s">
        <v>51</v>
      </c>
      <c r="S101" s="35" t="n">
        <f>1739.38</f>
        <v>1739.38</v>
      </c>
      <c r="T101" s="32" t="n">
        <f>79840</f>
        <v>79840.0</v>
      </c>
      <c r="U101" s="32" t="str">
        <f>"－"</f>
        <v>－</v>
      </c>
      <c r="V101" s="32" t="n">
        <f>139945910</f>
        <v>1.3994591E8</v>
      </c>
      <c r="W101" s="32" t="str">
        <f>"－"</f>
        <v>－</v>
      </c>
      <c r="X101" s="36" t="n">
        <f>20</f>
        <v>20.0</v>
      </c>
    </row>
    <row r="102">
      <c r="A102" s="27" t="s">
        <v>42</v>
      </c>
      <c r="B102" s="27" t="s">
        <v>355</v>
      </c>
      <c r="C102" s="27" t="s">
        <v>356</v>
      </c>
      <c r="D102" s="27" t="s">
        <v>357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51310</f>
        <v>51310.0</v>
      </c>
      <c r="L102" s="34" t="s">
        <v>48</v>
      </c>
      <c r="M102" s="33" t="n">
        <f>54970</f>
        <v>54970.0</v>
      </c>
      <c r="N102" s="34" t="s">
        <v>51</v>
      </c>
      <c r="O102" s="33" t="n">
        <f>50320</f>
        <v>50320.0</v>
      </c>
      <c r="P102" s="34" t="s">
        <v>48</v>
      </c>
      <c r="Q102" s="33" t="n">
        <f>54400</f>
        <v>54400.0</v>
      </c>
      <c r="R102" s="34" t="s">
        <v>51</v>
      </c>
      <c r="S102" s="35" t="n">
        <f>52981.5</f>
        <v>52981.5</v>
      </c>
      <c r="T102" s="32" t="n">
        <f>138672</f>
        <v>138672.0</v>
      </c>
      <c r="U102" s="32" t="n">
        <f>8</f>
        <v>8.0</v>
      </c>
      <c r="V102" s="32" t="n">
        <f>7379415770</f>
        <v>7.37941577E9</v>
      </c>
      <c r="W102" s="32" t="n">
        <f>429000</f>
        <v>429000.0</v>
      </c>
      <c r="X102" s="36" t="n">
        <f>20</f>
        <v>20.0</v>
      </c>
    </row>
    <row r="103">
      <c r="A103" s="27" t="s">
        <v>42</v>
      </c>
      <c r="B103" s="27" t="s">
        <v>358</v>
      </c>
      <c r="C103" s="27" t="s">
        <v>359</v>
      </c>
      <c r="D103" s="27" t="s">
        <v>360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3355</f>
        <v>3355.0</v>
      </c>
      <c r="L103" s="34" t="s">
        <v>48</v>
      </c>
      <c r="M103" s="33" t="n">
        <f>3380</f>
        <v>3380.0</v>
      </c>
      <c r="N103" s="34" t="s">
        <v>262</v>
      </c>
      <c r="O103" s="33" t="n">
        <f>3225</f>
        <v>3225.0</v>
      </c>
      <c r="P103" s="34" t="s">
        <v>166</v>
      </c>
      <c r="Q103" s="33" t="n">
        <f>3295</f>
        <v>3295.0</v>
      </c>
      <c r="R103" s="34" t="s">
        <v>51</v>
      </c>
      <c r="S103" s="35" t="n">
        <f>3309.75</f>
        <v>3309.75</v>
      </c>
      <c r="T103" s="32" t="n">
        <f>4603</f>
        <v>4603.0</v>
      </c>
      <c r="U103" s="32" t="str">
        <f>"－"</f>
        <v>－</v>
      </c>
      <c r="V103" s="32" t="n">
        <f>15178965</f>
        <v>1.5178965E7</v>
      </c>
      <c r="W103" s="32" t="str">
        <f>"－"</f>
        <v>－</v>
      </c>
      <c r="X103" s="36" t="n">
        <f>20</f>
        <v>20.0</v>
      </c>
    </row>
    <row r="104">
      <c r="A104" s="27" t="s">
        <v>42</v>
      </c>
      <c r="B104" s="27" t="s">
        <v>361</v>
      </c>
      <c r="C104" s="27" t="s">
        <v>362</v>
      </c>
      <c r="D104" s="27" t="s">
        <v>363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4340</f>
        <v>4340.0</v>
      </c>
      <c r="L104" s="34" t="s">
        <v>48</v>
      </c>
      <c r="M104" s="33" t="n">
        <f>4485</f>
        <v>4485.0</v>
      </c>
      <c r="N104" s="34" t="s">
        <v>51</v>
      </c>
      <c r="O104" s="33" t="n">
        <f>4215</f>
        <v>4215.0</v>
      </c>
      <c r="P104" s="34" t="s">
        <v>100</v>
      </c>
      <c r="Q104" s="33" t="n">
        <f>4435</f>
        <v>4435.0</v>
      </c>
      <c r="R104" s="34" t="s">
        <v>51</v>
      </c>
      <c r="S104" s="35" t="n">
        <f>4379.25</f>
        <v>4379.25</v>
      </c>
      <c r="T104" s="32" t="n">
        <f>1701</f>
        <v>1701.0</v>
      </c>
      <c r="U104" s="32" t="str">
        <f>"－"</f>
        <v>－</v>
      </c>
      <c r="V104" s="32" t="n">
        <f>7443970</f>
        <v>7443970.0</v>
      </c>
      <c r="W104" s="32" t="str">
        <f>"－"</f>
        <v>－</v>
      </c>
      <c r="X104" s="36" t="n">
        <f>20</f>
        <v>20.0</v>
      </c>
    </row>
    <row r="105">
      <c r="A105" s="27" t="s">
        <v>42</v>
      </c>
      <c r="B105" s="27" t="s">
        <v>364</v>
      </c>
      <c r="C105" s="27" t="s">
        <v>365</v>
      </c>
      <c r="D105" s="27" t="s">
        <v>366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2170</f>
        <v>2170.0</v>
      </c>
      <c r="L105" s="34" t="s">
        <v>48</v>
      </c>
      <c r="M105" s="33" t="n">
        <f>2475</f>
        <v>2475.0</v>
      </c>
      <c r="N105" s="34" t="s">
        <v>51</v>
      </c>
      <c r="O105" s="33" t="n">
        <f>2114</f>
        <v>2114.0</v>
      </c>
      <c r="P105" s="34" t="s">
        <v>48</v>
      </c>
      <c r="Q105" s="33" t="n">
        <f>2442</f>
        <v>2442.0</v>
      </c>
      <c r="R105" s="34" t="s">
        <v>51</v>
      </c>
      <c r="S105" s="35" t="n">
        <f>2305</f>
        <v>2305.0</v>
      </c>
      <c r="T105" s="32" t="n">
        <f>1045832</f>
        <v>1045832.0</v>
      </c>
      <c r="U105" s="32" t="n">
        <f>4</f>
        <v>4.0</v>
      </c>
      <c r="V105" s="32" t="n">
        <f>2427908241</f>
        <v>2.427908241E9</v>
      </c>
      <c r="W105" s="32" t="n">
        <f>9224</f>
        <v>9224.0</v>
      </c>
      <c r="X105" s="36" t="n">
        <f>20</f>
        <v>20.0</v>
      </c>
    </row>
    <row r="106">
      <c r="A106" s="27" t="s">
        <v>42</v>
      </c>
      <c r="B106" s="27" t="s">
        <v>367</v>
      </c>
      <c r="C106" s="27" t="s">
        <v>368</v>
      </c>
      <c r="D106" s="27" t="s">
        <v>369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43580</f>
        <v>43580.0</v>
      </c>
      <c r="L106" s="34" t="s">
        <v>48</v>
      </c>
      <c r="M106" s="33" t="n">
        <f>43580</f>
        <v>43580.0</v>
      </c>
      <c r="N106" s="34" t="s">
        <v>48</v>
      </c>
      <c r="O106" s="33" t="n">
        <f>42000</f>
        <v>42000.0</v>
      </c>
      <c r="P106" s="34" t="s">
        <v>162</v>
      </c>
      <c r="Q106" s="33" t="n">
        <f>42600</f>
        <v>42600.0</v>
      </c>
      <c r="R106" s="34" t="s">
        <v>51</v>
      </c>
      <c r="S106" s="35" t="n">
        <f>42807.5</f>
        <v>42807.5</v>
      </c>
      <c r="T106" s="32" t="n">
        <f>13472</f>
        <v>13472.0</v>
      </c>
      <c r="U106" s="32" t="n">
        <f>2475</f>
        <v>2475.0</v>
      </c>
      <c r="V106" s="32" t="n">
        <f>576291686</f>
        <v>5.76291686E8</v>
      </c>
      <c r="W106" s="32" t="n">
        <f>105959626</f>
        <v>1.05959626E8</v>
      </c>
      <c r="X106" s="36" t="n">
        <f>20</f>
        <v>20.0</v>
      </c>
    </row>
    <row r="107">
      <c r="A107" s="27" t="s">
        <v>42</v>
      </c>
      <c r="B107" s="27" t="s">
        <v>370</v>
      </c>
      <c r="C107" s="27" t="s">
        <v>371</v>
      </c>
      <c r="D107" s="27" t="s">
        <v>372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22275</f>
        <v>22275.0</v>
      </c>
      <c r="L107" s="34" t="s">
        <v>48</v>
      </c>
      <c r="M107" s="33" t="n">
        <f>24330</f>
        <v>24330.0</v>
      </c>
      <c r="N107" s="34" t="s">
        <v>49</v>
      </c>
      <c r="O107" s="33" t="n">
        <f>21410</f>
        <v>21410.0</v>
      </c>
      <c r="P107" s="34" t="s">
        <v>48</v>
      </c>
      <c r="Q107" s="33" t="n">
        <f>23840</f>
        <v>23840.0</v>
      </c>
      <c r="R107" s="34" t="s">
        <v>51</v>
      </c>
      <c r="S107" s="35" t="n">
        <f>23104.5</f>
        <v>23104.5</v>
      </c>
      <c r="T107" s="32" t="n">
        <f>1601820</f>
        <v>1601820.0</v>
      </c>
      <c r="U107" s="32" t="n">
        <f>160</f>
        <v>160.0</v>
      </c>
      <c r="V107" s="32" t="n">
        <f>36810587350</f>
        <v>3.681058735E10</v>
      </c>
      <c r="W107" s="32" t="n">
        <f>3754000</f>
        <v>3754000.0</v>
      </c>
      <c r="X107" s="36" t="n">
        <f>20</f>
        <v>20.0</v>
      </c>
    </row>
    <row r="108">
      <c r="A108" s="27" t="s">
        <v>42</v>
      </c>
      <c r="B108" s="27" t="s">
        <v>373</v>
      </c>
      <c r="C108" s="27" t="s">
        <v>374</v>
      </c>
      <c r="D108" s="27" t="s">
        <v>375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2160</f>
        <v>2160.0</v>
      </c>
      <c r="L108" s="34" t="s">
        <v>48</v>
      </c>
      <c r="M108" s="33" t="n">
        <f>2201</f>
        <v>2201.0</v>
      </c>
      <c r="N108" s="34" t="s">
        <v>48</v>
      </c>
      <c r="O108" s="33" t="n">
        <f>2056.5</f>
        <v>2056.5</v>
      </c>
      <c r="P108" s="34" t="s">
        <v>64</v>
      </c>
      <c r="Q108" s="33" t="n">
        <f>2078.5</f>
        <v>2078.5</v>
      </c>
      <c r="R108" s="34" t="s">
        <v>51</v>
      </c>
      <c r="S108" s="35" t="n">
        <f>2114.48</f>
        <v>2114.48</v>
      </c>
      <c r="T108" s="32" t="n">
        <f>199850</f>
        <v>199850.0</v>
      </c>
      <c r="U108" s="32" t="str">
        <f>"－"</f>
        <v>－</v>
      </c>
      <c r="V108" s="32" t="n">
        <f>419822330</f>
        <v>4.1982233E8</v>
      </c>
      <c r="W108" s="32" t="str">
        <f>"－"</f>
        <v>－</v>
      </c>
      <c r="X108" s="36" t="n">
        <f>20</f>
        <v>20.0</v>
      </c>
    </row>
    <row r="109">
      <c r="A109" s="27" t="s">
        <v>42</v>
      </c>
      <c r="B109" s="27" t="s">
        <v>376</v>
      </c>
      <c r="C109" s="27" t="s">
        <v>377</v>
      </c>
      <c r="D109" s="27" t="s">
        <v>378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13075</f>
        <v>13075.0</v>
      </c>
      <c r="L109" s="34" t="s">
        <v>48</v>
      </c>
      <c r="M109" s="33" t="n">
        <f>14680</f>
        <v>14680.0</v>
      </c>
      <c r="N109" s="34" t="s">
        <v>64</v>
      </c>
      <c r="O109" s="33" t="n">
        <f>12510</f>
        <v>12510.0</v>
      </c>
      <c r="P109" s="34" t="s">
        <v>48</v>
      </c>
      <c r="Q109" s="33" t="n">
        <f>14430</f>
        <v>14430.0</v>
      </c>
      <c r="R109" s="34" t="s">
        <v>51</v>
      </c>
      <c r="S109" s="35" t="n">
        <f>13634.75</f>
        <v>13634.75</v>
      </c>
      <c r="T109" s="32" t="n">
        <f>209697713</f>
        <v>2.09697713E8</v>
      </c>
      <c r="U109" s="32" t="n">
        <f>2180281</f>
        <v>2180281.0</v>
      </c>
      <c r="V109" s="32" t="n">
        <f>2840387946667</f>
        <v>2.840387946667E12</v>
      </c>
      <c r="W109" s="32" t="n">
        <f>31059989402</f>
        <v>3.1059989402E10</v>
      </c>
      <c r="X109" s="36" t="n">
        <f>20</f>
        <v>20.0</v>
      </c>
    </row>
    <row r="110">
      <c r="A110" s="27" t="s">
        <v>42</v>
      </c>
      <c r="B110" s="27" t="s">
        <v>379</v>
      </c>
      <c r="C110" s="27" t="s">
        <v>380</v>
      </c>
      <c r="D110" s="27" t="s">
        <v>381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1028</f>
        <v>1028.0</v>
      </c>
      <c r="L110" s="34" t="s">
        <v>48</v>
      </c>
      <c r="M110" s="33" t="n">
        <f>1050</f>
        <v>1050.0</v>
      </c>
      <c r="N110" s="34" t="s">
        <v>48</v>
      </c>
      <c r="O110" s="33" t="n">
        <f>965</f>
        <v>965.0</v>
      </c>
      <c r="P110" s="34" t="s">
        <v>64</v>
      </c>
      <c r="Q110" s="33" t="n">
        <f>974</f>
        <v>974.0</v>
      </c>
      <c r="R110" s="34" t="s">
        <v>51</v>
      </c>
      <c r="S110" s="35" t="n">
        <f>1004.3</f>
        <v>1004.3</v>
      </c>
      <c r="T110" s="32" t="n">
        <f>60437973</f>
        <v>6.0437973E7</v>
      </c>
      <c r="U110" s="32" t="n">
        <f>9146025</f>
        <v>9146025.0</v>
      </c>
      <c r="V110" s="32" t="n">
        <f>60927956729</f>
        <v>6.0927956729E10</v>
      </c>
      <c r="W110" s="32" t="n">
        <f>9339040365</f>
        <v>9.339040365E9</v>
      </c>
      <c r="X110" s="36" t="n">
        <f>20</f>
        <v>20.0</v>
      </c>
    </row>
    <row r="111">
      <c r="A111" s="27" t="s">
        <v>42</v>
      </c>
      <c r="B111" s="27" t="s">
        <v>382</v>
      </c>
      <c r="C111" s="27" t="s">
        <v>383</v>
      </c>
      <c r="D111" s="27" t="s">
        <v>384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6819</f>
        <v>6819.0</v>
      </c>
      <c r="L111" s="34" t="s">
        <v>48</v>
      </c>
      <c r="M111" s="33" t="n">
        <f>6972</f>
        <v>6972.0</v>
      </c>
      <c r="N111" s="34" t="s">
        <v>85</v>
      </c>
      <c r="O111" s="33" t="n">
        <f>5340</f>
        <v>5340.0</v>
      </c>
      <c r="P111" s="34" t="s">
        <v>51</v>
      </c>
      <c r="Q111" s="33" t="n">
        <f>5444</f>
        <v>5444.0</v>
      </c>
      <c r="R111" s="34" t="s">
        <v>51</v>
      </c>
      <c r="S111" s="35" t="n">
        <f>6137</f>
        <v>6137.0</v>
      </c>
      <c r="T111" s="32" t="n">
        <f>120260</f>
        <v>120260.0</v>
      </c>
      <c r="U111" s="32" t="str">
        <f>"－"</f>
        <v>－</v>
      </c>
      <c r="V111" s="32" t="n">
        <f>741391170</f>
        <v>7.4139117E8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385</v>
      </c>
      <c r="C112" s="27" t="s">
        <v>386</v>
      </c>
      <c r="D112" s="27" t="s">
        <v>387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9900</f>
        <v>9900.0</v>
      </c>
      <c r="L112" s="34" t="s">
        <v>48</v>
      </c>
      <c r="M112" s="33" t="n">
        <f>11000</f>
        <v>11000.0</v>
      </c>
      <c r="N112" s="34" t="s">
        <v>100</v>
      </c>
      <c r="O112" s="33" t="n">
        <f>9710</f>
        <v>9710.0</v>
      </c>
      <c r="P112" s="34" t="s">
        <v>262</v>
      </c>
      <c r="Q112" s="33" t="n">
        <f>10600</f>
        <v>10600.0</v>
      </c>
      <c r="R112" s="34" t="s">
        <v>51</v>
      </c>
      <c r="S112" s="35" t="n">
        <f>10385.5</f>
        <v>10385.5</v>
      </c>
      <c r="T112" s="32" t="n">
        <f>10200</f>
        <v>10200.0</v>
      </c>
      <c r="U112" s="32" t="str">
        <f>"－"</f>
        <v>－</v>
      </c>
      <c r="V112" s="32" t="n">
        <f>106182440</f>
        <v>1.0618244E8</v>
      </c>
      <c r="W112" s="32" t="str">
        <f>"－"</f>
        <v>－</v>
      </c>
      <c r="X112" s="36" t="n">
        <f>20</f>
        <v>20.0</v>
      </c>
    </row>
    <row r="113">
      <c r="A113" s="27" t="s">
        <v>42</v>
      </c>
      <c r="B113" s="27" t="s">
        <v>388</v>
      </c>
      <c r="C113" s="27" t="s">
        <v>389</v>
      </c>
      <c r="D113" s="27" t="s">
        <v>390</v>
      </c>
      <c r="E113" s="28" t="s">
        <v>46</v>
      </c>
      <c r="F113" s="29" t="s">
        <v>46</v>
      </c>
      <c r="G113" s="30" t="s">
        <v>46</v>
      </c>
      <c r="H113" s="31" t="s">
        <v>348</v>
      </c>
      <c r="I113" s="31" t="s">
        <v>47</v>
      </c>
      <c r="J113" s="32" t="n">
        <v>10.0</v>
      </c>
      <c r="K113" s="33" t="n">
        <f>859.7</f>
        <v>859.7</v>
      </c>
      <c r="L113" s="34" t="s">
        <v>48</v>
      </c>
      <c r="M113" s="33" t="n">
        <f>908.5</f>
        <v>908.5</v>
      </c>
      <c r="N113" s="34" t="s">
        <v>170</v>
      </c>
      <c r="O113" s="33" t="n">
        <f>790</f>
        <v>790.0</v>
      </c>
      <c r="P113" s="34" t="s">
        <v>51</v>
      </c>
      <c r="Q113" s="33" t="n">
        <f>793</f>
        <v>793.0</v>
      </c>
      <c r="R113" s="34" t="s">
        <v>51</v>
      </c>
      <c r="S113" s="35" t="n">
        <f>833.55</f>
        <v>833.55</v>
      </c>
      <c r="T113" s="32" t="n">
        <f>19780</f>
        <v>19780.0</v>
      </c>
      <c r="U113" s="32" t="str">
        <f>"－"</f>
        <v>－</v>
      </c>
      <c r="V113" s="32" t="n">
        <f>16921839</f>
        <v>1.6921839E7</v>
      </c>
      <c r="W113" s="32" t="str">
        <f>"－"</f>
        <v>－</v>
      </c>
      <c r="X113" s="36" t="n">
        <f>20</f>
        <v>20.0</v>
      </c>
    </row>
    <row r="114">
      <c r="A114" s="27" t="s">
        <v>42</v>
      </c>
      <c r="B114" s="27" t="s">
        <v>391</v>
      </c>
      <c r="C114" s="27" t="s">
        <v>392</v>
      </c>
      <c r="D114" s="27" t="s">
        <v>393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24335</f>
        <v>24335.0</v>
      </c>
      <c r="L114" s="34" t="s">
        <v>48</v>
      </c>
      <c r="M114" s="33" t="n">
        <f>24450</f>
        <v>24450.0</v>
      </c>
      <c r="N114" s="34" t="s">
        <v>64</v>
      </c>
      <c r="O114" s="33" t="n">
        <f>23400</f>
        <v>23400.0</v>
      </c>
      <c r="P114" s="34" t="s">
        <v>170</v>
      </c>
      <c r="Q114" s="33" t="n">
        <f>24195</f>
        <v>24195.0</v>
      </c>
      <c r="R114" s="34" t="s">
        <v>51</v>
      </c>
      <c r="S114" s="35" t="n">
        <f>24083.25</f>
        <v>24083.25</v>
      </c>
      <c r="T114" s="32" t="n">
        <f>57988</f>
        <v>57988.0</v>
      </c>
      <c r="U114" s="32" t="n">
        <f>16525</f>
        <v>16525.0</v>
      </c>
      <c r="V114" s="32" t="n">
        <f>1391075670</f>
        <v>1.39107567E9</v>
      </c>
      <c r="W114" s="32" t="n">
        <f>398151465</f>
        <v>3.98151465E8</v>
      </c>
      <c r="X114" s="36" t="n">
        <f>20</f>
        <v>20.0</v>
      </c>
    </row>
    <row r="115">
      <c r="A115" s="27" t="s">
        <v>42</v>
      </c>
      <c r="B115" s="27" t="s">
        <v>394</v>
      </c>
      <c r="C115" s="27" t="s">
        <v>395</v>
      </c>
      <c r="D115" s="27" t="s">
        <v>396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2120</f>
        <v>2120.0</v>
      </c>
      <c r="L115" s="34" t="s">
        <v>48</v>
      </c>
      <c r="M115" s="33" t="n">
        <f>2236</f>
        <v>2236.0</v>
      </c>
      <c r="N115" s="34" t="s">
        <v>64</v>
      </c>
      <c r="O115" s="33" t="n">
        <f>2075</f>
        <v>2075.0</v>
      </c>
      <c r="P115" s="34" t="s">
        <v>48</v>
      </c>
      <c r="Q115" s="33" t="n">
        <f>2216</f>
        <v>2216.0</v>
      </c>
      <c r="R115" s="34" t="s">
        <v>51</v>
      </c>
      <c r="S115" s="35" t="n">
        <f>2153.9</f>
        <v>2153.9</v>
      </c>
      <c r="T115" s="32" t="n">
        <f>499002</f>
        <v>499002.0</v>
      </c>
      <c r="U115" s="32" t="n">
        <f>462000</f>
        <v>462000.0</v>
      </c>
      <c r="V115" s="32" t="n">
        <f>1100079870</f>
        <v>1.10007987E9</v>
      </c>
      <c r="W115" s="32" t="n">
        <f>1020280800</f>
        <v>1.0202808E9</v>
      </c>
      <c r="X115" s="36" t="n">
        <f>20</f>
        <v>20.0</v>
      </c>
    </row>
    <row r="116">
      <c r="A116" s="27" t="s">
        <v>42</v>
      </c>
      <c r="B116" s="27" t="s">
        <v>397</v>
      </c>
      <c r="C116" s="27" t="s">
        <v>398</v>
      </c>
      <c r="D116" s="27" t="s">
        <v>399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13985</f>
        <v>13985.0</v>
      </c>
      <c r="L116" s="34" t="s">
        <v>48</v>
      </c>
      <c r="M116" s="33" t="n">
        <f>15710</f>
        <v>15710.0</v>
      </c>
      <c r="N116" s="34" t="s">
        <v>64</v>
      </c>
      <c r="O116" s="33" t="n">
        <f>13385</f>
        <v>13385.0</v>
      </c>
      <c r="P116" s="34" t="s">
        <v>48</v>
      </c>
      <c r="Q116" s="33" t="n">
        <f>15450</f>
        <v>15450.0</v>
      </c>
      <c r="R116" s="34" t="s">
        <v>51</v>
      </c>
      <c r="S116" s="35" t="n">
        <f>14593</f>
        <v>14593.0</v>
      </c>
      <c r="T116" s="32" t="n">
        <f>18896060</f>
        <v>1.889606E7</v>
      </c>
      <c r="U116" s="32" t="n">
        <f>70060</f>
        <v>70060.0</v>
      </c>
      <c r="V116" s="32" t="n">
        <f>274602164150</f>
        <v>2.7460216415E11</v>
      </c>
      <c r="W116" s="32" t="n">
        <f>983559950</f>
        <v>9.8355995E8</v>
      </c>
      <c r="X116" s="36" t="n">
        <f>20</f>
        <v>20.0</v>
      </c>
    </row>
    <row r="117">
      <c r="A117" s="27" t="s">
        <v>42</v>
      </c>
      <c r="B117" s="27" t="s">
        <v>400</v>
      </c>
      <c r="C117" s="27" t="s">
        <v>401</v>
      </c>
      <c r="D117" s="27" t="s">
        <v>402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2730.5</f>
        <v>2730.5</v>
      </c>
      <c r="L117" s="34" t="s">
        <v>48</v>
      </c>
      <c r="M117" s="33" t="n">
        <f>2788</f>
        <v>2788.0</v>
      </c>
      <c r="N117" s="34" t="s">
        <v>48</v>
      </c>
      <c r="O117" s="33" t="n">
        <f>2563</f>
        <v>2563.0</v>
      </c>
      <c r="P117" s="34" t="s">
        <v>64</v>
      </c>
      <c r="Q117" s="33" t="n">
        <f>2583.5</f>
        <v>2583.5</v>
      </c>
      <c r="R117" s="34" t="s">
        <v>51</v>
      </c>
      <c r="S117" s="35" t="n">
        <f>2667.33</f>
        <v>2667.33</v>
      </c>
      <c r="T117" s="32" t="n">
        <f>1454510</f>
        <v>1454510.0</v>
      </c>
      <c r="U117" s="32" t="n">
        <f>384700</f>
        <v>384700.0</v>
      </c>
      <c r="V117" s="32" t="n">
        <f>3845753939</f>
        <v>3.845753939E9</v>
      </c>
      <c r="W117" s="32" t="n">
        <f>999175924</f>
        <v>9.99175924E8</v>
      </c>
      <c r="X117" s="36" t="n">
        <f>20</f>
        <v>20.0</v>
      </c>
    </row>
    <row r="118">
      <c r="A118" s="27" t="s">
        <v>42</v>
      </c>
      <c r="B118" s="27" t="s">
        <v>403</v>
      </c>
      <c r="C118" s="27" t="s">
        <v>404</v>
      </c>
      <c r="D118" s="27" t="s">
        <v>405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815</f>
        <v>815.0</v>
      </c>
      <c r="L118" s="34" t="s">
        <v>262</v>
      </c>
      <c r="M118" s="33" t="n">
        <f>880</f>
        <v>880.0</v>
      </c>
      <c r="N118" s="34" t="s">
        <v>68</v>
      </c>
      <c r="O118" s="33" t="n">
        <f>815</f>
        <v>815.0</v>
      </c>
      <c r="P118" s="34" t="s">
        <v>262</v>
      </c>
      <c r="Q118" s="33" t="n">
        <f>880</f>
        <v>880.0</v>
      </c>
      <c r="R118" s="34" t="s">
        <v>51</v>
      </c>
      <c r="S118" s="35" t="n">
        <f>856.5</f>
        <v>856.5</v>
      </c>
      <c r="T118" s="32" t="n">
        <f>290</f>
        <v>290.0</v>
      </c>
      <c r="U118" s="32" t="str">
        <f>"－"</f>
        <v>－</v>
      </c>
      <c r="V118" s="32" t="n">
        <f>243600</f>
        <v>243600.0</v>
      </c>
      <c r="W118" s="32" t="str">
        <f>"－"</f>
        <v>－</v>
      </c>
      <c r="X118" s="36" t="n">
        <f>10</f>
        <v>10.0</v>
      </c>
    </row>
    <row r="119">
      <c r="A119" s="27" t="s">
        <v>42</v>
      </c>
      <c r="B119" s="27" t="s">
        <v>406</v>
      </c>
      <c r="C119" s="27" t="s">
        <v>407</v>
      </c>
      <c r="D119" s="27" t="s">
        <v>408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1488</f>
        <v>1488.0</v>
      </c>
      <c r="L119" s="34" t="s">
        <v>85</v>
      </c>
      <c r="M119" s="33" t="n">
        <f>1523</f>
        <v>1523.0</v>
      </c>
      <c r="N119" s="34" t="s">
        <v>51</v>
      </c>
      <c r="O119" s="33" t="n">
        <f>1475</f>
        <v>1475.0</v>
      </c>
      <c r="P119" s="34" t="s">
        <v>323</v>
      </c>
      <c r="Q119" s="33" t="n">
        <f>1523</f>
        <v>1523.0</v>
      </c>
      <c r="R119" s="34" t="s">
        <v>51</v>
      </c>
      <c r="S119" s="35" t="n">
        <f>1492.5</f>
        <v>1492.5</v>
      </c>
      <c r="T119" s="32" t="n">
        <f>53820</f>
        <v>53820.0</v>
      </c>
      <c r="U119" s="32" t="n">
        <f>53620</f>
        <v>53620.0</v>
      </c>
      <c r="V119" s="32" t="n">
        <f>80219034</f>
        <v>8.0219034E7</v>
      </c>
      <c r="W119" s="32" t="n">
        <f>79919554</f>
        <v>7.9919554E7</v>
      </c>
      <c r="X119" s="36" t="n">
        <f>6</f>
        <v>6.0</v>
      </c>
    </row>
    <row r="120">
      <c r="A120" s="27" t="s">
        <v>42</v>
      </c>
      <c r="B120" s="27" t="s">
        <v>409</v>
      </c>
      <c r="C120" s="27" t="s">
        <v>410</v>
      </c>
      <c r="D120" s="27" t="s">
        <v>411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1626</f>
        <v>1626.0</v>
      </c>
      <c r="L120" s="34" t="s">
        <v>48</v>
      </c>
      <c r="M120" s="33" t="n">
        <f>1679</f>
        <v>1679.0</v>
      </c>
      <c r="N120" s="34" t="s">
        <v>231</v>
      </c>
      <c r="O120" s="33" t="n">
        <f>1555</f>
        <v>1555.0</v>
      </c>
      <c r="P120" s="34" t="s">
        <v>50</v>
      </c>
      <c r="Q120" s="33" t="n">
        <f>1633</f>
        <v>1633.0</v>
      </c>
      <c r="R120" s="34" t="s">
        <v>51</v>
      </c>
      <c r="S120" s="35" t="n">
        <f>1607.6</f>
        <v>1607.6</v>
      </c>
      <c r="T120" s="32" t="n">
        <f>5851</f>
        <v>5851.0</v>
      </c>
      <c r="U120" s="32" t="str">
        <f>"－"</f>
        <v>－</v>
      </c>
      <c r="V120" s="32" t="n">
        <f>9408837</f>
        <v>9408837.0</v>
      </c>
      <c r="W120" s="32" t="str">
        <f>"－"</f>
        <v>－</v>
      </c>
      <c r="X120" s="36" t="n">
        <f>20</f>
        <v>20.0</v>
      </c>
    </row>
    <row r="121">
      <c r="A121" s="27" t="s">
        <v>42</v>
      </c>
      <c r="B121" s="27" t="s">
        <v>412</v>
      </c>
      <c r="C121" s="27" t="s">
        <v>413</v>
      </c>
      <c r="D121" s="27" t="s">
        <v>414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16900</f>
        <v>16900.0</v>
      </c>
      <c r="L121" s="34" t="s">
        <v>48</v>
      </c>
      <c r="M121" s="33" t="n">
        <f>17700</f>
        <v>17700.0</v>
      </c>
      <c r="N121" s="34" t="s">
        <v>49</v>
      </c>
      <c r="O121" s="33" t="n">
        <f>16565</f>
        <v>16565.0</v>
      </c>
      <c r="P121" s="34" t="s">
        <v>48</v>
      </c>
      <c r="Q121" s="33" t="n">
        <f>17570</f>
        <v>17570.0</v>
      </c>
      <c r="R121" s="34" t="s">
        <v>51</v>
      </c>
      <c r="S121" s="35" t="n">
        <f>17231.25</f>
        <v>17231.25</v>
      </c>
      <c r="T121" s="32" t="n">
        <f>84120</f>
        <v>84120.0</v>
      </c>
      <c r="U121" s="32" t="n">
        <f>62000</f>
        <v>62000.0</v>
      </c>
      <c r="V121" s="32" t="n">
        <f>1430531335</f>
        <v>1.430531335E9</v>
      </c>
      <c r="W121" s="32" t="n">
        <f>1048003000</f>
        <v>1.048003E9</v>
      </c>
      <c r="X121" s="36" t="n">
        <f>20</f>
        <v>20.0</v>
      </c>
    </row>
    <row r="122">
      <c r="A122" s="27" t="s">
        <v>42</v>
      </c>
      <c r="B122" s="27" t="s">
        <v>415</v>
      </c>
      <c r="C122" s="27" t="s">
        <v>416</v>
      </c>
      <c r="D122" s="27" t="s">
        <v>417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1576</f>
        <v>1576.0</v>
      </c>
      <c r="L122" s="34" t="s">
        <v>48</v>
      </c>
      <c r="M122" s="33" t="n">
        <f>1612</f>
        <v>1612.0</v>
      </c>
      <c r="N122" s="34" t="s">
        <v>49</v>
      </c>
      <c r="O122" s="33" t="n">
        <f>1531</f>
        <v>1531.0</v>
      </c>
      <c r="P122" s="34" t="s">
        <v>50</v>
      </c>
      <c r="Q122" s="33" t="n">
        <f>1595</f>
        <v>1595.0</v>
      </c>
      <c r="R122" s="34" t="s">
        <v>51</v>
      </c>
      <c r="S122" s="35" t="n">
        <f>1572.8</f>
        <v>1572.8</v>
      </c>
      <c r="T122" s="32" t="n">
        <f>261273</f>
        <v>261273.0</v>
      </c>
      <c r="U122" s="32" t="n">
        <f>100622</f>
        <v>100622.0</v>
      </c>
      <c r="V122" s="32" t="n">
        <f>407044092</f>
        <v>4.07044092E8</v>
      </c>
      <c r="W122" s="32" t="n">
        <f>156769076</f>
        <v>1.56769076E8</v>
      </c>
      <c r="X122" s="36" t="n">
        <f>20</f>
        <v>20.0</v>
      </c>
    </row>
    <row r="123">
      <c r="A123" s="27" t="s">
        <v>42</v>
      </c>
      <c r="B123" s="27" t="s">
        <v>418</v>
      </c>
      <c r="C123" s="27" t="s">
        <v>419</v>
      </c>
      <c r="D123" s="27" t="s">
        <v>420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17455</f>
        <v>17455.0</v>
      </c>
      <c r="L123" s="34" t="s">
        <v>48</v>
      </c>
      <c r="M123" s="33" t="n">
        <f>18100</f>
        <v>18100.0</v>
      </c>
      <c r="N123" s="34" t="s">
        <v>166</v>
      </c>
      <c r="O123" s="33" t="n">
        <f>17115</f>
        <v>17115.0</v>
      </c>
      <c r="P123" s="34" t="s">
        <v>48</v>
      </c>
      <c r="Q123" s="33" t="n">
        <f>17860</f>
        <v>17860.0</v>
      </c>
      <c r="R123" s="34" t="s">
        <v>51</v>
      </c>
      <c r="S123" s="35" t="n">
        <f>17700.25</f>
        <v>17700.25</v>
      </c>
      <c r="T123" s="32" t="n">
        <f>16125</f>
        <v>16125.0</v>
      </c>
      <c r="U123" s="32" t="n">
        <f>2868</f>
        <v>2868.0</v>
      </c>
      <c r="V123" s="32" t="n">
        <f>283962687</f>
        <v>2.83962687E8</v>
      </c>
      <c r="W123" s="32" t="n">
        <f>50507752</f>
        <v>5.0507752E7</v>
      </c>
      <c r="X123" s="36" t="n">
        <f>20</f>
        <v>20.0</v>
      </c>
    </row>
    <row r="124">
      <c r="A124" s="27" t="s">
        <v>42</v>
      </c>
      <c r="B124" s="27" t="s">
        <v>421</v>
      </c>
      <c r="C124" s="27" t="s">
        <v>422</v>
      </c>
      <c r="D124" s="27" t="s">
        <v>423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2011</f>
        <v>2011.0</v>
      </c>
      <c r="L124" s="34" t="s">
        <v>48</v>
      </c>
      <c r="M124" s="33" t="n">
        <f>2054.5</f>
        <v>2054.5</v>
      </c>
      <c r="N124" s="34" t="s">
        <v>51</v>
      </c>
      <c r="O124" s="33" t="n">
        <f>1980</f>
        <v>1980.0</v>
      </c>
      <c r="P124" s="34" t="s">
        <v>48</v>
      </c>
      <c r="Q124" s="33" t="n">
        <f>2054.5</f>
        <v>2054.5</v>
      </c>
      <c r="R124" s="34" t="s">
        <v>51</v>
      </c>
      <c r="S124" s="35" t="n">
        <f>2011.23</f>
        <v>2011.23</v>
      </c>
      <c r="T124" s="32" t="n">
        <f>715610</f>
        <v>715610.0</v>
      </c>
      <c r="U124" s="32" t="n">
        <f>133040</f>
        <v>133040.0</v>
      </c>
      <c r="V124" s="32" t="n">
        <f>1449746603</f>
        <v>1.449746603E9</v>
      </c>
      <c r="W124" s="32" t="n">
        <f>267561138</f>
        <v>2.67561138E8</v>
      </c>
      <c r="X124" s="36" t="n">
        <f>20</f>
        <v>20.0</v>
      </c>
    </row>
    <row r="125">
      <c r="A125" s="27" t="s">
        <v>42</v>
      </c>
      <c r="B125" s="27" t="s">
        <v>424</v>
      </c>
      <c r="C125" s="27" t="s">
        <v>425</v>
      </c>
      <c r="D125" s="27" t="s">
        <v>426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1630</f>
        <v>1630.0</v>
      </c>
      <c r="L125" s="34" t="s">
        <v>262</v>
      </c>
      <c r="M125" s="33" t="n">
        <f>1681</f>
        <v>1681.0</v>
      </c>
      <c r="N125" s="34" t="s">
        <v>176</v>
      </c>
      <c r="O125" s="33" t="n">
        <f>1628</f>
        <v>1628.0</v>
      </c>
      <c r="P125" s="34" t="s">
        <v>50</v>
      </c>
      <c r="Q125" s="33" t="n">
        <f>1681</f>
        <v>1681.0</v>
      </c>
      <c r="R125" s="34" t="s">
        <v>176</v>
      </c>
      <c r="S125" s="35" t="n">
        <f>1644.5</f>
        <v>1644.5</v>
      </c>
      <c r="T125" s="32" t="n">
        <f>2310</f>
        <v>2310.0</v>
      </c>
      <c r="U125" s="32" t="str">
        <f>"－"</f>
        <v>－</v>
      </c>
      <c r="V125" s="32" t="n">
        <f>3776280</f>
        <v>3776280.0</v>
      </c>
      <c r="W125" s="32" t="str">
        <f>"－"</f>
        <v>－</v>
      </c>
      <c r="X125" s="36" t="n">
        <f>5</f>
        <v>5.0</v>
      </c>
    </row>
    <row r="126">
      <c r="A126" s="27" t="s">
        <v>42</v>
      </c>
      <c r="B126" s="27" t="s">
        <v>427</v>
      </c>
      <c r="C126" s="27" t="s">
        <v>428</v>
      </c>
      <c r="D126" s="27" t="s">
        <v>429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2016</f>
        <v>2016.0</v>
      </c>
      <c r="L126" s="34" t="s">
        <v>48</v>
      </c>
      <c r="M126" s="33" t="n">
        <f>2076</f>
        <v>2076.0</v>
      </c>
      <c r="N126" s="34" t="s">
        <v>51</v>
      </c>
      <c r="O126" s="33" t="n">
        <f>1979</f>
        <v>1979.0</v>
      </c>
      <c r="P126" s="34" t="s">
        <v>48</v>
      </c>
      <c r="Q126" s="33" t="n">
        <f>2075</f>
        <v>2075.0</v>
      </c>
      <c r="R126" s="34" t="s">
        <v>51</v>
      </c>
      <c r="S126" s="35" t="n">
        <f>2025.53</f>
        <v>2025.53</v>
      </c>
      <c r="T126" s="32" t="n">
        <f>255780</f>
        <v>255780.0</v>
      </c>
      <c r="U126" s="32" t="n">
        <f>30000</f>
        <v>30000.0</v>
      </c>
      <c r="V126" s="32" t="n">
        <f>516144345</f>
        <v>5.16144345E8</v>
      </c>
      <c r="W126" s="32" t="n">
        <f>60306000</f>
        <v>6.0306E7</v>
      </c>
      <c r="X126" s="36" t="n">
        <f>20</f>
        <v>20.0</v>
      </c>
    </row>
    <row r="127">
      <c r="A127" s="27" t="s">
        <v>42</v>
      </c>
      <c r="B127" s="27" t="s">
        <v>430</v>
      </c>
      <c r="C127" s="27" t="s">
        <v>431</v>
      </c>
      <c r="D127" s="27" t="s">
        <v>432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17165</f>
        <v>17165.0</v>
      </c>
      <c r="L127" s="34" t="s">
        <v>262</v>
      </c>
      <c r="M127" s="33" t="n">
        <f>17785</f>
        <v>17785.0</v>
      </c>
      <c r="N127" s="34" t="s">
        <v>49</v>
      </c>
      <c r="O127" s="33" t="n">
        <f>16540</f>
        <v>16540.0</v>
      </c>
      <c r="P127" s="34" t="s">
        <v>50</v>
      </c>
      <c r="Q127" s="33" t="n">
        <f>17655</f>
        <v>17655.0</v>
      </c>
      <c r="R127" s="34" t="s">
        <v>64</v>
      </c>
      <c r="S127" s="35" t="n">
        <f>17405</f>
        <v>17405.0</v>
      </c>
      <c r="T127" s="32" t="n">
        <f>21256</f>
        <v>21256.0</v>
      </c>
      <c r="U127" s="32" t="n">
        <f>20635</f>
        <v>20635.0</v>
      </c>
      <c r="V127" s="32" t="n">
        <f>366210816</f>
        <v>3.66210816E8</v>
      </c>
      <c r="W127" s="32" t="n">
        <f>355586031</f>
        <v>3.55586031E8</v>
      </c>
      <c r="X127" s="36" t="n">
        <f>16</f>
        <v>16.0</v>
      </c>
    </row>
    <row r="128">
      <c r="A128" s="27" t="s">
        <v>42</v>
      </c>
      <c r="B128" s="27" t="s">
        <v>433</v>
      </c>
      <c r="C128" s="27" t="s">
        <v>434</v>
      </c>
      <c r="D128" s="27" t="s">
        <v>435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100.0</v>
      </c>
      <c r="K128" s="33" t="n">
        <f>168.5</f>
        <v>168.5</v>
      </c>
      <c r="L128" s="34" t="s">
        <v>48</v>
      </c>
      <c r="M128" s="33" t="n">
        <f>171.7</f>
        <v>171.7</v>
      </c>
      <c r="N128" s="34" t="s">
        <v>174</v>
      </c>
      <c r="O128" s="33" t="n">
        <f>158.1</f>
        <v>158.1</v>
      </c>
      <c r="P128" s="34" t="s">
        <v>100</v>
      </c>
      <c r="Q128" s="33" t="n">
        <f>165.3</f>
        <v>165.3</v>
      </c>
      <c r="R128" s="34" t="s">
        <v>51</v>
      </c>
      <c r="S128" s="35" t="n">
        <f>166.1</f>
        <v>166.1</v>
      </c>
      <c r="T128" s="32" t="n">
        <f>40227400</f>
        <v>4.02274E7</v>
      </c>
      <c r="U128" s="32" t="n">
        <f>621200</f>
        <v>621200.0</v>
      </c>
      <c r="V128" s="32" t="n">
        <f>6583503494</f>
        <v>6.583503494E9</v>
      </c>
      <c r="W128" s="32" t="n">
        <f>100161204</f>
        <v>1.00161204E8</v>
      </c>
      <c r="X128" s="36" t="n">
        <f>20</f>
        <v>20.0</v>
      </c>
    </row>
    <row r="129">
      <c r="A129" s="27" t="s">
        <v>42</v>
      </c>
      <c r="B129" s="27" t="s">
        <v>436</v>
      </c>
      <c r="C129" s="27" t="s">
        <v>437</v>
      </c>
      <c r="D129" s="27" t="s">
        <v>438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29030</f>
        <v>29030.0</v>
      </c>
      <c r="L129" s="34" t="s">
        <v>48</v>
      </c>
      <c r="M129" s="33" t="n">
        <f>29865</f>
        <v>29865.0</v>
      </c>
      <c r="N129" s="34" t="s">
        <v>174</v>
      </c>
      <c r="O129" s="33" t="n">
        <f>28465</f>
        <v>28465.0</v>
      </c>
      <c r="P129" s="34" t="s">
        <v>175</v>
      </c>
      <c r="Q129" s="33" t="n">
        <f>28955</f>
        <v>28955.0</v>
      </c>
      <c r="R129" s="34" t="s">
        <v>51</v>
      </c>
      <c r="S129" s="35" t="n">
        <f>29140.5</f>
        <v>29140.5</v>
      </c>
      <c r="T129" s="32" t="n">
        <f>1452</f>
        <v>1452.0</v>
      </c>
      <c r="U129" s="32" t="str">
        <f>"－"</f>
        <v>－</v>
      </c>
      <c r="V129" s="32" t="n">
        <f>42390190</f>
        <v>4.239019E7</v>
      </c>
      <c r="W129" s="32" t="str">
        <f>"－"</f>
        <v>－</v>
      </c>
      <c r="X129" s="36" t="n">
        <f>20</f>
        <v>20.0</v>
      </c>
    </row>
    <row r="130">
      <c r="A130" s="27" t="s">
        <v>42</v>
      </c>
      <c r="B130" s="27" t="s">
        <v>439</v>
      </c>
      <c r="C130" s="27" t="s">
        <v>440</v>
      </c>
      <c r="D130" s="27" t="s">
        <v>441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13780</f>
        <v>13780.0</v>
      </c>
      <c r="L130" s="34" t="s">
        <v>48</v>
      </c>
      <c r="M130" s="33" t="n">
        <f>14410</f>
        <v>14410.0</v>
      </c>
      <c r="N130" s="34" t="s">
        <v>85</v>
      </c>
      <c r="O130" s="33" t="n">
        <f>12695</f>
        <v>12695.0</v>
      </c>
      <c r="P130" s="34" t="s">
        <v>100</v>
      </c>
      <c r="Q130" s="33" t="n">
        <f>13775</f>
        <v>13775.0</v>
      </c>
      <c r="R130" s="34" t="s">
        <v>51</v>
      </c>
      <c r="S130" s="35" t="n">
        <f>13436.75</f>
        <v>13436.75</v>
      </c>
      <c r="T130" s="32" t="n">
        <f>21945</f>
        <v>21945.0</v>
      </c>
      <c r="U130" s="32" t="n">
        <f>1</f>
        <v>1.0</v>
      </c>
      <c r="V130" s="32" t="n">
        <f>293009485</f>
        <v>2.93009485E8</v>
      </c>
      <c r="W130" s="32" t="n">
        <f>14800</f>
        <v>14800.0</v>
      </c>
      <c r="X130" s="36" t="n">
        <f>20</f>
        <v>20.0</v>
      </c>
    </row>
    <row r="131">
      <c r="A131" s="27" t="s">
        <v>42</v>
      </c>
      <c r="B131" s="27" t="s">
        <v>442</v>
      </c>
      <c r="C131" s="27" t="s">
        <v>443</v>
      </c>
      <c r="D131" s="27" t="s">
        <v>444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21400</f>
        <v>21400.0</v>
      </c>
      <c r="L131" s="34" t="s">
        <v>48</v>
      </c>
      <c r="M131" s="33" t="n">
        <f>21695</f>
        <v>21695.0</v>
      </c>
      <c r="N131" s="34" t="s">
        <v>174</v>
      </c>
      <c r="O131" s="33" t="n">
        <f>20515</f>
        <v>20515.0</v>
      </c>
      <c r="P131" s="34" t="s">
        <v>100</v>
      </c>
      <c r="Q131" s="33" t="n">
        <f>21335</f>
        <v>21335.0</v>
      </c>
      <c r="R131" s="34" t="s">
        <v>51</v>
      </c>
      <c r="S131" s="35" t="n">
        <f>21204.5</f>
        <v>21204.5</v>
      </c>
      <c r="T131" s="32" t="n">
        <f>858</f>
        <v>858.0</v>
      </c>
      <c r="U131" s="32" t="str">
        <f>"－"</f>
        <v>－</v>
      </c>
      <c r="V131" s="32" t="n">
        <f>18112060</f>
        <v>1.811206E7</v>
      </c>
      <c r="W131" s="32" t="str">
        <f>"－"</f>
        <v>－</v>
      </c>
      <c r="X131" s="36" t="n">
        <f>20</f>
        <v>20.0</v>
      </c>
    </row>
    <row r="132">
      <c r="A132" s="27" t="s">
        <v>42</v>
      </c>
      <c r="B132" s="27" t="s">
        <v>445</v>
      </c>
      <c r="C132" s="27" t="s">
        <v>446</v>
      </c>
      <c r="D132" s="27" t="s">
        <v>447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24090</f>
        <v>24090.0</v>
      </c>
      <c r="L132" s="34" t="s">
        <v>48</v>
      </c>
      <c r="M132" s="33" t="n">
        <f>24895</f>
        <v>24895.0</v>
      </c>
      <c r="N132" s="34" t="s">
        <v>174</v>
      </c>
      <c r="O132" s="33" t="n">
        <f>23770</f>
        <v>23770.0</v>
      </c>
      <c r="P132" s="34" t="s">
        <v>68</v>
      </c>
      <c r="Q132" s="33" t="n">
        <f>24300</f>
        <v>24300.0</v>
      </c>
      <c r="R132" s="34" t="s">
        <v>51</v>
      </c>
      <c r="S132" s="35" t="n">
        <f>24364.75</f>
        <v>24364.75</v>
      </c>
      <c r="T132" s="32" t="n">
        <f>892</f>
        <v>892.0</v>
      </c>
      <c r="U132" s="32" t="str">
        <f>"－"</f>
        <v>－</v>
      </c>
      <c r="V132" s="32" t="n">
        <f>21698645</f>
        <v>2.1698645E7</v>
      </c>
      <c r="W132" s="32" t="str">
        <f>"－"</f>
        <v>－</v>
      </c>
      <c r="X132" s="36" t="n">
        <f>20</f>
        <v>20.0</v>
      </c>
    </row>
    <row r="133">
      <c r="A133" s="27" t="s">
        <v>42</v>
      </c>
      <c r="B133" s="27" t="s">
        <v>448</v>
      </c>
      <c r="C133" s="27" t="s">
        <v>449</v>
      </c>
      <c r="D133" s="27" t="s">
        <v>450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24150</f>
        <v>24150.0</v>
      </c>
      <c r="L133" s="34" t="s">
        <v>48</v>
      </c>
      <c r="M133" s="33" t="n">
        <f>25500</f>
        <v>25500.0</v>
      </c>
      <c r="N133" s="34" t="s">
        <v>162</v>
      </c>
      <c r="O133" s="33" t="n">
        <f>23780</f>
        <v>23780.0</v>
      </c>
      <c r="P133" s="34" t="s">
        <v>48</v>
      </c>
      <c r="Q133" s="33" t="n">
        <f>24315</f>
        <v>24315.0</v>
      </c>
      <c r="R133" s="34" t="s">
        <v>51</v>
      </c>
      <c r="S133" s="35" t="n">
        <f>24786.25</f>
        <v>24786.25</v>
      </c>
      <c r="T133" s="32" t="n">
        <f>7119</f>
        <v>7119.0</v>
      </c>
      <c r="U133" s="32" t="n">
        <f>1272</f>
        <v>1272.0</v>
      </c>
      <c r="V133" s="32" t="n">
        <f>175284675</f>
        <v>1.75284675E8</v>
      </c>
      <c r="W133" s="32" t="n">
        <f>30380015</f>
        <v>3.0380015E7</v>
      </c>
      <c r="X133" s="36" t="n">
        <f>20</f>
        <v>20.0</v>
      </c>
    </row>
    <row r="134">
      <c r="A134" s="27" t="s">
        <v>42</v>
      </c>
      <c r="B134" s="27" t="s">
        <v>451</v>
      </c>
      <c r="C134" s="27" t="s">
        <v>452</v>
      </c>
      <c r="D134" s="27" t="s">
        <v>453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23650</f>
        <v>23650.0</v>
      </c>
      <c r="L134" s="34" t="s">
        <v>48</v>
      </c>
      <c r="M134" s="33" t="n">
        <f>24565</f>
        <v>24565.0</v>
      </c>
      <c r="N134" s="34" t="s">
        <v>93</v>
      </c>
      <c r="O134" s="33" t="n">
        <f>22885</f>
        <v>22885.0</v>
      </c>
      <c r="P134" s="34" t="s">
        <v>170</v>
      </c>
      <c r="Q134" s="33" t="n">
        <f>23690</f>
        <v>23690.0</v>
      </c>
      <c r="R134" s="34" t="s">
        <v>51</v>
      </c>
      <c r="S134" s="35" t="n">
        <f>23852.75</f>
        <v>23852.75</v>
      </c>
      <c r="T134" s="32" t="n">
        <f>15520</f>
        <v>15520.0</v>
      </c>
      <c r="U134" s="32" t="n">
        <f>9000</f>
        <v>9000.0</v>
      </c>
      <c r="V134" s="32" t="n">
        <f>374868030</f>
        <v>3.7486803E8</v>
      </c>
      <c r="W134" s="32" t="n">
        <f>219447000</f>
        <v>2.19447E8</v>
      </c>
      <c r="X134" s="36" t="n">
        <f>20</f>
        <v>20.0</v>
      </c>
    </row>
    <row r="135">
      <c r="A135" s="27" t="s">
        <v>42</v>
      </c>
      <c r="B135" s="27" t="s">
        <v>454</v>
      </c>
      <c r="C135" s="27" t="s">
        <v>455</v>
      </c>
      <c r="D135" s="27" t="s">
        <v>456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16355</f>
        <v>16355.0</v>
      </c>
      <c r="L135" s="34" t="s">
        <v>48</v>
      </c>
      <c r="M135" s="33" t="n">
        <f>16485</f>
        <v>16485.0</v>
      </c>
      <c r="N135" s="34" t="s">
        <v>174</v>
      </c>
      <c r="O135" s="33" t="n">
        <f>15400</f>
        <v>15400.0</v>
      </c>
      <c r="P135" s="34" t="s">
        <v>68</v>
      </c>
      <c r="Q135" s="33" t="n">
        <f>15970</f>
        <v>15970.0</v>
      </c>
      <c r="R135" s="34" t="s">
        <v>51</v>
      </c>
      <c r="S135" s="35" t="n">
        <f>16010.75</f>
        <v>16010.75</v>
      </c>
      <c r="T135" s="32" t="n">
        <f>7694</f>
        <v>7694.0</v>
      </c>
      <c r="U135" s="32" t="str">
        <f>"－"</f>
        <v>－</v>
      </c>
      <c r="V135" s="32" t="n">
        <f>122286550</f>
        <v>1.2228655E8</v>
      </c>
      <c r="W135" s="32" t="str">
        <f>"－"</f>
        <v>－</v>
      </c>
      <c r="X135" s="36" t="n">
        <f>20</f>
        <v>20.0</v>
      </c>
    </row>
    <row r="136">
      <c r="A136" s="27" t="s">
        <v>42</v>
      </c>
      <c r="B136" s="27" t="s">
        <v>457</v>
      </c>
      <c r="C136" s="27" t="s">
        <v>458</v>
      </c>
      <c r="D136" s="27" t="s">
        <v>459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37700</f>
        <v>37700.0</v>
      </c>
      <c r="L136" s="34" t="s">
        <v>48</v>
      </c>
      <c r="M136" s="33" t="n">
        <f>39010</f>
        <v>39010.0</v>
      </c>
      <c r="N136" s="34" t="s">
        <v>49</v>
      </c>
      <c r="O136" s="33" t="n">
        <f>36490</f>
        <v>36490.0</v>
      </c>
      <c r="P136" s="34" t="s">
        <v>68</v>
      </c>
      <c r="Q136" s="33" t="n">
        <f>38430</f>
        <v>38430.0</v>
      </c>
      <c r="R136" s="34" t="s">
        <v>64</v>
      </c>
      <c r="S136" s="35" t="n">
        <f>37966.32</f>
        <v>37966.32</v>
      </c>
      <c r="T136" s="32" t="n">
        <f>2323</f>
        <v>2323.0</v>
      </c>
      <c r="U136" s="32" t="str">
        <f>"－"</f>
        <v>－</v>
      </c>
      <c r="V136" s="32" t="n">
        <f>87464930</f>
        <v>8.746493E7</v>
      </c>
      <c r="W136" s="32" t="str">
        <f>"－"</f>
        <v>－</v>
      </c>
      <c r="X136" s="36" t="n">
        <f>19</f>
        <v>19.0</v>
      </c>
    </row>
    <row r="137">
      <c r="A137" s="27" t="s">
        <v>42</v>
      </c>
      <c r="B137" s="27" t="s">
        <v>460</v>
      </c>
      <c r="C137" s="27" t="s">
        <v>461</v>
      </c>
      <c r="D137" s="27" t="s">
        <v>462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25880</f>
        <v>25880.0</v>
      </c>
      <c r="L137" s="34" t="s">
        <v>48</v>
      </c>
      <c r="M137" s="33" t="n">
        <f>27760</f>
        <v>27760.0</v>
      </c>
      <c r="N137" s="34" t="s">
        <v>49</v>
      </c>
      <c r="O137" s="33" t="n">
        <f>25325</f>
        <v>25325.0</v>
      </c>
      <c r="P137" s="34" t="s">
        <v>48</v>
      </c>
      <c r="Q137" s="33" t="n">
        <f>27100</f>
        <v>27100.0</v>
      </c>
      <c r="R137" s="34" t="s">
        <v>51</v>
      </c>
      <c r="S137" s="35" t="n">
        <f>26637</f>
        <v>26637.0</v>
      </c>
      <c r="T137" s="32" t="n">
        <f>10711</f>
        <v>10711.0</v>
      </c>
      <c r="U137" s="32" t="n">
        <f>6000</f>
        <v>6000.0</v>
      </c>
      <c r="V137" s="32" t="n">
        <f>286106565</f>
        <v>2.86106565E8</v>
      </c>
      <c r="W137" s="32" t="n">
        <f>161920000</f>
        <v>1.6192E8</v>
      </c>
      <c r="X137" s="36" t="n">
        <f>20</f>
        <v>20.0</v>
      </c>
    </row>
    <row r="138">
      <c r="A138" s="27" t="s">
        <v>42</v>
      </c>
      <c r="B138" s="27" t="s">
        <v>463</v>
      </c>
      <c r="C138" s="27" t="s">
        <v>464</v>
      </c>
      <c r="D138" s="27" t="s">
        <v>465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27505</f>
        <v>27505.0</v>
      </c>
      <c r="L138" s="34" t="s">
        <v>48</v>
      </c>
      <c r="M138" s="33" t="n">
        <f>28650</f>
        <v>28650.0</v>
      </c>
      <c r="N138" s="34" t="s">
        <v>51</v>
      </c>
      <c r="O138" s="33" t="n">
        <f>27065</f>
        <v>27065.0</v>
      </c>
      <c r="P138" s="34" t="s">
        <v>48</v>
      </c>
      <c r="Q138" s="33" t="n">
        <f>28475</f>
        <v>28475.0</v>
      </c>
      <c r="R138" s="34" t="s">
        <v>51</v>
      </c>
      <c r="S138" s="35" t="n">
        <f>28010.5</f>
        <v>28010.5</v>
      </c>
      <c r="T138" s="32" t="n">
        <f>1118</f>
        <v>1118.0</v>
      </c>
      <c r="U138" s="32" t="str">
        <f>"－"</f>
        <v>－</v>
      </c>
      <c r="V138" s="32" t="n">
        <f>31203670</f>
        <v>3.120367E7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466</v>
      </c>
      <c r="C139" s="27" t="s">
        <v>467</v>
      </c>
      <c r="D139" s="27" t="s">
        <v>468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6800</f>
        <v>6800.0</v>
      </c>
      <c r="L139" s="34" t="s">
        <v>48</v>
      </c>
      <c r="M139" s="33" t="n">
        <f>6883</f>
        <v>6883.0</v>
      </c>
      <c r="N139" s="34" t="s">
        <v>262</v>
      </c>
      <c r="O139" s="33" t="n">
        <f>6320</f>
        <v>6320.0</v>
      </c>
      <c r="P139" s="34" t="s">
        <v>72</v>
      </c>
      <c r="Q139" s="33" t="n">
        <f>6522</f>
        <v>6522.0</v>
      </c>
      <c r="R139" s="34" t="s">
        <v>51</v>
      </c>
      <c r="S139" s="35" t="n">
        <f>6617.05</f>
        <v>6617.05</v>
      </c>
      <c r="T139" s="32" t="n">
        <f>51769</f>
        <v>51769.0</v>
      </c>
      <c r="U139" s="32" t="n">
        <f>20000</f>
        <v>20000.0</v>
      </c>
      <c r="V139" s="32" t="n">
        <f>338896734</f>
        <v>3.38896734E8</v>
      </c>
      <c r="W139" s="32" t="n">
        <f>128960000</f>
        <v>1.2896E8</v>
      </c>
      <c r="X139" s="36" t="n">
        <f>20</f>
        <v>20.0</v>
      </c>
    </row>
    <row r="140">
      <c r="A140" s="27" t="s">
        <v>42</v>
      </c>
      <c r="B140" s="27" t="s">
        <v>469</v>
      </c>
      <c r="C140" s="27" t="s">
        <v>470</v>
      </c>
      <c r="D140" s="27" t="s">
        <v>471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15450</f>
        <v>15450.0</v>
      </c>
      <c r="L140" s="34" t="s">
        <v>48</v>
      </c>
      <c r="M140" s="33" t="n">
        <f>15560</f>
        <v>15560.0</v>
      </c>
      <c r="N140" s="34" t="s">
        <v>51</v>
      </c>
      <c r="O140" s="33" t="n">
        <f>14725</f>
        <v>14725.0</v>
      </c>
      <c r="P140" s="34" t="s">
        <v>100</v>
      </c>
      <c r="Q140" s="33" t="n">
        <f>15560</f>
        <v>15560.0</v>
      </c>
      <c r="R140" s="34" t="s">
        <v>51</v>
      </c>
      <c r="S140" s="35" t="n">
        <f>15191.25</f>
        <v>15191.25</v>
      </c>
      <c r="T140" s="32" t="n">
        <f>16841</f>
        <v>16841.0</v>
      </c>
      <c r="U140" s="32" t="n">
        <f>4004</f>
        <v>4004.0</v>
      </c>
      <c r="V140" s="32" t="n">
        <f>255205290</f>
        <v>2.5520529E8</v>
      </c>
      <c r="W140" s="32" t="n">
        <f>59571700</f>
        <v>5.95717E7</v>
      </c>
      <c r="X140" s="36" t="n">
        <f>20</f>
        <v>20.0</v>
      </c>
    </row>
    <row r="141">
      <c r="A141" s="27" t="s">
        <v>42</v>
      </c>
      <c r="B141" s="27" t="s">
        <v>472</v>
      </c>
      <c r="C141" s="27" t="s">
        <v>473</v>
      </c>
      <c r="D141" s="27" t="s">
        <v>474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43400</f>
        <v>43400.0</v>
      </c>
      <c r="L141" s="34" t="s">
        <v>48</v>
      </c>
      <c r="M141" s="33" t="n">
        <f>44160</f>
        <v>44160.0</v>
      </c>
      <c r="N141" s="34" t="s">
        <v>166</v>
      </c>
      <c r="O141" s="33" t="n">
        <f>42150</f>
        <v>42150.0</v>
      </c>
      <c r="P141" s="34" t="s">
        <v>68</v>
      </c>
      <c r="Q141" s="33" t="n">
        <f>43680</f>
        <v>43680.0</v>
      </c>
      <c r="R141" s="34" t="s">
        <v>51</v>
      </c>
      <c r="S141" s="35" t="n">
        <f>43444</f>
        <v>43444.0</v>
      </c>
      <c r="T141" s="32" t="n">
        <f>9127</f>
        <v>9127.0</v>
      </c>
      <c r="U141" s="32" t="str">
        <f>"－"</f>
        <v>－</v>
      </c>
      <c r="V141" s="32" t="n">
        <f>395056510</f>
        <v>3.9505651E8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475</v>
      </c>
      <c r="C142" s="27" t="s">
        <v>476</v>
      </c>
      <c r="D142" s="27" t="s">
        <v>477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21140</f>
        <v>21140.0</v>
      </c>
      <c r="L142" s="34" t="s">
        <v>262</v>
      </c>
      <c r="M142" s="33" t="n">
        <f>22050</f>
        <v>22050.0</v>
      </c>
      <c r="N142" s="34" t="s">
        <v>174</v>
      </c>
      <c r="O142" s="33" t="n">
        <f>21060</f>
        <v>21060.0</v>
      </c>
      <c r="P142" s="34" t="s">
        <v>170</v>
      </c>
      <c r="Q142" s="33" t="n">
        <f>21720</f>
        <v>21720.0</v>
      </c>
      <c r="R142" s="34" t="s">
        <v>51</v>
      </c>
      <c r="S142" s="35" t="n">
        <f>21538.95</f>
        <v>21538.95</v>
      </c>
      <c r="T142" s="32" t="n">
        <f>874</f>
        <v>874.0</v>
      </c>
      <c r="U142" s="32" t="str">
        <f>"－"</f>
        <v>－</v>
      </c>
      <c r="V142" s="32" t="n">
        <f>18854070</f>
        <v>1.885407E7</v>
      </c>
      <c r="W142" s="32" t="str">
        <f>"－"</f>
        <v>－</v>
      </c>
      <c r="X142" s="36" t="n">
        <f>19</f>
        <v>19.0</v>
      </c>
    </row>
    <row r="143">
      <c r="A143" s="27" t="s">
        <v>42</v>
      </c>
      <c r="B143" s="27" t="s">
        <v>478</v>
      </c>
      <c r="C143" s="27" t="s">
        <v>479</v>
      </c>
      <c r="D143" s="27" t="s">
        <v>480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8829</f>
        <v>8829.0</v>
      </c>
      <c r="L143" s="34" t="s">
        <v>48</v>
      </c>
      <c r="M143" s="33" t="n">
        <f>8997</f>
        <v>8997.0</v>
      </c>
      <c r="N143" s="34" t="s">
        <v>174</v>
      </c>
      <c r="O143" s="33" t="n">
        <f>8200</f>
        <v>8200.0</v>
      </c>
      <c r="P143" s="34" t="s">
        <v>100</v>
      </c>
      <c r="Q143" s="33" t="n">
        <f>8579</f>
        <v>8579.0</v>
      </c>
      <c r="R143" s="34" t="s">
        <v>51</v>
      </c>
      <c r="S143" s="35" t="n">
        <f>8664.25</f>
        <v>8664.25</v>
      </c>
      <c r="T143" s="32" t="n">
        <f>20644</f>
        <v>20644.0</v>
      </c>
      <c r="U143" s="32" t="str">
        <f>"－"</f>
        <v>－</v>
      </c>
      <c r="V143" s="32" t="n">
        <f>176459546</f>
        <v>1.76459546E8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481</v>
      </c>
      <c r="C144" s="27" t="s">
        <v>482</v>
      </c>
      <c r="D144" s="27" t="s">
        <v>483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15140</f>
        <v>15140.0</v>
      </c>
      <c r="L144" s="34" t="s">
        <v>48</v>
      </c>
      <c r="M144" s="33" t="n">
        <f>15385</f>
        <v>15385.0</v>
      </c>
      <c r="N144" s="34" t="s">
        <v>174</v>
      </c>
      <c r="O144" s="33" t="n">
        <f>14395</f>
        <v>14395.0</v>
      </c>
      <c r="P144" s="34" t="s">
        <v>100</v>
      </c>
      <c r="Q144" s="33" t="n">
        <f>14805</f>
        <v>14805.0</v>
      </c>
      <c r="R144" s="34" t="s">
        <v>51</v>
      </c>
      <c r="S144" s="35" t="n">
        <f>14907.25</f>
        <v>14907.25</v>
      </c>
      <c r="T144" s="32" t="n">
        <f>1576</f>
        <v>1576.0</v>
      </c>
      <c r="U144" s="32" t="str">
        <f>"－"</f>
        <v>－</v>
      </c>
      <c r="V144" s="32" t="n">
        <f>23500120</f>
        <v>2.350012E7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484</v>
      </c>
      <c r="C145" s="27" t="s">
        <v>485</v>
      </c>
      <c r="D145" s="27" t="s">
        <v>486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31620</f>
        <v>31620.0</v>
      </c>
      <c r="L145" s="34" t="s">
        <v>48</v>
      </c>
      <c r="M145" s="33" t="n">
        <f>31620</f>
        <v>31620.0</v>
      </c>
      <c r="N145" s="34" t="s">
        <v>48</v>
      </c>
      <c r="O145" s="33" t="n">
        <f>29300</f>
        <v>29300.0</v>
      </c>
      <c r="P145" s="34" t="s">
        <v>100</v>
      </c>
      <c r="Q145" s="33" t="n">
        <f>30770</f>
        <v>30770.0</v>
      </c>
      <c r="R145" s="34" t="s">
        <v>51</v>
      </c>
      <c r="S145" s="35" t="n">
        <f>30406.5</f>
        <v>30406.5</v>
      </c>
      <c r="T145" s="32" t="n">
        <f>1199</f>
        <v>1199.0</v>
      </c>
      <c r="U145" s="32" t="str">
        <f>"－"</f>
        <v>－</v>
      </c>
      <c r="V145" s="32" t="n">
        <f>36521735</f>
        <v>3.6521735E7</v>
      </c>
      <c r="W145" s="32" t="str">
        <f>"－"</f>
        <v>－</v>
      </c>
      <c r="X145" s="36" t="n">
        <f>20</f>
        <v>20.0</v>
      </c>
    </row>
    <row r="146">
      <c r="A146" s="27" t="s">
        <v>42</v>
      </c>
      <c r="B146" s="27" t="s">
        <v>487</v>
      </c>
      <c r="C146" s="27" t="s">
        <v>488</v>
      </c>
      <c r="D146" s="27" t="s">
        <v>489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1206</f>
        <v>1206.0</v>
      </c>
      <c r="L146" s="34" t="s">
        <v>48</v>
      </c>
      <c r="M146" s="33" t="n">
        <f>1250</f>
        <v>1250.0</v>
      </c>
      <c r="N146" s="34" t="s">
        <v>64</v>
      </c>
      <c r="O146" s="33" t="n">
        <f>1182</f>
        <v>1182.0</v>
      </c>
      <c r="P146" s="34" t="s">
        <v>170</v>
      </c>
      <c r="Q146" s="33" t="n">
        <f>1220</f>
        <v>1220.0</v>
      </c>
      <c r="R146" s="34" t="s">
        <v>51</v>
      </c>
      <c r="S146" s="35" t="n">
        <f>1216.35</f>
        <v>1216.35</v>
      </c>
      <c r="T146" s="32" t="n">
        <f>336240</f>
        <v>336240.0</v>
      </c>
      <c r="U146" s="32" t="n">
        <f>74500</f>
        <v>74500.0</v>
      </c>
      <c r="V146" s="32" t="n">
        <f>407834668</f>
        <v>4.07834668E8</v>
      </c>
      <c r="W146" s="32" t="n">
        <f>89474158</f>
        <v>8.9474158E7</v>
      </c>
      <c r="X146" s="36" t="n">
        <f>20</f>
        <v>20.0</v>
      </c>
    </row>
    <row r="147">
      <c r="A147" s="27" t="s">
        <v>42</v>
      </c>
      <c r="B147" s="27" t="s">
        <v>490</v>
      </c>
      <c r="C147" s="27" t="s">
        <v>491</v>
      </c>
      <c r="D147" s="27" t="s">
        <v>492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2216</f>
        <v>2216.0</v>
      </c>
      <c r="L147" s="34" t="s">
        <v>48</v>
      </c>
      <c r="M147" s="33" t="n">
        <f>2327</f>
        <v>2327.0</v>
      </c>
      <c r="N147" s="34" t="s">
        <v>51</v>
      </c>
      <c r="O147" s="33" t="n">
        <f>2216</f>
        <v>2216.0</v>
      </c>
      <c r="P147" s="34" t="s">
        <v>48</v>
      </c>
      <c r="Q147" s="33" t="n">
        <f>2327</f>
        <v>2327.0</v>
      </c>
      <c r="R147" s="34" t="s">
        <v>51</v>
      </c>
      <c r="S147" s="35" t="n">
        <f>2266.79</f>
        <v>2266.79</v>
      </c>
      <c r="T147" s="32" t="n">
        <f>210</f>
        <v>210.0</v>
      </c>
      <c r="U147" s="32" t="str">
        <f>"－"</f>
        <v>－</v>
      </c>
      <c r="V147" s="32" t="n">
        <f>471905</f>
        <v>471905.0</v>
      </c>
      <c r="W147" s="32" t="str">
        <f>"－"</f>
        <v>－</v>
      </c>
      <c r="X147" s="36" t="n">
        <f>7</f>
        <v>7.0</v>
      </c>
    </row>
    <row r="148">
      <c r="A148" s="27" t="s">
        <v>42</v>
      </c>
      <c r="B148" s="27" t="s">
        <v>493</v>
      </c>
      <c r="C148" s="27" t="s">
        <v>494</v>
      </c>
      <c r="D148" s="27" t="s">
        <v>495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2429.5</f>
        <v>2429.5</v>
      </c>
      <c r="L148" s="34" t="s">
        <v>48</v>
      </c>
      <c r="M148" s="33" t="n">
        <f>2514</f>
        <v>2514.0</v>
      </c>
      <c r="N148" s="34" t="s">
        <v>49</v>
      </c>
      <c r="O148" s="33" t="n">
        <f>2384</f>
        <v>2384.0</v>
      </c>
      <c r="P148" s="34" t="s">
        <v>50</v>
      </c>
      <c r="Q148" s="33" t="n">
        <f>2490.5</f>
        <v>2490.5</v>
      </c>
      <c r="R148" s="34" t="s">
        <v>51</v>
      </c>
      <c r="S148" s="35" t="n">
        <f>2450.53</f>
        <v>2450.53</v>
      </c>
      <c r="T148" s="32" t="n">
        <f>67200</f>
        <v>67200.0</v>
      </c>
      <c r="U148" s="32" t="str">
        <f>"－"</f>
        <v>－</v>
      </c>
      <c r="V148" s="32" t="n">
        <f>165751230</f>
        <v>1.6575123E8</v>
      </c>
      <c r="W148" s="32" t="str">
        <f>"－"</f>
        <v>－</v>
      </c>
      <c r="X148" s="36" t="n">
        <f>15</f>
        <v>15.0</v>
      </c>
    </row>
    <row r="149">
      <c r="A149" s="27" t="s">
        <v>42</v>
      </c>
      <c r="B149" s="27" t="s">
        <v>496</v>
      </c>
      <c r="C149" s="27" t="s">
        <v>497</v>
      </c>
      <c r="D149" s="27" t="s">
        <v>498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1506</f>
        <v>1506.0</v>
      </c>
      <c r="L149" s="34" t="s">
        <v>48</v>
      </c>
      <c r="M149" s="33" t="n">
        <f>1538</f>
        <v>1538.0</v>
      </c>
      <c r="N149" s="34" t="s">
        <v>93</v>
      </c>
      <c r="O149" s="33" t="n">
        <f>1470.5</f>
        <v>1470.5</v>
      </c>
      <c r="P149" s="34" t="s">
        <v>50</v>
      </c>
      <c r="Q149" s="33" t="n">
        <f>1538</f>
        <v>1538.0</v>
      </c>
      <c r="R149" s="34" t="s">
        <v>176</v>
      </c>
      <c r="S149" s="35" t="n">
        <f>1504.94</f>
        <v>1504.94</v>
      </c>
      <c r="T149" s="32" t="n">
        <f>350</f>
        <v>350.0</v>
      </c>
      <c r="U149" s="32" t="str">
        <f>"－"</f>
        <v>－</v>
      </c>
      <c r="V149" s="32" t="n">
        <f>526215</f>
        <v>526215.0</v>
      </c>
      <c r="W149" s="32" t="str">
        <f>"－"</f>
        <v>－</v>
      </c>
      <c r="X149" s="36" t="n">
        <f>9</f>
        <v>9.0</v>
      </c>
    </row>
    <row r="150">
      <c r="A150" s="27" t="s">
        <v>42</v>
      </c>
      <c r="B150" s="27" t="s">
        <v>499</v>
      </c>
      <c r="C150" s="27" t="s">
        <v>500</v>
      </c>
      <c r="D150" s="27" t="s">
        <v>501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371</f>
        <v>371.0</v>
      </c>
      <c r="L150" s="34" t="s">
        <v>48</v>
      </c>
      <c r="M150" s="33" t="n">
        <f>397.6</f>
        <v>397.6</v>
      </c>
      <c r="N150" s="34" t="s">
        <v>51</v>
      </c>
      <c r="O150" s="33" t="n">
        <f>364</f>
        <v>364.0</v>
      </c>
      <c r="P150" s="34" t="s">
        <v>48</v>
      </c>
      <c r="Q150" s="33" t="n">
        <f>393.7</f>
        <v>393.7</v>
      </c>
      <c r="R150" s="34" t="s">
        <v>51</v>
      </c>
      <c r="S150" s="35" t="n">
        <f>383.31</f>
        <v>383.31</v>
      </c>
      <c r="T150" s="32" t="n">
        <f>47015660</f>
        <v>4.701566E7</v>
      </c>
      <c r="U150" s="32" t="n">
        <f>327160</f>
        <v>327160.0</v>
      </c>
      <c r="V150" s="32" t="n">
        <f>18062620694</f>
        <v>1.8062620694E10</v>
      </c>
      <c r="W150" s="32" t="n">
        <f>124209135</f>
        <v>1.24209135E8</v>
      </c>
      <c r="X150" s="36" t="n">
        <f>20</f>
        <v>20.0</v>
      </c>
    </row>
    <row r="151">
      <c r="A151" s="27" t="s">
        <v>42</v>
      </c>
      <c r="B151" s="27" t="s">
        <v>502</v>
      </c>
      <c r="C151" s="27" t="s">
        <v>503</v>
      </c>
      <c r="D151" s="27" t="s">
        <v>504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2854</f>
        <v>2854.0</v>
      </c>
      <c r="L151" s="34" t="s">
        <v>48</v>
      </c>
      <c r="M151" s="33" t="n">
        <f>2936</f>
        <v>2936.0</v>
      </c>
      <c r="N151" s="34" t="s">
        <v>100</v>
      </c>
      <c r="O151" s="33" t="n">
        <f>2837</f>
        <v>2837.0</v>
      </c>
      <c r="P151" s="34" t="s">
        <v>174</v>
      </c>
      <c r="Q151" s="33" t="n">
        <f>2880</f>
        <v>2880.0</v>
      </c>
      <c r="R151" s="34" t="s">
        <v>51</v>
      </c>
      <c r="S151" s="35" t="n">
        <f>2894.7</f>
        <v>2894.7</v>
      </c>
      <c r="T151" s="32" t="n">
        <f>3157437</f>
        <v>3157437.0</v>
      </c>
      <c r="U151" s="32" t="n">
        <f>2464284</f>
        <v>2464284.0</v>
      </c>
      <c r="V151" s="32" t="n">
        <f>9146024575</f>
        <v>9.146024575E9</v>
      </c>
      <c r="W151" s="32" t="n">
        <f>7130276692</f>
        <v>7.130276692E9</v>
      </c>
      <c r="X151" s="36" t="n">
        <f>20</f>
        <v>20.0</v>
      </c>
    </row>
    <row r="152">
      <c r="A152" s="27" t="s">
        <v>42</v>
      </c>
      <c r="B152" s="27" t="s">
        <v>505</v>
      </c>
      <c r="C152" s="27" t="s">
        <v>506</v>
      </c>
      <c r="D152" s="27" t="s">
        <v>507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3240</f>
        <v>3240.0</v>
      </c>
      <c r="L152" s="34" t="s">
        <v>48</v>
      </c>
      <c r="M152" s="33" t="n">
        <f>3430</f>
        <v>3430.0</v>
      </c>
      <c r="N152" s="34" t="s">
        <v>51</v>
      </c>
      <c r="O152" s="33" t="n">
        <f>3170</f>
        <v>3170.0</v>
      </c>
      <c r="P152" s="34" t="s">
        <v>48</v>
      </c>
      <c r="Q152" s="33" t="n">
        <f>3400</f>
        <v>3400.0</v>
      </c>
      <c r="R152" s="34" t="s">
        <v>51</v>
      </c>
      <c r="S152" s="35" t="n">
        <f>3311</f>
        <v>3311.0</v>
      </c>
      <c r="T152" s="32" t="n">
        <f>110575</f>
        <v>110575.0</v>
      </c>
      <c r="U152" s="32" t="n">
        <f>32250</f>
        <v>32250.0</v>
      </c>
      <c r="V152" s="32" t="n">
        <f>365295408</f>
        <v>3.65295408E8</v>
      </c>
      <c r="W152" s="32" t="n">
        <f>105299348</f>
        <v>1.05299348E8</v>
      </c>
      <c r="X152" s="36" t="n">
        <f>20</f>
        <v>20.0</v>
      </c>
    </row>
    <row r="153">
      <c r="A153" s="27" t="s">
        <v>42</v>
      </c>
      <c r="B153" s="27" t="s">
        <v>508</v>
      </c>
      <c r="C153" s="27" t="s">
        <v>509</v>
      </c>
      <c r="D153" s="27" t="s">
        <v>510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2270</f>
        <v>2270.0</v>
      </c>
      <c r="L153" s="34" t="s">
        <v>48</v>
      </c>
      <c r="M153" s="33" t="n">
        <f>2276</f>
        <v>2276.0</v>
      </c>
      <c r="N153" s="34" t="s">
        <v>161</v>
      </c>
      <c r="O153" s="33" t="n">
        <f>2180</f>
        <v>2180.0</v>
      </c>
      <c r="P153" s="34" t="s">
        <v>170</v>
      </c>
      <c r="Q153" s="33" t="n">
        <f>2195</f>
        <v>2195.0</v>
      </c>
      <c r="R153" s="34" t="s">
        <v>51</v>
      </c>
      <c r="S153" s="35" t="n">
        <f>2224.25</f>
        <v>2224.25</v>
      </c>
      <c r="T153" s="32" t="n">
        <f>111683</f>
        <v>111683.0</v>
      </c>
      <c r="U153" s="32" t="str">
        <f>"－"</f>
        <v>－</v>
      </c>
      <c r="V153" s="32" t="n">
        <f>248625684</f>
        <v>2.48625684E8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511</v>
      </c>
      <c r="C154" s="27" t="s">
        <v>512</v>
      </c>
      <c r="D154" s="27" t="s">
        <v>513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2697</f>
        <v>2697.0</v>
      </c>
      <c r="L154" s="34" t="s">
        <v>48</v>
      </c>
      <c r="M154" s="33" t="n">
        <f>2888</f>
        <v>2888.0</v>
      </c>
      <c r="N154" s="34" t="s">
        <v>51</v>
      </c>
      <c r="O154" s="33" t="n">
        <f>2648</f>
        <v>2648.0</v>
      </c>
      <c r="P154" s="34" t="s">
        <v>48</v>
      </c>
      <c r="Q154" s="33" t="n">
        <f>2865</f>
        <v>2865.0</v>
      </c>
      <c r="R154" s="34" t="s">
        <v>51</v>
      </c>
      <c r="S154" s="35" t="n">
        <f>2764.1</f>
        <v>2764.1</v>
      </c>
      <c r="T154" s="32" t="n">
        <f>485962</f>
        <v>485962.0</v>
      </c>
      <c r="U154" s="32" t="n">
        <f>345050</f>
        <v>345050.0</v>
      </c>
      <c r="V154" s="32" t="n">
        <f>1386520690</f>
        <v>1.38652069E9</v>
      </c>
      <c r="W154" s="32" t="n">
        <f>995094973</f>
        <v>9.95094973E8</v>
      </c>
      <c r="X154" s="36" t="n">
        <f>20</f>
        <v>20.0</v>
      </c>
    </row>
    <row r="155">
      <c r="A155" s="27" t="s">
        <v>42</v>
      </c>
      <c r="B155" s="27" t="s">
        <v>514</v>
      </c>
      <c r="C155" s="27" t="s">
        <v>515</v>
      </c>
      <c r="D155" s="27" t="s">
        <v>516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11230</f>
        <v>11230.0</v>
      </c>
      <c r="L155" s="34" t="s">
        <v>48</v>
      </c>
      <c r="M155" s="33" t="n">
        <f>11380</f>
        <v>11380.0</v>
      </c>
      <c r="N155" s="34" t="s">
        <v>51</v>
      </c>
      <c r="O155" s="33" t="n">
        <f>10960</f>
        <v>10960.0</v>
      </c>
      <c r="P155" s="34" t="s">
        <v>231</v>
      </c>
      <c r="Q155" s="33" t="n">
        <f>11380</f>
        <v>11380.0</v>
      </c>
      <c r="R155" s="34" t="s">
        <v>51</v>
      </c>
      <c r="S155" s="35" t="n">
        <f>11145.25</f>
        <v>11145.25</v>
      </c>
      <c r="T155" s="32" t="n">
        <f>92428</f>
        <v>92428.0</v>
      </c>
      <c r="U155" s="32" t="n">
        <f>63555</f>
        <v>63555.0</v>
      </c>
      <c r="V155" s="32" t="n">
        <f>1029377307</f>
        <v>1.029377307E9</v>
      </c>
      <c r="W155" s="32" t="n">
        <f>707712012</f>
        <v>7.07712012E8</v>
      </c>
      <c r="X155" s="36" t="n">
        <f>20</f>
        <v>20.0</v>
      </c>
    </row>
    <row r="156">
      <c r="A156" s="27" t="s">
        <v>42</v>
      </c>
      <c r="B156" s="27" t="s">
        <v>517</v>
      </c>
      <c r="C156" s="27" t="s">
        <v>518</v>
      </c>
      <c r="D156" s="27" t="s">
        <v>519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3170</f>
        <v>3170.0</v>
      </c>
      <c r="L156" s="34" t="s">
        <v>48</v>
      </c>
      <c r="M156" s="33" t="n">
        <f>3320</f>
        <v>3320.0</v>
      </c>
      <c r="N156" s="34" t="s">
        <v>85</v>
      </c>
      <c r="O156" s="33" t="n">
        <f>2834</f>
        <v>2834.0</v>
      </c>
      <c r="P156" s="34" t="s">
        <v>323</v>
      </c>
      <c r="Q156" s="33" t="n">
        <f>2926</f>
        <v>2926.0</v>
      </c>
      <c r="R156" s="34" t="s">
        <v>51</v>
      </c>
      <c r="S156" s="35" t="n">
        <f>3022.2</f>
        <v>3022.2</v>
      </c>
      <c r="T156" s="32" t="n">
        <f>12751850</f>
        <v>1.275185E7</v>
      </c>
      <c r="U156" s="32" t="n">
        <f>5058</f>
        <v>5058.0</v>
      </c>
      <c r="V156" s="32" t="n">
        <f>38179653629</f>
        <v>3.8179653629E10</v>
      </c>
      <c r="W156" s="32" t="n">
        <f>15476447</f>
        <v>1.5476447E7</v>
      </c>
      <c r="X156" s="36" t="n">
        <f>20</f>
        <v>20.0</v>
      </c>
    </row>
    <row r="157">
      <c r="A157" s="27" t="s">
        <v>42</v>
      </c>
      <c r="B157" s="27" t="s">
        <v>520</v>
      </c>
      <c r="C157" s="27" t="s">
        <v>521</v>
      </c>
      <c r="D157" s="27" t="s">
        <v>522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23180</f>
        <v>23180.0</v>
      </c>
      <c r="L157" s="34" t="s">
        <v>48</v>
      </c>
      <c r="M157" s="33" t="n">
        <f>23305</f>
        <v>23305.0</v>
      </c>
      <c r="N157" s="34" t="s">
        <v>85</v>
      </c>
      <c r="O157" s="33" t="n">
        <f>22020</f>
        <v>22020.0</v>
      </c>
      <c r="P157" s="34" t="s">
        <v>93</v>
      </c>
      <c r="Q157" s="33" t="n">
        <f>22100</f>
        <v>22100.0</v>
      </c>
      <c r="R157" s="34" t="s">
        <v>51</v>
      </c>
      <c r="S157" s="35" t="n">
        <f>22400.25</f>
        <v>22400.25</v>
      </c>
      <c r="T157" s="32" t="n">
        <f>4758</f>
        <v>4758.0</v>
      </c>
      <c r="U157" s="32" t="str">
        <f>"－"</f>
        <v>－</v>
      </c>
      <c r="V157" s="32" t="n">
        <f>106703570</f>
        <v>1.0670357E8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523</v>
      </c>
      <c r="C158" s="27" t="s">
        <v>524</v>
      </c>
      <c r="D158" s="27" t="s">
        <v>525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2572.5</f>
        <v>2572.5</v>
      </c>
      <c r="L158" s="34" t="s">
        <v>48</v>
      </c>
      <c r="M158" s="33" t="n">
        <f>2572.5</f>
        <v>2572.5</v>
      </c>
      <c r="N158" s="34" t="s">
        <v>48</v>
      </c>
      <c r="O158" s="33" t="n">
        <f>2335.5</f>
        <v>2335.5</v>
      </c>
      <c r="P158" s="34" t="s">
        <v>166</v>
      </c>
      <c r="Q158" s="33" t="n">
        <f>2486</f>
        <v>2486.0</v>
      </c>
      <c r="R158" s="34" t="s">
        <v>51</v>
      </c>
      <c r="S158" s="35" t="n">
        <f>2420.85</f>
        <v>2420.85</v>
      </c>
      <c r="T158" s="32" t="n">
        <f>36160</f>
        <v>36160.0</v>
      </c>
      <c r="U158" s="32" t="str">
        <f>"－"</f>
        <v>－</v>
      </c>
      <c r="V158" s="32" t="n">
        <f>87988435</f>
        <v>8.7988435E7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526</v>
      </c>
      <c r="C159" s="27" t="s">
        <v>527</v>
      </c>
      <c r="D159" s="27" t="s">
        <v>528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11475</f>
        <v>11475.0</v>
      </c>
      <c r="L159" s="34" t="s">
        <v>48</v>
      </c>
      <c r="M159" s="33" t="n">
        <f>11475</f>
        <v>11475.0</v>
      </c>
      <c r="N159" s="34" t="s">
        <v>48</v>
      </c>
      <c r="O159" s="33" t="n">
        <f>10670</f>
        <v>10670.0</v>
      </c>
      <c r="P159" s="34" t="s">
        <v>323</v>
      </c>
      <c r="Q159" s="33" t="n">
        <f>11010</f>
        <v>11010.0</v>
      </c>
      <c r="R159" s="34" t="s">
        <v>51</v>
      </c>
      <c r="S159" s="35" t="n">
        <f>11084</f>
        <v>11084.0</v>
      </c>
      <c r="T159" s="32" t="n">
        <f>4744</f>
        <v>4744.0</v>
      </c>
      <c r="U159" s="32" t="str">
        <f>"－"</f>
        <v>－</v>
      </c>
      <c r="V159" s="32" t="n">
        <f>52652045</f>
        <v>5.2652045E7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529</v>
      </c>
      <c r="C160" s="27" t="s">
        <v>530</v>
      </c>
      <c r="D160" s="27" t="s">
        <v>531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24300</f>
        <v>24300.0</v>
      </c>
      <c r="L160" s="34" t="s">
        <v>48</v>
      </c>
      <c r="M160" s="33" t="n">
        <f>27195</f>
        <v>27195.0</v>
      </c>
      <c r="N160" s="34" t="s">
        <v>162</v>
      </c>
      <c r="O160" s="33" t="n">
        <f>23450</f>
        <v>23450.0</v>
      </c>
      <c r="P160" s="34" t="s">
        <v>48</v>
      </c>
      <c r="Q160" s="33" t="n">
        <f>25555</f>
        <v>25555.0</v>
      </c>
      <c r="R160" s="34" t="s">
        <v>51</v>
      </c>
      <c r="S160" s="35" t="n">
        <f>24711.25</f>
        <v>24711.25</v>
      </c>
      <c r="T160" s="32" t="n">
        <f>2645</f>
        <v>2645.0</v>
      </c>
      <c r="U160" s="32" t="str">
        <f>"－"</f>
        <v>－</v>
      </c>
      <c r="V160" s="32" t="n">
        <f>67323065</f>
        <v>6.7323065E7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532</v>
      </c>
      <c r="C161" s="27" t="s">
        <v>533</v>
      </c>
      <c r="D161" s="27" t="s">
        <v>534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18880</f>
        <v>18880.0</v>
      </c>
      <c r="L161" s="34" t="s">
        <v>48</v>
      </c>
      <c r="M161" s="33" t="n">
        <f>18925</f>
        <v>18925.0</v>
      </c>
      <c r="N161" s="34" t="s">
        <v>231</v>
      </c>
      <c r="O161" s="33" t="n">
        <f>17480</f>
        <v>17480.0</v>
      </c>
      <c r="P161" s="34" t="s">
        <v>161</v>
      </c>
      <c r="Q161" s="33" t="n">
        <f>18230</f>
        <v>18230.0</v>
      </c>
      <c r="R161" s="34" t="s">
        <v>64</v>
      </c>
      <c r="S161" s="35" t="n">
        <f>18220</f>
        <v>18220.0</v>
      </c>
      <c r="T161" s="32" t="n">
        <f>185</f>
        <v>185.0</v>
      </c>
      <c r="U161" s="32" t="str">
        <f>"－"</f>
        <v>－</v>
      </c>
      <c r="V161" s="32" t="n">
        <f>3321750</f>
        <v>3321750.0</v>
      </c>
      <c r="W161" s="32" t="str">
        <f>"－"</f>
        <v>－</v>
      </c>
      <c r="X161" s="36" t="n">
        <f>15</f>
        <v>15.0</v>
      </c>
    </row>
    <row r="162">
      <c r="A162" s="27" t="s">
        <v>42</v>
      </c>
      <c r="B162" s="27" t="s">
        <v>535</v>
      </c>
      <c r="C162" s="27" t="s">
        <v>536</v>
      </c>
      <c r="D162" s="27" t="s">
        <v>537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52360</f>
        <v>52360.0</v>
      </c>
      <c r="L162" s="34" t="s">
        <v>48</v>
      </c>
      <c r="M162" s="33" t="n">
        <f>52840</f>
        <v>52840.0</v>
      </c>
      <c r="N162" s="34" t="s">
        <v>72</v>
      </c>
      <c r="O162" s="33" t="n">
        <f>51620</f>
        <v>51620.0</v>
      </c>
      <c r="P162" s="34" t="s">
        <v>231</v>
      </c>
      <c r="Q162" s="33" t="n">
        <f>52000</f>
        <v>52000.0</v>
      </c>
      <c r="R162" s="34" t="s">
        <v>51</v>
      </c>
      <c r="S162" s="35" t="n">
        <f>52355.5</f>
        <v>52355.5</v>
      </c>
      <c r="T162" s="32" t="n">
        <f>11870</f>
        <v>11870.0</v>
      </c>
      <c r="U162" s="32" t="n">
        <f>4410</f>
        <v>4410.0</v>
      </c>
      <c r="V162" s="32" t="n">
        <f>622920829</f>
        <v>6.22920829E8</v>
      </c>
      <c r="W162" s="32" t="n">
        <f>231527129</f>
        <v>2.31527129E8</v>
      </c>
      <c r="X162" s="36" t="n">
        <f>20</f>
        <v>20.0</v>
      </c>
    </row>
    <row r="163">
      <c r="A163" s="27" t="s">
        <v>42</v>
      </c>
      <c r="B163" s="27" t="s">
        <v>538</v>
      </c>
      <c r="C163" s="27" t="s">
        <v>539</v>
      </c>
      <c r="D163" s="27" t="s">
        <v>540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239.1</f>
        <v>239.1</v>
      </c>
      <c r="L163" s="34" t="s">
        <v>48</v>
      </c>
      <c r="M163" s="33" t="n">
        <f>255.7</f>
        <v>255.7</v>
      </c>
      <c r="N163" s="34" t="s">
        <v>51</v>
      </c>
      <c r="O163" s="33" t="n">
        <f>235.2</f>
        <v>235.2</v>
      </c>
      <c r="P163" s="34" t="s">
        <v>48</v>
      </c>
      <c r="Q163" s="33" t="n">
        <f>253.2</f>
        <v>253.2</v>
      </c>
      <c r="R163" s="34" t="s">
        <v>51</v>
      </c>
      <c r="S163" s="35" t="n">
        <f>246.67</f>
        <v>246.67</v>
      </c>
      <c r="T163" s="32" t="n">
        <f>7683200</f>
        <v>7683200.0</v>
      </c>
      <c r="U163" s="32" t="n">
        <f>1400</f>
        <v>1400.0</v>
      </c>
      <c r="V163" s="32" t="n">
        <f>1893954870</f>
        <v>1.89395487E9</v>
      </c>
      <c r="W163" s="32" t="n">
        <f>348990</f>
        <v>348990.0</v>
      </c>
      <c r="X163" s="36" t="n">
        <f>20</f>
        <v>20.0</v>
      </c>
    </row>
    <row r="164">
      <c r="A164" s="27" t="s">
        <v>42</v>
      </c>
      <c r="B164" s="27" t="s">
        <v>541</v>
      </c>
      <c r="C164" s="27" t="s">
        <v>542</v>
      </c>
      <c r="D164" s="27" t="s">
        <v>543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36100</f>
        <v>36100.0</v>
      </c>
      <c r="L164" s="34" t="s">
        <v>48</v>
      </c>
      <c r="M164" s="33" t="n">
        <f>38300</f>
        <v>38300.0</v>
      </c>
      <c r="N164" s="34" t="s">
        <v>161</v>
      </c>
      <c r="O164" s="33" t="n">
        <f>35720</f>
        <v>35720.0</v>
      </c>
      <c r="P164" s="34" t="s">
        <v>48</v>
      </c>
      <c r="Q164" s="33" t="n">
        <f>37520</f>
        <v>37520.0</v>
      </c>
      <c r="R164" s="34" t="s">
        <v>51</v>
      </c>
      <c r="S164" s="35" t="n">
        <f>37189</f>
        <v>37189.0</v>
      </c>
      <c r="T164" s="32" t="n">
        <f>11500</f>
        <v>11500.0</v>
      </c>
      <c r="U164" s="32" t="n">
        <f>3780</f>
        <v>3780.0</v>
      </c>
      <c r="V164" s="32" t="n">
        <f>426984350</f>
        <v>4.2698435E8</v>
      </c>
      <c r="W164" s="32" t="n">
        <f>140752050</f>
        <v>1.4075205E8</v>
      </c>
      <c r="X164" s="36" t="n">
        <f>20</f>
        <v>20.0</v>
      </c>
    </row>
    <row r="165">
      <c r="A165" s="27" t="s">
        <v>42</v>
      </c>
      <c r="B165" s="27" t="s">
        <v>544</v>
      </c>
      <c r="C165" s="27" t="s">
        <v>545</v>
      </c>
      <c r="D165" s="27" t="s">
        <v>546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3670</f>
        <v>3670.0</v>
      </c>
      <c r="L165" s="34" t="s">
        <v>48</v>
      </c>
      <c r="M165" s="33" t="n">
        <f>3902</f>
        <v>3902.0</v>
      </c>
      <c r="N165" s="34" t="s">
        <v>51</v>
      </c>
      <c r="O165" s="33" t="n">
        <f>3611</f>
        <v>3611.0</v>
      </c>
      <c r="P165" s="34" t="s">
        <v>48</v>
      </c>
      <c r="Q165" s="33" t="n">
        <f>3857</f>
        <v>3857.0</v>
      </c>
      <c r="R165" s="34" t="s">
        <v>51</v>
      </c>
      <c r="S165" s="35" t="n">
        <f>3773.5</f>
        <v>3773.5</v>
      </c>
      <c r="T165" s="32" t="n">
        <f>54940</f>
        <v>54940.0</v>
      </c>
      <c r="U165" s="32" t="n">
        <f>10</f>
        <v>10.0</v>
      </c>
      <c r="V165" s="32" t="n">
        <f>209037810</f>
        <v>2.0903781E8</v>
      </c>
      <c r="W165" s="32" t="n">
        <f>37290</f>
        <v>37290.0</v>
      </c>
      <c r="X165" s="36" t="n">
        <f>20</f>
        <v>20.0</v>
      </c>
    </row>
    <row r="166">
      <c r="A166" s="27" t="s">
        <v>42</v>
      </c>
      <c r="B166" s="27" t="s">
        <v>547</v>
      </c>
      <c r="C166" s="27" t="s">
        <v>548</v>
      </c>
      <c r="D166" s="27" t="s">
        <v>549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1738.5</f>
        <v>1738.5</v>
      </c>
      <c r="L166" s="34" t="s">
        <v>48</v>
      </c>
      <c r="M166" s="33" t="n">
        <f>1740</f>
        <v>1740.0</v>
      </c>
      <c r="N166" s="34" t="s">
        <v>48</v>
      </c>
      <c r="O166" s="33" t="n">
        <f>1669</f>
        <v>1669.0</v>
      </c>
      <c r="P166" s="34" t="s">
        <v>170</v>
      </c>
      <c r="Q166" s="33" t="n">
        <f>1678</f>
        <v>1678.0</v>
      </c>
      <c r="R166" s="34" t="s">
        <v>51</v>
      </c>
      <c r="S166" s="35" t="n">
        <f>1700.83</f>
        <v>1700.83</v>
      </c>
      <c r="T166" s="32" t="n">
        <f>89900</f>
        <v>89900.0</v>
      </c>
      <c r="U166" s="32" t="str">
        <f>"－"</f>
        <v>－</v>
      </c>
      <c r="V166" s="32" t="n">
        <f>153269150</f>
        <v>1.5326915E8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550</v>
      </c>
      <c r="C167" s="27" t="s">
        <v>551</v>
      </c>
      <c r="D167" s="27" t="s">
        <v>552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100.0</v>
      </c>
      <c r="K167" s="33" t="n">
        <f>210.5</f>
        <v>210.5</v>
      </c>
      <c r="L167" s="34" t="s">
        <v>48</v>
      </c>
      <c r="M167" s="33" t="n">
        <f>210.5</f>
        <v>210.5</v>
      </c>
      <c r="N167" s="34" t="s">
        <v>48</v>
      </c>
      <c r="O167" s="33" t="n">
        <f>196.9</f>
        <v>196.9</v>
      </c>
      <c r="P167" s="34" t="s">
        <v>323</v>
      </c>
      <c r="Q167" s="33" t="n">
        <f>203</f>
        <v>203.0</v>
      </c>
      <c r="R167" s="34" t="s">
        <v>51</v>
      </c>
      <c r="S167" s="35" t="n">
        <f>202.57</f>
        <v>202.57</v>
      </c>
      <c r="T167" s="32" t="n">
        <f>194000</f>
        <v>194000.0</v>
      </c>
      <c r="U167" s="32" t="str">
        <f>"－"</f>
        <v>－</v>
      </c>
      <c r="V167" s="32" t="n">
        <f>39141360</f>
        <v>3.914136E7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553</v>
      </c>
      <c r="C168" s="27" t="s">
        <v>554</v>
      </c>
      <c r="D168" s="27" t="s">
        <v>555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1680</f>
        <v>1680.0</v>
      </c>
      <c r="L168" s="34" t="s">
        <v>48</v>
      </c>
      <c r="M168" s="33" t="n">
        <f>1699</f>
        <v>1699.0</v>
      </c>
      <c r="N168" s="34" t="s">
        <v>93</v>
      </c>
      <c r="O168" s="33" t="n">
        <f>1527</f>
        <v>1527.0</v>
      </c>
      <c r="P168" s="34" t="s">
        <v>50</v>
      </c>
      <c r="Q168" s="33" t="n">
        <f>1631</f>
        <v>1631.0</v>
      </c>
      <c r="R168" s="34" t="s">
        <v>51</v>
      </c>
      <c r="S168" s="35" t="n">
        <f>1622.7</f>
        <v>1622.7</v>
      </c>
      <c r="T168" s="32" t="n">
        <f>10440</f>
        <v>10440.0</v>
      </c>
      <c r="U168" s="32" t="str">
        <f>"－"</f>
        <v>－</v>
      </c>
      <c r="V168" s="32" t="n">
        <f>16722440</f>
        <v>1.672244E7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556</v>
      </c>
      <c r="C169" s="27" t="s">
        <v>557</v>
      </c>
      <c r="D169" s="27" t="s">
        <v>558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720</f>
        <v>720.0</v>
      </c>
      <c r="L169" s="34" t="s">
        <v>48</v>
      </c>
      <c r="M169" s="33" t="n">
        <f>795.3</f>
        <v>795.3</v>
      </c>
      <c r="N169" s="34" t="s">
        <v>64</v>
      </c>
      <c r="O169" s="33" t="n">
        <f>657</f>
        <v>657.0</v>
      </c>
      <c r="P169" s="34" t="s">
        <v>50</v>
      </c>
      <c r="Q169" s="33" t="n">
        <f>752.2</f>
        <v>752.2</v>
      </c>
      <c r="R169" s="34" t="s">
        <v>51</v>
      </c>
      <c r="S169" s="35" t="n">
        <f>736.5</f>
        <v>736.5</v>
      </c>
      <c r="T169" s="32" t="n">
        <f>99450</f>
        <v>99450.0</v>
      </c>
      <c r="U169" s="32" t="str">
        <f>"－"</f>
        <v>－</v>
      </c>
      <c r="V169" s="32" t="n">
        <f>71325655</f>
        <v>7.1325655E7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559</v>
      </c>
      <c r="C170" s="27" t="s">
        <v>560</v>
      </c>
      <c r="D170" s="27" t="s">
        <v>561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2089</f>
        <v>2089.0</v>
      </c>
      <c r="L170" s="34" t="s">
        <v>48</v>
      </c>
      <c r="M170" s="33" t="n">
        <f>2089</f>
        <v>2089.0</v>
      </c>
      <c r="N170" s="34" t="s">
        <v>48</v>
      </c>
      <c r="O170" s="33" t="n">
        <f>1876</f>
        <v>1876.0</v>
      </c>
      <c r="P170" s="34" t="s">
        <v>100</v>
      </c>
      <c r="Q170" s="33" t="n">
        <f>1980</f>
        <v>1980.0</v>
      </c>
      <c r="R170" s="34" t="s">
        <v>51</v>
      </c>
      <c r="S170" s="35" t="n">
        <f>1965.93</f>
        <v>1965.93</v>
      </c>
      <c r="T170" s="32" t="n">
        <f>8900</f>
        <v>8900.0</v>
      </c>
      <c r="U170" s="32" t="str">
        <f>"－"</f>
        <v>－</v>
      </c>
      <c r="V170" s="32" t="n">
        <f>17550045</f>
        <v>1.7550045E7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562</v>
      </c>
      <c r="C171" s="27" t="s">
        <v>563</v>
      </c>
      <c r="D171" s="27" t="s">
        <v>564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908.6</f>
        <v>908.6</v>
      </c>
      <c r="L171" s="34" t="s">
        <v>48</v>
      </c>
      <c r="M171" s="33" t="n">
        <f>910</f>
        <v>910.0</v>
      </c>
      <c r="N171" s="34" t="s">
        <v>174</v>
      </c>
      <c r="O171" s="33" t="n">
        <f>811.1</f>
        <v>811.1</v>
      </c>
      <c r="P171" s="34" t="s">
        <v>170</v>
      </c>
      <c r="Q171" s="33" t="n">
        <f>859</f>
        <v>859.0</v>
      </c>
      <c r="R171" s="34" t="s">
        <v>51</v>
      </c>
      <c r="S171" s="35" t="n">
        <f>856.31</f>
        <v>856.31</v>
      </c>
      <c r="T171" s="32" t="n">
        <f>190830</f>
        <v>190830.0</v>
      </c>
      <c r="U171" s="32" t="str">
        <f>"－"</f>
        <v>－</v>
      </c>
      <c r="V171" s="32" t="n">
        <f>161127918</f>
        <v>1.61127918E8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565</v>
      </c>
      <c r="C172" s="27" t="s">
        <v>566</v>
      </c>
      <c r="D172" s="27" t="s">
        <v>567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670.8</f>
        <v>670.8</v>
      </c>
      <c r="L172" s="34" t="s">
        <v>48</v>
      </c>
      <c r="M172" s="33" t="n">
        <f>680</f>
        <v>680.0</v>
      </c>
      <c r="N172" s="34" t="s">
        <v>174</v>
      </c>
      <c r="O172" s="33" t="n">
        <f>593.7</f>
        <v>593.7</v>
      </c>
      <c r="P172" s="34" t="s">
        <v>170</v>
      </c>
      <c r="Q172" s="33" t="n">
        <f>624.1</f>
        <v>624.1</v>
      </c>
      <c r="R172" s="34" t="s">
        <v>51</v>
      </c>
      <c r="S172" s="35" t="n">
        <f>626.7</f>
        <v>626.7</v>
      </c>
      <c r="T172" s="32" t="n">
        <f>565440</f>
        <v>565440.0</v>
      </c>
      <c r="U172" s="32" t="str">
        <f>"－"</f>
        <v>－</v>
      </c>
      <c r="V172" s="32" t="n">
        <f>354612742</f>
        <v>3.54612742E8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568</v>
      </c>
      <c r="C173" s="27" t="s">
        <v>569</v>
      </c>
      <c r="D173" s="27" t="s">
        <v>570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3.2</f>
        <v>3.2</v>
      </c>
      <c r="L173" s="34" t="s">
        <v>48</v>
      </c>
      <c r="M173" s="33" t="n">
        <f>5</f>
        <v>5.0</v>
      </c>
      <c r="N173" s="34" t="s">
        <v>72</v>
      </c>
      <c r="O173" s="33" t="n">
        <f>3</f>
        <v>3.0</v>
      </c>
      <c r="P173" s="34" t="s">
        <v>170</v>
      </c>
      <c r="Q173" s="33" t="n">
        <f>4.4</f>
        <v>4.4</v>
      </c>
      <c r="R173" s="34" t="s">
        <v>51</v>
      </c>
      <c r="S173" s="35" t="n">
        <f>3.88</f>
        <v>3.88</v>
      </c>
      <c r="T173" s="32" t="n">
        <f>642231900</f>
        <v>6.422319E8</v>
      </c>
      <c r="U173" s="32" t="n">
        <f>50000</f>
        <v>50000.0</v>
      </c>
      <c r="V173" s="32" t="n">
        <f>2550456450</f>
        <v>2.55045645E9</v>
      </c>
      <c r="W173" s="32" t="n">
        <f>250000</f>
        <v>250000.0</v>
      </c>
      <c r="X173" s="36" t="n">
        <f>20</f>
        <v>20.0</v>
      </c>
    </row>
    <row r="174">
      <c r="A174" s="27" t="s">
        <v>42</v>
      </c>
      <c r="B174" s="27" t="s">
        <v>571</v>
      </c>
      <c r="C174" s="27" t="s">
        <v>572</v>
      </c>
      <c r="D174" s="27" t="s">
        <v>573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1463</f>
        <v>1463.0</v>
      </c>
      <c r="L174" s="34" t="s">
        <v>48</v>
      </c>
      <c r="M174" s="33" t="n">
        <f>1526</f>
        <v>1526.0</v>
      </c>
      <c r="N174" s="34" t="s">
        <v>85</v>
      </c>
      <c r="O174" s="33" t="n">
        <f>1301</f>
        <v>1301.0</v>
      </c>
      <c r="P174" s="34" t="s">
        <v>50</v>
      </c>
      <c r="Q174" s="33" t="n">
        <f>1361.5</f>
        <v>1361.5</v>
      </c>
      <c r="R174" s="34" t="s">
        <v>51</v>
      </c>
      <c r="S174" s="35" t="n">
        <f>1393.6</f>
        <v>1393.6</v>
      </c>
      <c r="T174" s="32" t="n">
        <f>264900</f>
        <v>264900.0</v>
      </c>
      <c r="U174" s="32" t="str">
        <f>"－"</f>
        <v>－</v>
      </c>
      <c r="V174" s="32" t="n">
        <f>367462860</f>
        <v>3.6746286E8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574</v>
      </c>
      <c r="C175" s="27" t="s">
        <v>575</v>
      </c>
      <c r="D175" s="27" t="s">
        <v>576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7245</f>
        <v>7245.0</v>
      </c>
      <c r="L175" s="34" t="s">
        <v>48</v>
      </c>
      <c r="M175" s="33" t="n">
        <f>7479</f>
        <v>7479.0</v>
      </c>
      <c r="N175" s="34" t="s">
        <v>85</v>
      </c>
      <c r="O175" s="33" t="n">
        <f>6184</f>
        <v>6184.0</v>
      </c>
      <c r="P175" s="34" t="s">
        <v>176</v>
      </c>
      <c r="Q175" s="33" t="n">
        <f>6390</f>
        <v>6390.0</v>
      </c>
      <c r="R175" s="34" t="s">
        <v>51</v>
      </c>
      <c r="S175" s="35" t="n">
        <f>6641.05</f>
        <v>6641.05</v>
      </c>
      <c r="T175" s="32" t="n">
        <f>3218</f>
        <v>3218.0</v>
      </c>
      <c r="U175" s="32" t="str">
        <f>"－"</f>
        <v>－</v>
      </c>
      <c r="V175" s="32" t="n">
        <f>21203901</f>
        <v>2.1203901E7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577</v>
      </c>
      <c r="C176" s="27" t="s">
        <v>578</v>
      </c>
      <c r="D176" s="27" t="s">
        <v>579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460</f>
        <v>460.0</v>
      </c>
      <c r="L176" s="34" t="s">
        <v>48</v>
      </c>
      <c r="M176" s="33" t="n">
        <f>464</f>
        <v>464.0</v>
      </c>
      <c r="N176" s="34" t="s">
        <v>93</v>
      </c>
      <c r="O176" s="33" t="n">
        <f>434.9</f>
        <v>434.9</v>
      </c>
      <c r="P176" s="34" t="s">
        <v>170</v>
      </c>
      <c r="Q176" s="33" t="n">
        <f>453</f>
        <v>453.0</v>
      </c>
      <c r="R176" s="34" t="s">
        <v>51</v>
      </c>
      <c r="S176" s="35" t="n">
        <f>453.85</f>
        <v>453.85</v>
      </c>
      <c r="T176" s="32" t="n">
        <f>120500</f>
        <v>120500.0</v>
      </c>
      <c r="U176" s="32" t="str">
        <f>"－"</f>
        <v>－</v>
      </c>
      <c r="V176" s="32" t="n">
        <f>54451700</f>
        <v>5.44517E7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580</v>
      </c>
      <c r="C177" s="27" t="s">
        <v>581</v>
      </c>
      <c r="D177" s="27" t="s">
        <v>582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4415</f>
        <v>4415.0</v>
      </c>
      <c r="L177" s="34" t="s">
        <v>48</v>
      </c>
      <c r="M177" s="33" t="n">
        <f>4600</f>
        <v>4600.0</v>
      </c>
      <c r="N177" s="34" t="s">
        <v>93</v>
      </c>
      <c r="O177" s="33" t="n">
        <f>3901</f>
        <v>3901.0</v>
      </c>
      <c r="P177" s="34" t="s">
        <v>100</v>
      </c>
      <c r="Q177" s="33" t="n">
        <f>4082</f>
        <v>4082.0</v>
      </c>
      <c r="R177" s="34" t="s">
        <v>51</v>
      </c>
      <c r="S177" s="35" t="n">
        <f>4128.8</f>
        <v>4128.8</v>
      </c>
      <c r="T177" s="32" t="n">
        <f>77350</f>
        <v>77350.0</v>
      </c>
      <c r="U177" s="32" t="str">
        <f>"－"</f>
        <v>－</v>
      </c>
      <c r="V177" s="32" t="n">
        <f>323085310</f>
        <v>3.2308531E8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583</v>
      </c>
      <c r="C178" s="27" t="s">
        <v>584</v>
      </c>
      <c r="D178" s="27" t="s">
        <v>585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2905</f>
        <v>2905.0</v>
      </c>
      <c r="L178" s="34" t="s">
        <v>48</v>
      </c>
      <c r="M178" s="33" t="n">
        <f>2905</f>
        <v>2905.0</v>
      </c>
      <c r="N178" s="34" t="s">
        <v>48</v>
      </c>
      <c r="O178" s="33" t="n">
        <f>2527</f>
        <v>2527.0</v>
      </c>
      <c r="P178" s="34" t="s">
        <v>100</v>
      </c>
      <c r="Q178" s="33" t="n">
        <f>2771.5</f>
        <v>2771.5</v>
      </c>
      <c r="R178" s="34" t="s">
        <v>51</v>
      </c>
      <c r="S178" s="35" t="n">
        <f>2749.3</f>
        <v>2749.3</v>
      </c>
      <c r="T178" s="32" t="n">
        <f>32050</f>
        <v>32050.0</v>
      </c>
      <c r="U178" s="32" t="str">
        <f>"－"</f>
        <v>－</v>
      </c>
      <c r="V178" s="32" t="n">
        <f>88211240</f>
        <v>8.821124E7</v>
      </c>
      <c r="W178" s="32" t="str">
        <f>"－"</f>
        <v>－</v>
      </c>
      <c r="X178" s="36" t="n">
        <f>20</f>
        <v>20.0</v>
      </c>
    </row>
    <row r="179">
      <c r="A179" s="27" t="s">
        <v>42</v>
      </c>
      <c r="B179" s="27" t="s">
        <v>586</v>
      </c>
      <c r="C179" s="27" t="s">
        <v>587</v>
      </c>
      <c r="D179" s="27" t="s">
        <v>588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124.3</f>
        <v>124.3</v>
      </c>
      <c r="L179" s="34" t="s">
        <v>48</v>
      </c>
      <c r="M179" s="33" t="n">
        <f>130.5</f>
        <v>130.5</v>
      </c>
      <c r="N179" s="34" t="s">
        <v>174</v>
      </c>
      <c r="O179" s="33" t="n">
        <f>108</f>
        <v>108.0</v>
      </c>
      <c r="P179" s="34" t="s">
        <v>166</v>
      </c>
      <c r="Q179" s="33" t="n">
        <f>111.7</f>
        <v>111.7</v>
      </c>
      <c r="R179" s="34" t="s">
        <v>51</v>
      </c>
      <c r="S179" s="35" t="n">
        <f>115.06</f>
        <v>115.06</v>
      </c>
      <c r="T179" s="32" t="n">
        <f>16538100</f>
        <v>1.65381E7</v>
      </c>
      <c r="U179" s="32" t="str">
        <f>"－"</f>
        <v>－</v>
      </c>
      <c r="V179" s="32" t="n">
        <f>1910455860</f>
        <v>1.91045586E9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589</v>
      </c>
      <c r="C180" s="27" t="s">
        <v>590</v>
      </c>
      <c r="D180" s="27" t="s">
        <v>591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171.2</f>
        <v>171.2</v>
      </c>
      <c r="L180" s="34" t="s">
        <v>48</v>
      </c>
      <c r="M180" s="33" t="n">
        <f>179.6</f>
        <v>179.6</v>
      </c>
      <c r="N180" s="34" t="s">
        <v>174</v>
      </c>
      <c r="O180" s="33" t="n">
        <f>153.1</f>
        <v>153.1</v>
      </c>
      <c r="P180" s="34" t="s">
        <v>176</v>
      </c>
      <c r="Q180" s="33" t="n">
        <f>161.5</f>
        <v>161.5</v>
      </c>
      <c r="R180" s="34" t="s">
        <v>51</v>
      </c>
      <c r="S180" s="35" t="n">
        <f>163.62</f>
        <v>163.62</v>
      </c>
      <c r="T180" s="32" t="n">
        <f>1898800</f>
        <v>1898800.0</v>
      </c>
      <c r="U180" s="32" t="str">
        <f>"－"</f>
        <v>－</v>
      </c>
      <c r="V180" s="32" t="n">
        <f>311470720</f>
        <v>3.1147072E8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592</v>
      </c>
      <c r="C181" s="27" t="s">
        <v>593</v>
      </c>
      <c r="D181" s="27" t="s">
        <v>594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4037</f>
        <v>4037.0</v>
      </c>
      <c r="L181" s="34" t="s">
        <v>48</v>
      </c>
      <c r="M181" s="33" t="n">
        <f>4071</f>
        <v>4071.0</v>
      </c>
      <c r="N181" s="34" t="s">
        <v>48</v>
      </c>
      <c r="O181" s="33" t="n">
        <f>3585</f>
        <v>3585.0</v>
      </c>
      <c r="P181" s="34" t="s">
        <v>170</v>
      </c>
      <c r="Q181" s="33" t="n">
        <f>3905</f>
        <v>3905.0</v>
      </c>
      <c r="R181" s="34" t="s">
        <v>51</v>
      </c>
      <c r="S181" s="35" t="n">
        <f>3798.25</f>
        <v>3798.25</v>
      </c>
      <c r="T181" s="32" t="n">
        <f>29730</f>
        <v>29730.0</v>
      </c>
      <c r="U181" s="32" t="str">
        <f>"－"</f>
        <v>－</v>
      </c>
      <c r="V181" s="32" t="n">
        <f>112510710</f>
        <v>1.1251071E8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595</v>
      </c>
      <c r="C182" s="27" t="s">
        <v>596</v>
      </c>
      <c r="D182" s="27" t="s">
        <v>597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1966</f>
        <v>1966.0</v>
      </c>
      <c r="L182" s="34" t="s">
        <v>48</v>
      </c>
      <c r="M182" s="33" t="n">
        <f>2028</f>
        <v>2028.0</v>
      </c>
      <c r="N182" s="34" t="s">
        <v>72</v>
      </c>
      <c r="O182" s="33" t="n">
        <f>1930</f>
        <v>1930.0</v>
      </c>
      <c r="P182" s="34" t="s">
        <v>50</v>
      </c>
      <c r="Q182" s="33" t="n">
        <f>2000</f>
        <v>2000.0</v>
      </c>
      <c r="R182" s="34" t="s">
        <v>51</v>
      </c>
      <c r="S182" s="35" t="n">
        <f>1988.18</f>
        <v>1988.18</v>
      </c>
      <c r="T182" s="32" t="n">
        <f>27420</f>
        <v>27420.0</v>
      </c>
      <c r="U182" s="32" t="str">
        <f>"－"</f>
        <v>－</v>
      </c>
      <c r="V182" s="32" t="n">
        <f>54255265</f>
        <v>5.4255265E7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598</v>
      </c>
      <c r="C183" s="27" t="s">
        <v>599</v>
      </c>
      <c r="D183" s="27" t="s">
        <v>600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392.6</f>
        <v>392.6</v>
      </c>
      <c r="L183" s="34" t="s">
        <v>48</v>
      </c>
      <c r="M183" s="33" t="n">
        <f>410.7</f>
        <v>410.7</v>
      </c>
      <c r="N183" s="34" t="s">
        <v>85</v>
      </c>
      <c r="O183" s="33" t="n">
        <f>349.7</f>
        <v>349.7</v>
      </c>
      <c r="P183" s="34" t="s">
        <v>50</v>
      </c>
      <c r="Q183" s="33" t="n">
        <f>366.9</f>
        <v>366.9</v>
      </c>
      <c r="R183" s="34" t="s">
        <v>51</v>
      </c>
      <c r="S183" s="35" t="n">
        <f>375.05</f>
        <v>375.05</v>
      </c>
      <c r="T183" s="32" t="n">
        <f>57327500</f>
        <v>5.73275E7</v>
      </c>
      <c r="U183" s="32" t="n">
        <f>1850</f>
        <v>1850.0</v>
      </c>
      <c r="V183" s="32" t="n">
        <f>21808322980</f>
        <v>2.180832298E10</v>
      </c>
      <c r="W183" s="32" t="n">
        <f>701131</f>
        <v>701131.0</v>
      </c>
      <c r="X183" s="36" t="n">
        <f>20</f>
        <v>20.0</v>
      </c>
    </row>
    <row r="184">
      <c r="A184" s="27" t="s">
        <v>42</v>
      </c>
      <c r="B184" s="27" t="s">
        <v>601</v>
      </c>
      <c r="C184" s="27" t="s">
        <v>602</v>
      </c>
      <c r="D184" s="27" t="s">
        <v>603</v>
      </c>
      <c r="E184" s="28" t="s">
        <v>46</v>
      </c>
      <c r="F184" s="29" t="s">
        <v>46</v>
      </c>
      <c r="G184" s="30" t="s">
        <v>46</v>
      </c>
      <c r="H184" s="31"/>
      <c r="I184" s="31" t="s">
        <v>604</v>
      </c>
      <c r="J184" s="32" t="n">
        <v>1.0</v>
      </c>
      <c r="K184" s="33" t="n">
        <f>7718</f>
        <v>7718.0</v>
      </c>
      <c r="L184" s="34" t="s">
        <v>48</v>
      </c>
      <c r="M184" s="33" t="n">
        <f>7999</f>
        <v>7999.0</v>
      </c>
      <c r="N184" s="34" t="s">
        <v>85</v>
      </c>
      <c r="O184" s="33" t="n">
        <f>6450</f>
        <v>6450.0</v>
      </c>
      <c r="P184" s="34" t="s">
        <v>51</v>
      </c>
      <c r="Q184" s="33" t="n">
        <f>6460</f>
        <v>6460.0</v>
      </c>
      <c r="R184" s="34" t="s">
        <v>51</v>
      </c>
      <c r="S184" s="35" t="n">
        <f>7159.65</f>
        <v>7159.65</v>
      </c>
      <c r="T184" s="32" t="n">
        <f>26333</f>
        <v>26333.0</v>
      </c>
      <c r="U184" s="32" t="str">
        <f>"－"</f>
        <v>－</v>
      </c>
      <c r="V184" s="32" t="n">
        <f>191474060</f>
        <v>1.9147406E8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605</v>
      </c>
      <c r="C185" s="27" t="s">
        <v>606</v>
      </c>
      <c r="D185" s="27" t="s">
        <v>607</v>
      </c>
      <c r="E185" s="28" t="s">
        <v>46</v>
      </c>
      <c r="F185" s="29" t="s">
        <v>46</v>
      </c>
      <c r="G185" s="30" t="s">
        <v>46</v>
      </c>
      <c r="H185" s="31"/>
      <c r="I185" s="31" t="s">
        <v>604</v>
      </c>
      <c r="J185" s="32" t="n">
        <v>1.0</v>
      </c>
      <c r="K185" s="33" t="n">
        <f>7556</f>
        <v>7556.0</v>
      </c>
      <c r="L185" s="34" t="s">
        <v>48</v>
      </c>
      <c r="M185" s="33" t="n">
        <f>8187</f>
        <v>8187.0</v>
      </c>
      <c r="N185" s="34" t="s">
        <v>100</v>
      </c>
      <c r="O185" s="33" t="n">
        <f>7344</f>
        <v>7344.0</v>
      </c>
      <c r="P185" s="34" t="s">
        <v>231</v>
      </c>
      <c r="Q185" s="33" t="n">
        <f>7916</f>
        <v>7916.0</v>
      </c>
      <c r="R185" s="34" t="s">
        <v>51</v>
      </c>
      <c r="S185" s="35" t="n">
        <f>7787.9</f>
        <v>7787.9</v>
      </c>
      <c r="T185" s="32" t="n">
        <f>2519</f>
        <v>2519.0</v>
      </c>
      <c r="U185" s="32" t="str">
        <f>"－"</f>
        <v>－</v>
      </c>
      <c r="V185" s="32" t="n">
        <f>19769509</f>
        <v>1.9769509E7</v>
      </c>
      <c r="W185" s="32" t="str">
        <f>"－"</f>
        <v>－</v>
      </c>
      <c r="X185" s="36" t="n">
        <f>20</f>
        <v>20.0</v>
      </c>
    </row>
    <row r="186">
      <c r="A186" s="27" t="s">
        <v>42</v>
      </c>
      <c r="B186" s="27" t="s">
        <v>608</v>
      </c>
      <c r="C186" s="27" t="s">
        <v>609</v>
      </c>
      <c r="D186" s="27" t="s">
        <v>610</v>
      </c>
      <c r="E186" s="28" t="s">
        <v>46</v>
      </c>
      <c r="F186" s="29" t="s">
        <v>46</v>
      </c>
      <c r="G186" s="30" t="s">
        <v>46</v>
      </c>
      <c r="H186" s="31"/>
      <c r="I186" s="31" t="s">
        <v>604</v>
      </c>
      <c r="J186" s="32" t="n">
        <v>1.0</v>
      </c>
      <c r="K186" s="33" t="n">
        <f>10670</f>
        <v>10670.0</v>
      </c>
      <c r="L186" s="34" t="s">
        <v>48</v>
      </c>
      <c r="M186" s="33" t="n">
        <f>11635</f>
        <v>11635.0</v>
      </c>
      <c r="N186" s="34" t="s">
        <v>49</v>
      </c>
      <c r="O186" s="33" t="n">
        <f>10240</f>
        <v>10240.0</v>
      </c>
      <c r="P186" s="34" t="s">
        <v>262</v>
      </c>
      <c r="Q186" s="33" t="n">
        <f>11500</f>
        <v>11500.0</v>
      </c>
      <c r="R186" s="34" t="s">
        <v>51</v>
      </c>
      <c r="S186" s="35" t="n">
        <f>10818.95</f>
        <v>10818.95</v>
      </c>
      <c r="T186" s="32" t="n">
        <f>389</f>
        <v>389.0</v>
      </c>
      <c r="U186" s="32" t="str">
        <f>"－"</f>
        <v>－</v>
      </c>
      <c r="V186" s="32" t="n">
        <f>4192165</f>
        <v>4192165.0</v>
      </c>
      <c r="W186" s="32" t="str">
        <f>"－"</f>
        <v>－</v>
      </c>
      <c r="X186" s="36" t="n">
        <f>19</f>
        <v>19.0</v>
      </c>
    </row>
    <row r="187">
      <c r="A187" s="27" t="s">
        <v>42</v>
      </c>
      <c r="B187" s="27" t="s">
        <v>611</v>
      </c>
      <c r="C187" s="27" t="s">
        <v>612</v>
      </c>
      <c r="D187" s="27" t="s">
        <v>613</v>
      </c>
      <c r="E187" s="28" t="s">
        <v>46</v>
      </c>
      <c r="F187" s="29" t="s">
        <v>46</v>
      </c>
      <c r="G187" s="30" t="s">
        <v>46</v>
      </c>
      <c r="H187" s="31"/>
      <c r="I187" s="31" t="s">
        <v>604</v>
      </c>
      <c r="J187" s="32" t="n">
        <v>1.0</v>
      </c>
      <c r="K187" s="33" t="n">
        <f>8398</f>
        <v>8398.0</v>
      </c>
      <c r="L187" s="34" t="s">
        <v>48</v>
      </c>
      <c r="M187" s="33" t="n">
        <f>8600</f>
        <v>8600.0</v>
      </c>
      <c r="N187" s="34" t="s">
        <v>262</v>
      </c>
      <c r="O187" s="33" t="n">
        <f>7802</f>
        <v>7802.0</v>
      </c>
      <c r="P187" s="34" t="s">
        <v>51</v>
      </c>
      <c r="Q187" s="33" t="n">
        <f>7880</f>
        <v>7880.0</v>
      </c>
      <c r="R187" s="34" t="s">
        <v>51</v>
      </c>
      <c r="S187" s="35" t="n">
        <f>8305.95</f>
        <v>8305.95</v>
      </c>
      <c r="T187" s="32" t="n">
        <f>18962</f>
        <v>18962.0</v>
      </c>
      <c r="U187" s="32" t="str">
        <f>"－"</f>
        <v>－</v>
      </c>
      <c r="V187" s="32" t="n">
        <f>156358396</f>
        <v>1.56358396E8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614</v>
      </c>
      <c r="C188" s="27" t="s">
        <v>615</v>
      </c>
      <c r="D188" s="27" t="s">
        <v>616</v>
      </c>
      <c r="E188" s="28" t="s">
        <v>46</v>
      </c>
      <c r="F188" s="29" t="s">
        <v>46</v>
      </c>
      <c r="G188" s="30" t="s">
        <v>46</v>
      </c>
      <c r="H188" s="31"/>
      <c r="I188" s="31" t="s">
        <v>604</v>
      </c>
      <c r="J188" s="32" t="n">
        <v>1.0</v>
      </c>
      <c r="K188" s="33" t="n">
        <f>26270</f>
        <v>26270.0</v>
      </c>
      <c r="L188" s="34" t="s">
        <v>48</v>
      </c>
      <c r="M188" s="33" t="n">
        <f>26545</f>
        <v>26545.0</v>
      </c>
      <c r="N188" s="34" t="s">
        <v>85</v>
      </c>
      <c r="O188" s="33" t="n">
        <f>23890</f>
        <v>23890.0</v>
      </c>
      <c r="P188" s="34" t="s">
        <v>93</v>
      </c>
      <c r="Q188" s="33" t="n">
        <f>24340</f>
        <v>24340.0</v>
      </c>
      <c r="R188" s="34" t="s">
        <v>51</v>
      </c>
      <c r="S188" s="35" t="n">
        <f>24755.25</f>
        <v>24755.25</v>
      </c>
      <c r="T188" s="32" t="n">
        <f>31623</f>
        <v>31623.0</v>
      </c>
      <c r="U188" s="32" t="n">
        <f>6</f>
        <v>6.0</v>
      </c>
      <c r="V188" s="32" t="n">
        <f>788776360</f>
        <v>7.8877636E8</v>
      </c>
      <c r="W188" s="32" t="n">
        <f>148540</f>
        <v>148540.0</v>
      </c>
      <c r="X188" s="36" t="n">
        <f>20</f>
        <v>20.0</v>
      </c>
    </row>
    <row r="189">
      <c r="A189" s="27" t="s">
        <v>42</v>
      </c>
      <c r="B189" s="27" t="s">
        <v>617</v>
      </c>
      <c r="C189" s="27" t="s">
        <v>618</v>
      </c>
      <c r="D189" s="27" t="s">
        <v>619</v>
      </c>
      <c r="E189" s="28" t="s">
        <v>46</v>
      </c>
      <c r="F189" s="29" t="s">
        <v>46</v>
      </c>
      <c r="G189" s="30" t="s">
        <v>46</v>
      </c>
      <c r="H189" s="31"/>
      <c r="I189" s="31" t="s">
        <v>604</v>
      </c>
      <c r="J189" s="32" t="n">
        <v>1.0</v>
      </c>
      <c r="K189" s="33" t="n">
        <f>4370</f>
        <v>4370.0</v>
      </c>
      <c r="L189" s="34" t="s">
        <v>48</v>
      </c>
      <c r="M189" s="33" t="n">
        <f>4605</f>
        <v>4605.0</v>
      </c>
      <c r="N189" s="34" t="s">
        <v>93</v>
      </c>
      <c r="O189" s="33" t="n">
        <f>4335</f>
        <v>4335.0</v>
      </c>
      <c r="P189" s="34" t="s">
        <v>85</v>
      </c>
      <c r="Q189" s="33" t="n">
        <f>4575</f>
        <v>4575.0</v>
      </c>
      <c r="R189" s="34" t="s">
        <v>51</v>
      </c>
      <c r="S189" s="35" t="n">
        <f>4513.25</f>
        <v>4513.25</v>
      </c>
      <c r="T189" s="32" t="n">
        <f>11706</f>
        <v>11706.0</v>
      </c>
      <c r="U189" s="32" t="str">
        <f>"－"</f>
        <v>－</v>
      </c>
      <c r="V189" s="32" t="n">
        <f>52784155</f>
        <v>5.2784155E7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620</v>
      </c>
      <c r="C190" s="27" t="s">
        <v>621</v>
      </c>
      <c r="D190" s="27" t="s">
        <v>622</v>
      </c>
      <c r="E190" s="28" t="s">
        <v>46</v>
      </c>
      <c r="F190" s="29" t="s">
        <v>46</v>
      </c>
      <c r="G190" s="30" t="s">
        <v>46</v>
      </c>
      <c r="H190" s="31"/>
      <c r="I190" s="31" t="s">
        <v>604</v>
      </c>
      <c r="J190" s="32" t="n">
        <v>1.0</v>
      </c>
      <c r="K190" s="33" t="n">
        <f>1759</f>
        <v>1759.0</v>
      </c>
      <c r="L190" s="34" t="s">
        <v>48</v>
      </c>
      <c r="M190" s="33" t="n">
        <f>1893</f>
        <v>1893.0</v>
      </c>
      <c r="N190" s="34" t="s">
        <v>85</v>
      </c>
      <c r="O190" s="33" t="n">
        <f>1339</f>
        <v>1339.0</v>
      </c>
      <c r="P190" s="34" t="s">
        <v>50</v>
      </c>
      <c r="Q190" s="33" t="n">
        <f>1584</f>
        <v>1584.0</v>
      </c>
      <c r="R190" s="34" t="s">
        <v>51</v>
      </c>
      <c r="S190" s="35" t="n">
        <f>1582</f>
        <v>1582.0</v>
      </c>
      <c r="T190" s="32" t="n">
        <f>57148833</f>
        <v>5.7148833E7</v>
      </c>
      <c r="U190" s="32" t="n">
        <f>300020</f>
        <v>300020.0</v>
      </c>
      <c r="V190" s="32" t="n">
        <f>90430870046</f>
        <v>9.0430870046E10</v>
      </c>
      <c r="W190" s="32" t="n">
        <f>585029847</f>
        <v>5.85029847E8</v>
      </c>
      <c r="X190" s="36" t="n">
        <f>20</f>
        <v>20.0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604</v>
      </c>
      <c r="J191" s="32" t="n">
        <v>1.0</v>
      </c>
      <c r="K191" s="33" t="n">
        <f>1443</f>
        <v>1443.0</v>
      </c>
      <c r="L191" s="34" t="s">
        <v>48</v>
      </c>
      <c r="M191" s="33" t="n">
        <f>1607</f>
        <v>1607.0</v>
      </c>
      <c r="N191" s="34" t="s">
        <v>50</v>
      </c>
      <c r="O191" s="33" t="n">
        <f>1394</f>
        <v>1394.0</v>
      </c>
      <c r="P191" s="34" t="s">
        <v>85</v>
      </c>
      <c r="Q191" s="33" t="n">
        <f>1450</f>
        <v>1450.0</v>
      </c>
      <c r="R191" s="34" t="s">
        <v>51</v>
      </c>
      <c r="S191" s="35" t="n">
        <f>1481.05</f>
        <v>1481.05</v>
      </c>
      <c r="T191" s="32" t="n">
        <f>5863130</f>
        <v>5863130.0</v>
      </c>
      <c r="U191" s="32" t="str">
        <f>"－"</f>
        <v>－</v>
      </c>
      <c r="V191" s="32" t="n">
        <f>8711107243</f>
        <v>8.711107243E9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604</v>
      </c>
      <c r="J192" s="32" t="n">
        <v>1.0</v>
      </c>
      <c r="K192" s="33" t="n">
        <f>22900</f>
        <v>22900.0</v>
      </c>
      <c r="L192" s="34" t="s">
        <v>48</v>
      </c>
      <c r="M192" s="33" t="n">
        <f>25495</f>
        <v>25495.0</v>
      </c>
      <c r="N192" s="34" t="s">
        <v>51</v>
      </c>
      <c r="O192" s="33" t="n">
        <f>22655</f>
        <v>22655.0</v>
      </c>
      <c r="P192" s="34" t="s">
        <v>68</v>
      </c>
      <c r="Q192" s="33" t="n">
        <f>25465</f>
        <v>25465.0</v>
      </c>
      <c r="R192" s="34" t="s">
        <v>51</v>
      </c>
      <c r="S192" s="35" t="n">
        <f>23826.5</f>
        <v>23826.5</v>
      </c>
      <c r="T192" s="32" t="n">
        <f>95239</f>
        <v>95239.0</v>
      </c>
      <c r="U192" s="32" t="n">
        <f>13</f>
        <v>13.0</v>
      </c>
      <c r="V192" s="32" t="n">
        <f>2295003865</f>
        <v>2.295003865E9</v>
      </c>
      <c r="W192" s="32" t="n">
        <f>307300</f>
        <v>307300.0</v>
      </c>
      <c r="X192" s="36" t="n">
        <f>20</f>
        <v>20.0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604</v>
      </c>
      <c r="J193" s="32" t="n">
        <v>1.0</v>
      </c>
      <c r="K193" s="33" t="n">
        <f>3200</f>
        <v>3200.0</v>
      </c>
      <c r="L193" s="34" t="s">
        <v>48</v>
      </c>
      <c r="M193" s="33" t="n">
        <f>3270</f>
        <v>3270.0</v>
      </c>
      <c r="N193" s="34" t="s">
        <v>48</v>
      </c>
      <c r="O193" s="33" t="n">
        <f>3050</f>
        <v>3050.0</v>
      </c>
      <c r="P193" s="34" t="s">
        <v>51</v>
      </c>
      <c r="Q193" s="33" t="n">
        <f>3060</f>
        <v>3060.0</v>
      </c>
      <c r="R193" s="34" t="s">
        <v>51</v>
      </c>
      <c r="S193" s="35" t="n">
        <f>3162.5</f>
        <v>3162.5</v>
      </c>
      <c r="T193" s="32" t="n">
        <f>566803</f>
        <v>566803.0</v>
      </c>
      <c r="U193" s="32" t="n">
        <f>5</f>
        <v>5.0</v>
      </c>
      <c r="V193" s="32" t="n">
        <f>1797563555</f>
        <v>1.797563555E9</v>
      </c>
      <c r="W193" s="32" t="n">
        <f>15705</f>
        <v>15705.0</v>
      </c>
      <c r="X193" s="36" t="n">
        <f>20</f>
        <v>20.0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604</v>
      </c>
      <c r="J194" s="32" t="n">
        <v>1.0</v>
      </c>
      <c r="K194" s="33" t="n">
        <f>7037</f>
        <v>7037.0</v>
      </c>
      <c r="L194" s="34" t="s">
        <v>48</v>
      </c>
      <c r="M194" s="33" t="n">
        <f>7738</f>
        <v>7738.0</v>
      </c>
      <c r="N194" s="34" t="s">
        <v>51</v>
      </c>
      <c r="O194" s="33" t="n">
        <f>6857</f>
        <v>6857.0</v>
      </c>
      <c r="P194" s="34" t="s">
        <v>48</v>
      </c>
      <c r="Q194" s="33" t="n">
        <f>7636</f>
        <v>7636.0</v>
      </c>
      <c r="R194" s="34" t="s">
        <v>51</v>
      </c>
      <c r="S194" s="35" t="n">
        <f>7317.1</f>
        <v>7317.1</v>
      </c>
      <c r="T194" s="32" t="n">
        <f>32122</f>
        <v>32122.0</v>
      </c>
      <c r="U194" s="32" t="n">
        <f>1</f>
        <v>1.0</v>
      </c>
      <c r="V194" s="32" t="n">
        <f>237052353</f>
        <v>2.37052353E8</v>
      </c>
      <c r="W194" s="32" t="n">
        <f>7636</f>
        <v>7636.0</v>
      </c>
      <c r="X194" s="36" t="n">
        <f>20</f>
        <v>20.0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604</v>
      </c>
      <c r="J195" s="32" t="n">
        <v>1.0</v>
      </c>
      <c r="K195" s="33" t="n">
        <f>15355</f>
        <v>15355.0</v>
      </c>
      <c r="L195" s="34" t="s">
        <v>48</v>
      </c>
      <c r="M195" s="33" t="n">
        <f>15570</f>
        <v>15570.0</v>
      </c>
      <c r="N195" s="34" t="s">
        <v>64</v>
      </c>
      <c r="O195" s="33" t="n">
        <f>14980</f>
        <v>14980.0</v>
      </c>
      <c r="P195" s="34" t="s">
        <v>100</v>
      </c>
      <c r="Q195" s="33" t="n">
        <f>15570</f>
        <v>15570.0</v>
      </c>
      <c r="R195" s="34" t="s">
        <v>64</v>
      </c>
      <c r="S195" s="35" t="n">
        <f>15257</f>
        <v>15257.0</v>
      </c>
      <c r="T195" s="32" t="n">
        <f>114</f>
        <v>114.0</v>
      </c>
      <c r="U195" s="32" t="str">
        <f>"－"</f>
        <v>－</v>
      </c>
      <c r="V195" s="32" t="n">
        <f>1729135</f>
        <v>1729135.0</v>
      </c>
      <c r="W195" s="32" t="str">
        <f>"－"</f>
        <v>－</v>
      </c>
      <c r="X195" s="36" t="n">
        <f>10</f>
        <v>10.0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604</v>
      </c>
      <c r="J196" s="32" t="n">
        <v>1.0</v>
      </c>
      <c r="K196" s="33" t="n">
        <f>21875</f>
        <v>21875.0</v>
      </c>
      <c r="L196" s="34" t="s">
        <v>48</v>
      </c>
      <c r="M196" s="33" t="n">
        <f>22900</f>
        <v>22900.0</v>
      </c>
      <c r="N196" s="34" t="s">
        <v>72</v>
      </c>
      <c r="O196" s="33" t="n">
        <f>21315</f>
        <v>21315.0</v>
      </c>
      <c r="P196" s="34" t="s">
        <v>48</v>
      </c>
      <c r="Q196" s="33" t="n">
        <f>22700</f>
        <v>22700.0</v>
      </c>
      <c r="R196" s="34" t="s">
        <v>51</v>
      </c>
      <c r="S196" s="35" t="n">
        <f>22206.5</f>
        <v>22206.5</v>
      </c>
      <c r="T196" s="32" t="n">
        <f>15049</f>
        <v>15049.0</v>
      </c>
      <c r="U196" s="32" t="n">
        <f>9</f>
        <v>9.0</v>
      </c>
      <c r="V196" s="32" t="n">
        <f>335033845</f>
        <v>3.35033845E8</v>
      </c>
      <c r="W196" s="32" t="n">
        <f>196605</f>
        <v>196605.0</v>
      </c>
      <c r="X196" s="36" t="n">
        <f>20</f>
        <v>20.0</v>
      </c>
    </row>
    <row r="197">
      <c r="A197" s="27" t="s">
        <v>42</v>
      </c>
      <c r="B197" s="27" t="s">
        <v>641</v>
      </c>
      <c r="C197" s="27" t="s">
        <v>642</v>
      </c>
      <c r="D197" s="27" t="s">
        <v>643</v>
      </c>
      <c r="E197" s="28" t="s">
        <v>46</v>
      </c>
      <c r="F197" s="29" t="s">
        <v>46</v>
      </c>
      <c r="G197" s="30" t="s">
        <v>46</v>
      </c>
      <c r="H197" s="31"/>
      <c r="I197" s="31" t="s">
        <v>604</v>
      </c>
      <c r="J197" s="32" t="n">
        <v>1.0</v>
      </c>
      <c r="K197" s="33" t="n">
        <f>16010</f>
        <v>16010.0</v>
      </c>
      <c r="L197" s="34" t="s">
        <v>48</v>
      </c>
      <c r="M197" s="33" t="n">
        <f>16295</f>
        <v>16295.0</v>
      </c>
      <c r="N197" s="34" t="s">
        <v>64</v>
      </c>
      <c r="O197" s="33" t="n">
        <f>15425</f>
        <v>15425.0</v>
      </c>
      <c r="P197" s="34" t="s">
        <v>176</v>
      </c>
      <c r="Q197" s="33" t="n">
        <f>16035</f>
        <v>16035.0</v>
      </c>
      <c r="R197" s="34" t="s">
        <v>51</v>
      </c>
      <c r="S197" s="35" t="n">
        <f>15936.5</f>
        <v>15936.5</v>
      </c>
      <c r="T197" s="32" t="n">
        <f>500</f>
        <v>500.0</v>
      </c>
      <c r="U197" s="32" t="str">
        <f>"－"</f>
        <v>－</v>
      </c>
      <c r="V197" s="32" t="n">
        <f>7851010</f>
        <v>7851010.0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644</v>
      </c>
      <c r="C198" s="27" t="s">
        <v>645</v>
      </c>
      <c r="D198" s="27" t="s">
        <v>646</v>
      </c>
      <c r="E198" s="28" t="s">
        <v>46</v>
      </c>
      <c r="F198" s="29" t="s">
        <v>46</v>
      </c>
      <c r="G198" s="30" t="s">
        <v>46</v>
      </c>
      <c r="H198" s="31"/>
      <c r="I198" s="31" t="s">
        <v>604</v>
      </c>
      <c r="J198" s="32" t="n">
        <v>1.0</v>
      </c>
      <c r="K198" s="33" t="n">
        <f>16035</f>
        <v>16035.0</v>
      </c>
      <c r="L198" s="34" t="s">
        <v>48</v>
      </c>
      <c r="M198" s="33" t="n">
        <f>17900</f>
        <v>17900.0</v>
      </c>
      <c r="N198" s="34" t="s">
        <v>51</v>
      </c>
      <c r="O198" s="33" t="n">
        <f>15440</f>
        <v>15440.0</v>
      </c>
      <c r="P198" s="34" t="s">
        <v>48</v>
      </c>
      <c r="Q198" s="33" t="n">
        <f>17735</f>
        <v>17735.0</v>
      </c>
      <c r="R198" s="34" t="s">
        <v>51</v>
      </c>
      <c r="S198" s="35" t="n">
        <f>16602.25</f>
        <v>16602.25</v>
      </c>
      <c r="T198" s="32" t="n">
        <f>23435</f>
        <v>23435.0</v>
      </c>
      <c r="U198" s="32" t="str">
        <f>"－"</f>
        <v>－</v>
      </c>
      <c r="V198" s="32" t="n">
        <f>387584765</f>
        <v>3.87584765E8</v>
      </c>
      <c r="W198" s="32" t="str">
        <f>"－"</f>
        <v>－</v>
      </c>
      <c r="X198" s="36" t="n">
        <f>20</f>
        <v>20.0</v>
      </c>
    </row>
    <row r="199">
      <c r="A199" s="27" t="s">
        <v>42</v>
      </c>
      <c r="B199" s="27" t="s">
        <v>647</v>
      </c>
      <c r="C199" s="27" t="s">
        <v>648</v>
      </c>
      <c r="D199" s="27" t="s">
        <v>649</v>
      </c>
      <c r="E199" s="28" t="s">
        <v>46</v>
      </c>
      <c r="F199" s="29" t="s">
        <v>46</v>
      </c>
      <c r="G199" s="30" t="s">
        <v>46</v>
      </c>
      <c r="H199" s="31"/>
      <c r="I199" s="31" t="s">
        <v>604</v>
      </c>
      <c r="J199" s="32" t="n">
        <v>1.0</v>
      </c>
      <c r="K199" s="33" t="n">
        <f>4985</f>
        <v>4985.0</v>
      </c>
      <c r="L199" s="34" t="s">
        <v>48</v>
      </c>
      <c r="M199" s="33" t="n">
        <f>4990</f>
        <v>4990.0</v>
      </c>
      <c r="N199" s="34" t="s">
        <v>48</v>
      </c>
      <c r="O199" s="33" t="n">
        <f>4410</f>
        <v>4410.0</v>
      </c>
      <c r="P199" s="34" t="s">
        <v>51</v>
      </c>
      <c r="Q199" s="33" t="n">
        <f>4475</f>
        <v>4475.0</v>
      </c>
      <c r="R199" s="34" t="s">
        <v>51</v>
      </c>
      <c r="S199" s="35" t="n">
        <f>4787.25</f>
        <v>4787.25</v>
      </c>
      <c r="T199" s="32" t="n">
        <f>4954</f>
        <v>4954.0</v>
      </c>
      <c r="U199" s="32" t="str">
        <f>"－"</f>
        <v>－</v>
      </c>
      <c r="V199" s="32" t="n">
        <f>23591125</f>
        <v>2.3591125E7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650</v>
      </c>
      <c r="C200" s="27" t="s">
        <v>651</v>
      </c>
      <c r="D200" s="27" t="s">
        <v>652</v>
      </c>
      <c r="E200" s="28" t="s">
        <v>46</v>
      </c>
      <c r="F200" s="29" t="s">
        <v>46</v>
      </c>
      <c r="G200" s="30" t="s">
        <v>46</v>
      </c>
      <c r="H200" s="31"/>
      <c r="I200" s="31" t="s">
        <v>604</v>
      </c>
      <c r="J200" s="32" t="n">
        <v>1.0</v>
      </c>
      <c r="K200" s="33" t="n">
        <f>14720</f>
        <v>14720.0</v>
      </c>
      <c r="L200" s="34" t="s">
        <v>50</v>
      </c>
      <c r="M200" s="33" t="n">
        <f>15295</f>
        <v>15295.0</v>
      </c>
      <c r="N200" s="34" t="s">
        <v>161</v>
      </c>
      <c r="O200" s="33" t="n">
        <f>14515</f>
        <v>14515.0</v>
      </c>
      <c r="P200" s="34" t="s">
        <v>50</v>
      </c>
      <c r="Q200" s="33" t="n">
        <f>15015</f>
        <v>15015.0</v>
      </c>
      <c r="R200" s="34" t="s">
        <v>51</v>
      </c>
      <c r="S200" s="35" t="n">
        <f>14975.67</f>
        <v>14975.67</v>
      </c>
      <c r="T200" s="32" t="n">
        <f>1544</f>
        <v>1544.0</v>
      </c>
      <c r="U200" s="32" t="str">
        <f>"－"</f>
        <v>－</v>
      </c>
      <c r="V200" s="32" t="n">
        <f>23184975</f>
        <v>2.3184975E7</v>
      </c>
      <c r="W200" s="32" t="str">
        <f>"－"</f>
        <v>－</v>
      </c>
      <c r="X200" s="36" t="n">
        <f>15</f>
        <v>15.0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46</v>
      </c>
      <c r="F201" s="29" t="s">
        <v>46</v>
      </c>
      <c r="G201" s="30" t="s">
        <v>46</v>
      </c>
      <c r="H201" s="31"/>
      <c r="I201" s="31" t="s">
        <v>604</v>
      </c>
      <c r="J201" s="32" t="n">
        <v>1.0</v>
      </c>
      <c r="K201" s="33" t="n">
        <f>12725</f>
        <v>12725.0</v>
      </c>
      <c r="L201" s="34" t="s">
        <v>49</v>
      </c>
      <c r="M201" s="33" t="n">
        <f>12725</f>
        <v>12725.0</v>
      </c>
      <c r="N201" s="34" t="s">
        <v>49</v>
      </c>
      <c r="O201" s="33" t="n">
        <f>12725</f>
        <v>12725.0</v>
      </c>
      <c r="P201" s="34" t="s">
        <v>49</v>
      </c>
      <c r="Q201" s="33" t="n">
        <f>12725</f>
        <v>12725.0</v>
      </c>
      <c r="R201" s="34" t="s">
        <v>49</v>
      </c>
      <c r="S201" s="35" t="n">
        <f>12725</f>
        <v>12725.0</v>
      </c>
      <c r="T201" s="32" t="n">
        <f>1</f>
        <v>1.0</v>
      </c>
      <c r="U201" s="32" t="str">
        <f>"－"</f>
        <v>－</v>
      </c>
      <c r="V201" s="32" t="n">
        <f>12725</f>
        <v>12725.0</v>
      </c>
      <c r="W201" s="32" t="str">
        <f>"－"</f>
        <v>－</v>
      </c>
      <c r="X201" s="36" t="n">
        <f>1</f>
        <v>1.0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46</v>
      </c>
      <c r="F202" s="29" t="s">
        <v>46</v>
      </c>
      <c r="G202" s="30" t="s">
        <v>46</v>
      </c>
      <c r="H202" s="31"/>
      <c r="I202" s="31" t="s">
        <v>604</v>
      </c>
      <c r="J202" s="32" t="n">
        <v>1.0</v>
      </c>
      <c r="K202" s="33" t="n">
        <f>17170</f>
        <v>17170.0</v>
      </c>
      <c r="L202" s="34" t="s">
        <v>48</v>
      </c>
      <c r="M202" s="33" t="n">
        <f>17860</f>
        <v>17860.0</v>
      </c>
      <c r="N202" s="34" t="s">
        <v>166</v>
      </c>
      <c r="O202" s="33" t="n">
        <f>17095</f>
        <v>17095.0</v>
      </c>
      <c r="P202" s="34" t="s">
        <v>50</v>
      </c>
      <c r="Q202" s="33" t="n">
        <f>17300</f>
        <v>17300.0</v>
      </c>
      <c r="R202" s="34" t="s">
        <v>51</v>
      </c>
      <c r="S202" s="35" t="n">
        <f>17464.58</f>
        <v>17464.58</v>
      </c>
      <c r="T202" s="32" t="n">
        <f>846</f>
        <v>846.0</v>
      </c>
      <c r="U202" s="32" t="str">
        <f>"－"</f>
        <v>－</v>
      </c>
      <c r="V202" s="32" t="n">
        <f>14770005</f>
        <v>1.4770005E7</v>
      </c>
      <c r="W202" s="32" t="str">
        <f>"－"</f>
        <v>－</v>
      </c>
      <c r="X202" s="36" t="n">
        <f>12</f>
        <v>12.0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46</v>
      </c>
      <c r="F203" s="29" t="s">
        <v>46</v>
      </c>
      <c r="G203" s="30" t="s">
        <v>46</v>
      </c>
      <c r="H203" s="31"/>
      <c r="I203" s="31" t="s">
        <v>604</v>
      </c>
      <c r="J203" s="32" t="n">
        <v>1.0</v>
      </c>
      <c r="K203" s="33" t="n">
        <f>16305</f>
        <v>16305.0</v>
      </c>
      <c r="L203" s="34" t="s">
        <v>262</v>
      </c>
      <c r="M203" s="33" t="n">
        <f>17105</f>
        <v>17105.0</v>
      </c>
      <c r="N203" s="34" t="s">
        <v>100</v>
      </c>
      <c r="O203" s="33" t="n">
        <f>16305</f>
        <v>16305.0</v>
      </c>
      <c r="P203" s="34" t="s">
        <v>262</v>
      </c>
      <c r="Q203" s="33" t="n">
        <f>16870</f>
        <v>16870.0</v>
      </c>
      <c r="R203" s="34" t="s">
        <v>161</v>
      </c>
      <c r="S203" s="35" t="n">
        <f>16579</f>
        <v>16579.0</v>
      </c>
      <c r="T203" s="32" t="n">
        <f>59</f>
        <v>59.0</v>
      </c>
      <c r="U203" s="32" t="n">
        <f>1</f>
        <v>1.0</v>
      </c>
      <c r="V203" s="32" t="n">
        <f>993610</f>
        <v>993610.0</v>
      </c>
      <c r="W203" s="32" t="n">
        <f>16870</f>
        <v>16870.0</v>
      </c>
      <c r="X203" s="36" t="n">
        <f>5</f>
        <v>5.0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46</v>
      </c>
      <c r="F204" s="29" t="s">
        <v>46</v>
      </c>
      <c r="G204" s="30" t="s">
        <v>46</v>
      </c>
      <c r="H204" s="31"/>
      <c r="I204" s="31" t="s">
        <v>604</v>
      </c>
      <c r="J204" s="32" t="n">
        <v>1.0</v>
      </c>
      <c r="K204" s="33" t="n">
        <f>12995</f>
        <v>12995.0</v>
      </c>
      <c r="L204" s="34" t="s">
        <v>174</v>
      </c>
      <c r="M204" s="33" t="n">
        <f>13185</f>
        <v>13185.0</v>
      </c>
      <c r="N204" s="34" t="s">
        <v>166</v>
      </c>
      <c r="O204" s="33" t="n">
        <f>12735</f>
        <v>12735.0</v>
      </c>
      <c r="P204" s="34" t="s">
        <v>100</v>
      </c>
      <c r="Q204" s="33" t="n">
        <f>12975</f>
        <v>12975.0</v>
      </c>
      <c r="R204" s="34" t="s">
        <v>51</v>
      </c>
      <c r="S204" s="35" t="n">
        <f>13031.43</f>
        <v>13031.43</v>
      </c>
      <c r="T204" s="32" t="n">
        <f>496</f>
        <v>496.0</v>
      </c>
      <c r="U204" s="32" t="n">
        <f>1</f>
        <v>1.0</v>
      </c>
      <c r="V204" s="32" t="n">
        <f>6466860</f>
        <v>6466860.0</v>
      </c>
      <c r="W204" s="32" t="n">
        <f>13185</f>
        <v>13185.0</v>
      </c>
      <c r="X204" s="36" t="n">
        <f>7</f>
        <v>7.0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46</v>
      </c>
      <c r="F205" s="29" t="s">
        <v>46</v>
      </c>
      <c r="G205" s="30" t="s">
        <v>46</v>
      </c>
      <c r="H205" s="31"/>
      <c r="I205" s="31" t="s">
        <v>604</v>
      </c>
      <c r="J205" s="32" t="n">
        <v>1.0</v>
      </c>
      <c r="K205" s="33" t="n">
        <f>14680</f>
        <v>14680.0</v>
      </c>
      <c r="L205" s="34" t="s">
        <v>49</v>
      </c>
      <c r="M205" s="33" t="n">
        <f>14680</f>
        <v>14680.0</v>
      </c>
      <c r="N205" s="34" t="s">
        <v>49</v>
      </c>
      <c r="O205" s="33" t="n">
        <f>14680</f>
        <v>14680.0</v>
      </c>
      <c r="P205" s="34" t="s">
        <v>49</v>
      </c>
      <c r="Q205" s="33" t="n">
        <f>14680</f>
        <v>14680.0</v>
      </c>
      <c r="R205" s="34" t="s">
        <v>49</v>
      </c>
      <c r="S205" s="35" t="n">
        <f>14680</f>
        <v>14680.0</v>
      </c>
      <c r="T205" s="32" t="n">
        <f>200</f>
        <v>200.0</v>
      </c>
      <c r="U205" s="32" t="str">
        <f>"－"</f>
        <v>－</v>
      </c>
      <c r="V205" s="32" t="n">
        <f>2936000</f>
        <v>2936000.0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46</v>
      </c>
      <c r="F206" s="29" t="s">
        <v>46</v>
      </c>
      <c r="G206" s="30" t="s">
        <v>46</v>
      </c>
      <c r="H206" s="31"/>
      <c r="I206" s="31" t="s">
        <v>604</v>
      </c>
      <c r="J206" s="32" t="n">
        <v>1.0</v>
      </c>
      <c r="K206" s="33" t="n">
        <f>13750</f>
        <v>13750.0</v>
      </c>
      <c r="L206" s="34" t="s">
        <v>176</v>
      </c>
      <c r="M206" s="33" t="n">
        <f>13750</f>
        <v>13750.0</v>
      </c>
      <c r="N206" s="34" t="s">
        <v>176</v>
      </c>
      <c r="O206" s="33" t="n">
        <f>13750</f>
        <v>13750.0</v>
      </c>
      <c r="P206" s="34" t="s">
        <v>176</v>
      </c>
      <c r="Q206" s="33" t="n">
        <f>13750</f>
        <v>13750.0</v>
      </c>
      <c r="R206" s="34" t="s">
        <v>176</v>
      </c>
      <c r="S206" s="35" t="n">
        <f>13750</f>
        <v>13750.0</v>
      </c>
      <c r="T206" s="32" t="n">
        <f>1</f>
        <v>1.0</v>
      </c>
      <c r="U206" s="32" t="str">
        <f>"－"</f>
        <v>－</v>
      </c>
      <c r="V206" s="32" t="n">
        <f>13750</f>
        <v>13750.0</v>
      </c>
      <c r="W206" s="32" t="str">
        <f>"－"</f>
        <v>－</v>
      </c>
      <c r="X206" s="36" t="n">
        <f>1</f>
        <v>1.0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604</v>
      </c>
      <c r="J207" s="32" t="n">
        <v>1.0</v>
      </c>
      <c r="K207" s="33" t="n">
        <f>9208</f>
        <v>9208.0</v>
      </c>
      <c r="L207" s="34" t="s">
        <v>48</v>
      </c>
      <c r="M207" s="33" t="n">
        <f>9823</f>
        <v>9823.0</v>
      </c>
      <c r="N207" s="34" t="s">
        <v>49</v>
      </c>
      <c r="O207" s="33" t="n">
        <f>9208</f>
        <v>9208.0</v>
      </c>
      <c r="P207" s="34" t="s">
        <v>48</v>
      </c>
      <c r="Q207" s="33" t="n">
        <f>9823</f>
        <v>9823.0</v>
      </c>
      <c r="R207" s="34" t="s">
        <v>49</v>
      </c>
      <c r="S207" s="35" t="n">
        <f>9563.38</f>
        <v>9563.38</v>
      </c>
      <c r="T207" s="32" t="n">
        <f>2746</f>
        <v>2746.0</v>
      </c>
      <c r="U207" s="32" t="str">
        <f>"－"</f>
        <v>－</v>
      </c>
      <c r="V207" s="32" t="n">
        <f>26584855</f>
        <v>2.6584855E7</v>
      </c>
      <c r="W207" s="32" t="str">
        <f>"－"</f>
        <v>－</v>
      </c>
      <c r="X207" s="36" t="n">
        <f>8</f>
        <v>8.0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604</v>
      </c>
      <c r="J208" s="32" t="n">
        <v>1.0</v>
      </c>
      <c r="K208" s="33" t="n">
        <f>9599</f>
        <v>9599.0</v>
      </c>
      <c r="L208" s="34" t="s">
        <v>48</v>
      </c>
      <c r="M208" s="33" t="n">
        <f>10340</f>
        <v>10340.0</v>
      </c>
      <c r="N208" s="34" t="s">
        <v>176</v>
      </c>
      <c r="O208" s="33" t="n">
        <f>9420</f>
        <v>9420.0</v>
      </c>
      <c r="P208" s="34" t="s">
        <v>48</v>
      </c>
      <c r="Q208" s="33" t="n">
        <f>10285</f>
        <v>10285.0</v>
      </c>
      <c r="R208" s="34" t="s">
        <v>51</v>
      </c>
      <c r="S208" s="35" t="n">
        <f>9930.39</f>
        <v>9930.39</v>
      </c>
      <c r="T208" s="32" t="n">
        <f>20317</f>
        <v>20317.0</v>
      </c>
      <c r="U208" s="32" t="str">
        <f>"－"</f>
        <v>－</v>
      </c>
      <c r="V208" s="32" t="n">
        <f>202398983</f>
        <v>2.02398983E8</v>
      </c>
      <c r="W208" s="32" t="str">
        <f>"－"</f>
        <v>－</v>
      </c>
      <c r="X208" s="36" t="n">
        <f>18</f>
        <v>18.0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604</v>
      </c>
      <c r="J209" s="32" t="n">
        <v>1.0</v>
      </c>
      <c r="K209" s="33" t="n">
        <f>9421</f>
        <v>9421.0</v>
      </c>
      <c r="L209" s="34" t="s">
        <v>174</v>
      </c>
      <c r="M209" s="33" t="n">
        <f>9558</f>
        <v>9558.0</v>
      </c>
      <c r="N209" s="34" t="s">
        <v>51</v>
      </c>
      <c r="O209" s="33" t="n">
        <f>9384</f>
        <v>9384.0</v>
      </c>
      <c r="P209" s="34" t="s">
        <v>175</v>
      </c>
      <c r="Q209" s="33" t="n">
        <f>9558</f>
        <v>9558.0</v>
      </c>
      <c r="R209" s="34" t="s">
        <v>51</v>
      </c>
      <c r="S209" s="35" t="n">
        <f>9468.4</f>
        <v>9468.4</v>
      </c>
      <c r="T209" s="32" t="n">
        <f>3808</f>
        <v>3808.0</v>
      </c>
      <c r="U209" s="32" t="str">
        <f>"－"</f>
        <v>－</v>
      </c>
      <c r="V209" s="32" t="n">
        <f>36144445</f>
        <v>3.6144445E7</v>
      </c>
      <c r="W209" s="32" t="str">
        <f>"－"</f>
        <v>－</v>
      </c>
      <c r="X209" s="36" t="n">
        <f>5</f>
        <v>5.0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604</v>
      </c>
      <c r="J210" s="32" t="n">
        <v>1.0</v>
      </c>
      <c r="K210" s="33" t="n">
        <f>10125</f>
        <v>10125.0</v>
      </c>
      <c r="L210" s="34" t="s">
        <v>93</v>
      </c>
      <c r="M210" s="33" t="n">
        <f>10215</f>
        <v>10215.0</v>
      </c>
      <c r="N210" s="34" t="s">
        <v>49</v>
      </c>
      <c r="O210" s="33" t="n">
        <f>10125</f>
        <v>10125.0</v>
      </c>
      <c r="P210" s="34" t="s">
        <v>93</v>
      </c>
      <c r="Q210" s="33" t="n">
        <f>10160</f>
        <v>10160.0</v>
      </c>
      <c r="R210" s="34" t="s">
        <v>64</v>
      </c>
      <c r="S210" s="35" t="n">
        <f>10166.67</f>
        <v>10166.67</v>
      </c>
      <c r="T210" s="32" t="n">
        <f>41</f>
        <v>41.0</v>
      </c>
      <c r="U210" s="32" t="str">
        <f>"－"</f>
        <v>－</v>
      </c>
      <c r="V210" s="32" t="n">
        <f>415890</f>
        <v>415890.0</v>
      </c>
      <c r="W210" s="32" t="str">
        <f>"－"</f>
        <v>－</v>
      </c>
      <c r="X210" s="36" t="n">
        <f>3</f>
        <v>3.0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961.5</f>
        <v>961.5</v>
      </c>
      <c r="L211" s="34" t="s">
        <v>48</v>
      </c>
      <c r="M211" s="33" t="n">
        <f>969</f>
        <v>969.0</v>
      </c>
      <c r="N211" s="34" t="s">
        <v>176</v>
      </c>
      <c r="O211" s="33" t="n">
        <f>959.1</f>
        <v>959.1</v>
      </c>
      <c r="P211" s="34" t="s">
        <v>162</v>
      </c>
      <c r="Q211" s="33" t="n">
        <f>967.7</f>
        <v>967.7</v>
      </c>
      <c r="R211" s="34" t="s">
        <v>51</v>
      </c>
      <c r="S211" s="35" t="n">
        <f>963.91</f>
        <v>963.91</v>
      </c>
      <c r="T211" s="32" t="n">
        <f>3930520</f>
        <v>3930520.0</v>
      </c>
      <c r="U211" s="32" t="n">
        <f>3057830</f>
        <v>3057830.0</v>
      </c>
      <c r="V211" s="32" t="n">
        <f>3800379819</f>
        <v>3.800379819E9</v>
      </c>
      <c r="W211" s="32" t="n">
        <f>2958167873</f>
        <v>2.958167873E9</v>
      </c>
      <c r="X211" s="36" t="n">
        <f>20</f>
        <v>20.0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1032.5</f>
        <v>1032.5</v>
      </c>
      <c r="L212" s="34" t="s">
        <v>48</v>
      </c>
      <c r="M212" s="33" t="n">
        <f>1044</f>
        <v>1044.0</v>
      </c>
      <c r="N212" s="34" t="s">
        <v>72</v>
      </c>
      <c r="O212" s="33" t="n">
        <f>1018</f>
        <v>1018.0</v>
      </c>
      <c r="P212" s="34" t="s">
        <v>231</v>
      </c>
      <c r="Q212" s="33" t="n">
        <f>1026.5</f>
        <v>1026.5</v>
      </c>
      <c r="R212" s="34" t="s">
        <v>51</v>
      </c>
      <c r="S212" s="35" t="n">
        <f>1033.6</f>
        <v>1033.6</v>
      </c>
      <c r="T212" s="32" t="n">
        <f>2660030</f>
        <v>2660030.0</v>
      </c>
      <c r="U212" s="32" t="n">
        <f>1792710</f>
        <v>1792710.0</v>
      </c>
      <c r="V212" s="32" t="n">
        <f>2750223022</f>
        <v>2.750223022E9</v>
      </c>
      <c r="W212" s="32" t="n">
        <f>1851904592</f>
        <v>1.851904592E9</v>
      </c>
      <c r="X212" s="36" t="n">
        <f>20</f>
        <v>20.0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892.3</f>
        <v>892.3</v>
      </c>
      <c r="L213" s="34" t="s">
        <v>48</v>
      </c>
      <c r="M213" s="33" t="n">
        <f>917</f>
        <v>917.0</v>
      </c>
      <c r="N213" s="34" t="s">
        <v>51</v>
      </c>
      <c r="O213" s="33" t="n">
        <f>891.1</f>
        <v>891.1</v>
      </c>
      <c r="P213" s="34" t="s">
        <v>174</v>
      </c>
      <c r="Q213" s="33" t="n">
        <f>915</f>
        <v>915.0</v>
      </c>
      <c r="R213" s="34" t="s">
        <v>51</v>
      </c>
      <c r="S213" s="35" t="n">
        <f>900.75</f>
        <v>900.75</v>
      </c>
      <c r="T213" s="32" t="n">
        <f>9207480</f>
        <v>9207480.0</v>
      </c>
      <c r="U213" s="32" t="n">
        <f>7294350</f>
        <v>7294350.0</v>
      </c>
      <c r="V213" s="32" t="n">
        <f>8329172447</f>
        <v>8.329172447E9</v>
      </c>
      <c r="W213" s="32" t="n">
        <f>6604978044</f>
        <v>6.604978044E9</v>
      </c>
      <c r="X213" s="36" t="n">
        <f>20</f>
        <v>20.0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1583</f>
        <v>1583.0</v>
      </c>
      <c r="L214" s="34" t="s">
        <v>48</v>
      </c>
      <c r="M214" s="33" t="n">
        <f>1679</f>
        <v>1679.0</v>
      </c>
      <c r="N214" s="34" t="s">
        <v>72</v>
      </c>
      <c r="O214" s="33" t="n">
        <f>1553</f>
        <v>1553.0</v>
      </c>
      <c r="P214" s="34" t="s">
        <v>48</v>
      </c>
      <c r="Q214" s="33" t="n">
        <f>1633.5</f>
        <v>1633.5</v>
      </c>
      <c r="R214" s="34" t="s">
        <v>51</v>
      </c>
      <c r="S214" s="35" t="n">
        <f>1621.75</f>
        <v>1621.75</v>
      </c>
      <c r="T214" s="32" t="n">
        <f>1825460</f>
        <v>1825460.0</v>
      </c>
      <c r="U214" s="32" t="n">
        <f>1358960</f>
        <v>1358960.0</v>
      </c>
      <c r="V214" s="32" t="n">
        <f>3008230373</f>
        <v>3.008230373E9</v>
      </c>
      <c r="W214" s="32" t="n">
        <f>2248836368</f>
        <v>2.248836368E9</v>
      </c>
      <c r="X214" s="36" t="n">
        <f>20</f>
        <v>20.0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1270.5</f>
        <v>1270.5</v>
      </c>
      <c r="L215" s="34" t="s">
        <v>48</v>
      </c>
      <c r="M215" s="33" t="n">
        <f>1370.5</f>
        <v>1370.5</v>
      </c>
      <c r="N215" s="34" t="s">
        <v>51</v>
      </c>
      <c r="O215" s="33" t="n">
        <f>1261</f>
        <v>1261.0</v>
      </c>
      <c r="P215" s="34" t="s">
        <v>48</v>
      </c>
      <c r="Q215" s="33" t="n">
        <f>1364</f>
        <v>1364.0</v>
      </c>
      <c r="R215" s="34" t="s">
        <v>51</v>
      </c>
      <c r="S215" s="35" t="n">
        <f>1304.58</f>
        <v>1304.58</v>
      </c>
      <c r="T215" s="32" t="n">
        <f>2282680</f>
        <v>2282680.0</v>
      </c>
      <c r="U215" s="32" t="n">
        <f>1859280</f>
        <v>1859280.0</v>
      </c>
      <c r="V215" s="32" t="n">
        <f>3013152333</f>
        <v>3.013152333E9</v>
      </c>
      <c r="W215" s="32" t="n">
        <f>2458840948</f>
        <v>2.458840948E9</v>
      </c>
      <c r="X215" s="36" t="n">
        <f>20</f>
        <v>20.0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1245</f>
        <v>1245.0</v>
      </c>
      <c r="L216" s="34" t="s">
        <v>48</v>
      </c>
      <c r="M216" s="33" t="n">
        <f>1318</f>
        <v>1318.0</v>
      </c>
      <c r="N216" s="34" t="s">
        <v>51</v>
      </c>
      <c r="O216" s="33" t="n">
        <f>1215</f>
        <v>1215.0</v>
      </c>
      <c r="P216" s="34" t="s">
        <v>48</v>
      </c>
      <c r="Q216" s="33" t="n">
        <f>1307.5</f>
        <v>1307.5</v>
      </c>
      <c r="R216" s="34" t="s">
        <v>51</v>
      </c>
      <c r="S216" s="35" t="n">
        <f>1265.4</f>
        <v>1265.4</v>
      </c>
      <c r="T216" s="32" t="n">
        <f>220430</f>
        <v>220430.0</v>
      </c>
      <c r="U216" s="32" t="n">
        <f>39780</f>
        <v>39780.0</v>
      </c>
      <c r="V216" s="32" t="n">
        <f>280345945</f>
        <v>2.80345945E8</v>
      </c>
      <c r="W216" s="32" t="n">
        <f>50808260</f>
        <v>5.080826E7</v>
      </c>
      <c r="X216" s="36" t="n">
        <f>20</f>
        <v>20.0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509.6</f>
        <v>509.6</v>
      </c>
      <c r="L217" s="34" t="s">
        <v>48</v>
      </c>
      <c r="M217" s="33" t="n">
        <f>558.1</f>
        <v>558.1</v>
      </c>
      <c r="N217" s="34" t="s">
        <v>51</v>
      </c>
      <c r="O217" s="33" t="n">
        <f>495.6</f>
        <v>495.6</v>
      </c>
      <c r="P217" s="34" t="s">
        <v>48</v>
      </c>
      <c r="Q217" s="33" t="n">
        <f>553.7</f>
        <v>553.7</v>
      </c>
      <c r="R217" s="34" t="s">
        <v>51</v>
      </c>
      <c r="S217" s="35" t="n">
        <f>528.12</f>
        <v>528.12</v>
      </c>
      <c r="T217" s="32" t="n">
        <f>45974080</f>
        <v>4.597408E7</v>
      </c>
      <c r="U217" s="32" t="n">
        <f>475460</f>
        <v>475460.0</v>
      </c>
      <c r="V217" s="32" t="n">
        <f>24328140382</f>
        <v>2.4328140382E10</v>
      </c>
      <c r="W217" s="32" t="n">
        <f>249928887</f>
        <v>2.49928887E8</v>
      </c>
      <c r="X217" s="36" t="n">
        <f>20</f>
        <v>20.0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1152</f>
        <v>1152.0</v>
      </c>
      <c r="L218" s="34" t="s">
        <v>48</v>
      </c>
      <c r="M218" s="33" t="n">
        <f>1194</f>
        <v>1194.0</v>
      </c>
      <c r="N218" s="34" t="s">
        <v>51</v>
      </c>
      <c r="O218" s="33" t="n">
        <f>1139</f>
        <v>1139.0</v>
      </c>
      <c r="P218" s="34" t="s">
        <v>48</v>
      </c>
      <c r="Q218" s="33" t="n">
        <f>1194</f>
        <v>1194.0</v>
      </c>
      <c r="R218" s="34" t="s">
        <v>51</v>
      </c>
      <c r="S218" s="35" t="n">
        <f>1161.83</f>
        <v>1161.83</v>
      </c>
      <c r="T218" s="32" t="n">
        <f>435880</f>
        <v>435880.0</v>
      </c>
      <c r="U218" s="32" t="n">
        <f>68860</f>
        <v>68860.0</v>
      </c>
      <c r="V218" s="32" t="n">
        <f>505965775</f>
        <v>5.05965775E8</v>
      </c>
      <c r="W218" s="32" t="n">
        <f>79996140</f>
        <v>7.999614E7</v>
      </c>
      <c r="X218" s="36" t="n">
        <f>20</f>
        <v>20.0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1044</f>
        <v>1044.0</v>
      </c>
      <c r="L219" s="34" t="s">
        <v>48</v>
      </c>
      <c r="M219" s="33" t="n">
        <f>1150</f>
        <v>1150.0</v>
      </c>
      <c r="N219" s="34" t="s">
        <v>176</v>
      </c>
      <c r="O219" s="33" t="n">
        <f>1027</f>
        <v>1027.0</v>
      </c>
      <c r="P219" s="34" t="s">
        <v>48</v>
      </c>
      <c r="Q219" s="33" t="n">
        <f>1092</f>
        <v>1092.0</v>
      </c>
      <c r="R219" s="34" t="s">
        <v>51</v>
      </c>
      <c r="S219" s="35" t="n">
        <f>1072.3</f>
        <v>1072.3</v>
      </c>
      <c r="T219" s="32" t="n">
        <f>58792</f>
        <v>58792.0</v>
      </c>
      <c r="U219" s="32" t="n">
        <f>12</f>
        <v>12.0</v>
      </c>
      <c r="V219" s="32" t="n">
        <f>63786668</f>
        <v>6.3786668E7</v>
      </c>
      <c r="W219" s="32" t="n">
        <f>13103</f>
        <v>13103.0</v>
      </c>
      <c r="X219" s="36" t="n">
        <f>20</f>
        <v>20.0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911.8</f>
        <v>911.8</v>
      </c>
      <c r="L220" s="34" t="s">
        <v>48</v>
      </c>
      <c r="M220" s="33" t="n">
        <f>935</f>
        <v>935.0</v>
      </c>
      <c r="N220" s="34" t="s">
        <v>262</v>
      </c>
      <c r="O220" s="33" t="n">
        <f>901</f>
        <v>901.0</v>
      </c>
      <c r="P220" s="34" t="s">
        <v>323</v>
      </c>
      <c r="Q220" s="33" t="n">
        <f>915.5</f>
        <v>915.5</v>
      </c>
      <c r="R220" s="34" t="s">
        <v>51</v>
      </c>
      <c r="S220" s="35" t="n">
        <f>914.31</f>
        <v>914.31</v>
      </c>
      <c r="T220" s="32" t="n">
        <f>131290</f>
        <v>131290.0</v>
      </c>
      <c r="U220" s="32" t="n">
        <f>84600</f>
        <v>84600.0</v>
      </c>
      <c r="V220" s="32" t="n">
        <f>120819594</f>
        <v>1.20819594E8</v>
      </c>
      <c r="W220" s="32" t="n">
        <f>78085800</f>
        <v>7.80858E7</v>
      </c>
      <c r="X220" s="36" t="n">
        <f>20</f>
        <v>20.0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1195</f>
        <v>1195.0</v>
      </c>
      <c r="L221" s="34" t="s">
        <v>48</v>
      </c>
      <c r="M221" s="33" t="n">
        <f>1203</f>
        <v>1203.0</v>
      </c>
      <c r="N221" s="34" t="s">
        <v>161</v>
      </c>
      <c r="O221" s="33" t="n">
        <f>1159.5</f>
        <v>1159.5</v>
      </c>
      <c r="P221" s="34" t="s">
        <v>170</v>
      </c>
      <c r="Q221" s="33" t="n">
        <f>1161.5</f>
        <v>1161.5</v>
      </c>
      <c r="R221" s="34" t="s">
        <v>51</v>
      </c>
      <c r="S221" s="35" t="n">
        <f>1179.15</f>
        <v>1179.15</v>
      </c>
      <c r="T221" s="32" t="n">
        <f>96060</f>
        <v>96060.0</v>
      </c>
      <c r="U221" s="32" t="n">
        <f>67610</f>
        <v>67610.0</v>
      </c>
      <c r="V221" s="32" t="n">
        <f>113748285</f>
        <v>1.13748285E8</v>
      </c>
      <c r="W221" s="32" t="n">
        <f>80050240</f>
        <v>8.005024E7</v>
      </c>
      <c r="X221" s="36" t="n">
        <f>20</f>
        <v>20.0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1309</f>
        <v>1309.0</v>
      </c>
      <c r="L222" s="34" t="s">
        <v>48</v>
      </c>
      <c r="M222" s="33" t="n">
        <f>1416.5</f>
        <v>1416.5</v>
      </c>
      <c r="N222" s="34" t="s">
        <v>51</v>
      </c>
      <c r="O222" s="33" t="n">
        <f>1293.5</f>
        <v>1293.5</v>
      </c>
      <c r="P222" s="34" t="s">
        <v>48</v>
      </c>
      <c r="Q222" s="33" t="n">
        <f>1416.5</f>
        <v>1416.5</v>
      </c>
      <c r="R222" s="34" t="s">
        <v>51</v>
      </c>
      <c r="S222" s="35" t="n">
        <f>1343.25</f>
        <v>1343.25</v>
      </c>
      <c r="T222" s="32" t="n">
        <f>13282270</f>
        <v>1.328227E7</v>
      </c>
      <c r="U222" s="32" t="n">
        <f>6983570</f>
        <v>6983570.0</v>
      </c>
      <c r="V222" s="32" t="n">
        <f>17762858099</f>
        <v>1.7762858099E10</v>
      </c>
      <c r="W222" s="32" t="n">
        <f>9282744494</f>
        <v>9.282744494E9</v>
      </c>
      <c r="X222" s="36" t="n">
        <f>20</f>
        <v>20.0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3275</f>
        <v>3275.0</v>
      </c>
      <c r="L223" s="34" t="s">
        <v>48</v>
      </c>
      <c r="M223" s="33" t="n">
        <f>3640</f>
        <v>3640.0</v>
      </c>
      <c r="N223" s="34" t="s">
        <v>49</v>
      </c>
      <c r="O223" s="33" t="n">
        <f>3210</f>
        <v>3210.0</v>
      </c>
      <c r="P223" s="34" t="s">
        <v>48</v>
      </c>
      <c r="Q223" s="33" t="n">
        <f>3570</f>
        <v>3570.0</v>
      </c>
      <c r="R223" s="34" t="s">
        <v>51</v>
      </c>
      <c r="S223" s="35" t="n">
        <f>3416.75</f>
        <v>3416.75</v>
      </c>
      <c r="T223" s="32" t="n">
        <f>33466</f>
        <v>33466.0</v>
      </c>
      <c r="U223" s="32" t="str">
        <f>"－"</f>
        <v>－</v>
      </c>
      <c r="V223" s="32" t="n">
        <f>117921640</f>
        <v>1.1792164E8</v>
      </c>
      <c r="W223" s="32" t="str">
        <f>"－"</f>
        <v>－</v>
      </c>
      <c r="X223" s="36" t="n">
        <f>20</f>
        <v>20.0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1515</f>
        <v>1515.0</v>
      </c>
      <c r="L224" s="34" t="s">
        <v>48</v>
      </c>
      <c r="M224" s="33" t="n">
        <f>1700</f>
        <v>1700.0</v>
      </c>
      <c r="N224" s="34" t="s">
        <v>64</v>
      </c>
      <c r="O224" s="33" t="n">
        <f>1473</f>
        <v>1473.0</v>
      </c>
      <c r="P224" s="34" t="s">
        <v>50</v>
      </c>
      <c r="Q224" s="33" t="n">
        <f>1637</f>
        <v>1637.0</v>
      </c>
      <c r="R224" s="34" t="s">
        <v>51</v>
      </c>
      <c r="S224" s="35" t="n">
        <f>1540.24</f>
        <v>1540.24</v>
      </c>
      <c r="T224" s="32" t="n">
        <f>16870</f>
        <v>16870.0</v>
      </c>
      <c r="U224" s="32" t="str">
        <f>"－"</f>
        <v>－</v>
      </c>
      <c r="V224" s="32" t="n">
        <f>28028010</f>
        <v>2.802801E7</v>
      </c>
      <c r="W224" s="32" t="str">
        <f>"－"</f>
        <v>－</v>
      </c>
      <c r="X224" s="36" t="n">
        <f>19</f>
        <v>19.0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1911.5</f>
        <v>1911.5</v>
      </c>
      <c r="L225" s="34" t="s">
        <v>48</v>
      </c>
      <c r="M225" s="33" t="n">
        <f>2008</f>
        <v>2008.0</v>
      </c>
      <c r="N225" s="34" t="s">
        <v>49</v>
      </c>
      <c r="O225" s="33" t="n">
        <f>1896</f>
        <v>1896.0</v>
      </c>
      <c r="P225" s="34" t="s">
        <v>48</v>
      </c>
      <c r="Q225" s="33" t="n">
        <f>1987.5</f>
        <v>1987.5</v>
      </c>
      <c r="R225" s="34" t="s">
        <v>51</v>
      </c>
      <c r="S225" s="35" t="n">
        <f>1959.61</f>
        <v>1959.61</v>
      </c>
      <c r="T225" s="32" t="n">
        <f>1397030</f>
        <v>1397030.0</v>
      </c>
      <c r="U225" s="32" t="n">
        <f>207000</f>
        <v>207000.0</v>
      </c>
      <c r="V225" s="32" t="n">
        <f>2730325375</f>
        <v>2.730325375E9</v>
      </c>
      <c r="W225" s="32" t="n">
        <f>405508200</f>
        <v>4.055082E8</v>
      </c>
      <c r="X225" s="36" t="n">
        <f>19</f>
        <v>19.0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26885</f>
        <v>26885.0</v>
      </c>
      <c r="L226" s="34" t="s">
        <v>48</v>
      </c>
      <c r="M226" s="33" t="n">
        <f>28430</f>
        <v>28430.0</v>
      </c>
      <c r="N226" s="34" t="s">
        <v>51</v>
      </c>
      <c r="O226" s="33" t="n">
        <f>26575</f>
        <v>26575.0</v>
      </c>
      <c r="P226" s="34" t="s">
        <v>170</v>
      </c>
      <c r="Q226" s="33" t="n">
        <f>28430</f>
        <v>28430.0</v>
      </c>
      <c r="R226" s="34" t="s">
        <v>51</v>
      </c>
      <c r="S226" s="35" t="n">
        <f>27496.82</f>
        <v>27496.82</v>
      </c>
      <c r="T226" s="32" t="n">
        <f>9529</f>
        <v>9529.0</v>
      </c>
      <c r="U226" s="32" t="n">
        <f>8700</f>
        <v>8700.0</v>
      </c>
      <c r="V226" s="32" t="n">
        <f>255694075</f>
        <v>2.55694075E8</v>
      </c>
      <c r="W226" s="32" t="n">
        <f>232933800</f>
        <v>2.329338E8</v>
      </c>
      <c r="X226" s="36" t="n">
        <f>11</f>
        <v>11.0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17710</f>
        <v>17710.0</v>
      </c>
      <c r="L227" s="34" t="s">
        <v>174</v>
      </c>
      <c r="M227" s="33" t="n">
        <f>17710</f>
        <v>17710.0</v>
      </c>
      <c r="N227" s="34" t="s">
        <v>174</v>
      </c>
      <c r="O227" s="33" t="n">
        <f>17365</f>
        <v>17365.0</v>
      </c>
      <c r="P227" s="34" t="s">
        <v>323</v>
      </c>
      <c r="Q227" s="33" t="n">
        <f>17365</f>
        <v>17365.0</v>
      </c>
      <c r="R227" s="34" t="s">
        <v>323</v>
      </c>
      <c r="S227" s="35" t="n">
        <f>17537.5</f>
        <v>17537.5</v>
      </c>
      <c r="T227" s="32" t="n">
        <f>2</f>
        <v>2.0</v>
      </c>
      <c r="U227" s="32" t="str">
        <f>"－"</f>
        <v>－</v>
      </c>
      <c r="V227" s="32" t="n">
        <f>35075</f>
        <v>35075.0</v>
      </c>
      <c r="W227" s="32" t="str">
        <f>"－"</f>
        <v>－</v>
      </c>
      <c r="X227" s="36" t="n">
        <f>2</f>
        <v>2.0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1156</f>
        <v>1156.0</v>
      </c>
      <c r="L228" s="34" t="s">
        <v>48</v>
      </c>
      <c r="M228" s="33" t="n">
        <f>1180</f>
        <v>1180.0</v>
      </c>
      <c r="N228" s="34" t="s">
        <v>51</v>
      </c>
      <c r="O228" s="33" t="n">
        <f>1149</f>
        <v>1149.0</v>
      </c>
      <c r="P228" s="34" t="s">
        <v>68</v>
      </c>
      <c r="Q228" s="33" t="n">
        <f>1180</f>
        <v>1180.0</v>
      </c>
      <c r="R228" s="34" t="s">
        <v>51</v>
      </c>
      <c r="S228" s="35" t="n">
        <f>1165.17</f>
        <v>1165.17</v>
      </c>
      <c r="T228" s="32" t="n">
        <f>270240</f>
        <v>270240.0</v>
      </c>
      <c r="U228" s="32" t="str">
        <f>"－"</f>
        <v>－</v>
      </c>
      <c r="V228" s="32" t="n">
        <f>312733670</f>
        <v>3.1273367E8</v>
      </c>
      <c r="W228" s="32" t="str">
        <f>"－"</f>
        <v>－</v>
      </c>
      <c r="X228" s="36" t="n">
        <f>9</f>
        <v>9.0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1143</f>
        <v>1143.0</v>
      </c>
      <c r="L229" s="34" t="s">
        <v>48</v>
      </c>
      <c r="M229" s="33" t="n">
        <f>1184.5</f>
        <v>1184.5</v>
      </c>
      <c r="N229" s="34" t="s">
        <v>51</v>
      </c>
      <c r="O229" s="33" t="n">
        <f>1135</f>
        <v>1135.0</v>
      </c>
      <c r="P229" s="34" t="s">
        <v>48</v>
      </c>
      <c r="Q229" s="33" t="n">
        <f>1182.5</f>
        <v>1182.5</v>
      </c>
      <c r="R229" s="34" t="s">
        <v>51</v>
      </c>
      <c r="S229" s="35" t="n">
        <f>1157.19</f>
        <v>1157.19</v>
      </c>
      <c r="T229" s="32" t="n">
        <f>57630</f>
        <v>57630.0</v>
      </c>
      <c r="U229" s="32" t="str">
        <f>"－"</f>
        <v>－</v>
      </c>
      <c r="V229" s="32" t="n">
        <f>66439685</f>
        <v>6.6439685E7</v>
      </c>
      <c r="W229" s="32" t="str">
        <f>"－"</f>
        <v>－</v>
      </c>
      <c r="X229" s="36" t="n">
        <f>18</f>
        <v>18.0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1208</f>
        <v>1208.0</v>
      </c>
      <c r="L230" s="34" t="s">
        <v>48</v>
      </c>
      <c r="M230" s="33" t="n">
        <f>1250</f>
        <v>1250.0</v>
      </c>
      <c r="N230" s="34" t="s">
        <v>64</v>
      </c>
      <c r="O230" s="33" t="n">
        <f>1176</f>
        <v>1176.0</v>
      </c>
      <c r="P230" s="34" t="s">
        <v>170</v>
      </c>
      <c r="Q230" s="33" t="n">
        <f>1237</f>
        <v>1237.0</v>
      </c>
      <c r="R230" s="34" t="s">
        <v>51</v>
      </c>
      <c r="S230" s="35" t="n">
        <f>1215.95</f>
        <v>1215.95</v>
      </c>
      <c r="T230" s="32" t="n">
        <f>47874</f>
        <v>47874.0</v>
      </c>
      <c r="U230" s="32" t="n">
        <f>9</f>
        <v>9.0</v>
      </c>
      <c r="V230" s="32" t="n">
        <f>57981447</f>
        <v>5.7981447E7</v>
      </c>
      <c r="W230" s="32" t="n">
        <f>10880</f>
        <v>10880.0</v>
      </c>
      <c r="X230" s="36" t="n">
        <f>20</f>
        <v>20.0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15235</f>
        <v>15235.0</v>
      </c>
      <c r="L231" s="34" t="s">
        <v>48</v>
      </c>
      <c r="M231" s="33" t="n">
        <f>15300</f>
        <v>15300.0</v>
      </c>
      <c r="N231" s="34" t="s">
        <v>262</v>
      </c>
      <c r="O231" s="33" t="n">
        <f>13870</f>
        <v>13870.0</v>
      </c>
      <c r="P231" s="34" t="s">
        <v>176</v>
      </c>
      <c r="Q231" s="33" t="n">
        <f>14000</f>
        <v>14000.0</v>
      </c>
      <c r="R231" s="34" t="s">
        <v>51</v>
      </c>
      <c r="S231" s="35" t="n">
        <f>14449.47</f>
        <v>14449.47</v>
      </c>
      <c r="T231" s="32" t="n">
        <f>3186</f>
        <v>3186.0</v>
      </c>
      <c r="U231" s="32" t="n">
        <f>2</f>
        <v>2.0</v>
      </c>
      <c r="V231" s="32" t="n">
        <f>46774470</f>
        <v>4.677447E7</v>
      </c>
      <c r="W231" s="32" t="n">
        <f>29260</f>
        <v>29260.0</v>
      </c>
      <c r="X231" s="36" t="n">
        <f>19</f>
        <v>19.0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2104</f>
        <v>2104.0</v>
      </c>
      <c r="L232" s="34" t="s">
        <v>48</v>
      </c>
      <c r="M232" s="33" t="n">
        <f>2170</f>
        <v>2170.0</v>
      </c>
      <c r="N232" s="34" t="s">
        <v>51</v>
      </c>
      <c r="O232" s="33" t="n">
        <f>2076</f>
        <v>2076.0</v>
      </c>
      <c r="P232" s="34" t="s">
        <v>48</v>
      </c>
      <c r="Q232" s="33" t="n">
        <f>2169</f>
        <v>2169.0</v>
      </c>
      <c r="R232" s="34" t="s">
        <v>51</v>
      </c>
      <c r="S232" s="35" t="n">
        <f>2118.5</f>
        <v>2118.5</v>
      </c>
      <c r="T232" s="32" t="n">
        <f>7725</f>
        <v>7725.0</v>
      </c>
      <c r="U232" s="32" t="str">
        <f>"－"</f>
        <v>－</v>
      </c>
      <c r="V232" s="32" t="n">
        <f>16369157</f>
        <v>1.6369157E7</v>
      </c>
      <c r="W232" s="32" t="str">
        <f>"－"</f>
        <v>－</v>
      </c>
      <c r="X232" s="36" t="n">
        <f>20</f>
        <v>20.0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1760</f>
        <v>1760.0</v>
      </c>
      <c r="L233" s="34" t="s">
        <v>48</v>
      </c>
      <c r="M233" s="33" t="n">
        <f>1880</f>
        <v>1880.0</v>
      </c>
      <c r="N233" s="34" t="s">
        <v>262</v>
      </c>
      <c r="O233" s="33" t="n">
        <f>1674</f>
        <v>1674.0</v>
      </c>
      <c r="P233" s="34" t="s">
        <v>323</v>
      </c>
      <c r="Q233" s="33" t="n">
        <f>1693</f>
        <v>1693.0</v>
      </c>
      <c r="R233" s="34" t="s">
        <v>51</v>
      </c>
      <c r="S233" s="35" t="n">
        <f>1725.21</f>
        <v>1725.21</v>
      </c>
      <c r="T233" s="32" t="n">
        <f>2270</f>
        <v>2270.0</v>
      </c>
      <c r="U233" s="32" t="str">
        <f>"－"</f>
        <v>－</v>
      </c>
      <c r="V233" s="32" t="n">
        <f>3988555</f>
        <v>3988555.0</v>
      </c>
      <c r="W233" s="32" t="str">
        <f>"－"</f>
        <v>－</v>
      </c>
      <c r="X233" s="36" t="n">
        <f>17</f>
        <v>17.0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878.2</f>
        <v>878.2</v>
      </c>
      <c r="L234" s="34" t="s">
        <v>48</v>
      </c>
      <c r="M234" s="33" t="n">
        <f>903.1</f>
        <v>903.1</v>
      </c>
      <c r="N234" s="34" t="s">
        <v>51</v>
      </c>
      <c r="O234" s="33" t="n">
        <f>878.2</f>
        <v>878.2</v>
      </c>
      <c r="P234" s="34" t="s">
        <v>48</v>
      </c>
      <c r="Q234" s="33" t="n">
        <f>903.1</f>
        <v>903.1</v>
      </c>
      <c r="R234" s="34" t="s">
        <v>51</v>
      </c>
      <c r="S234" s="35" t="n">
        <f>888.94</f>
        <v>888.94</v>
      </c>
      <c r="T234" s="32" t="n">
        <f>813740</f>
        <v>813740.0</v>
      </c>
      <c r="U234" s="32" t="n">
        <f>625270</f>
        <v>625270.0</v>
      </c>
      <c r="V234" s="32" t="n">
        <f>726487892</f>
        <v>7.26487892E8</v>
      </c>
      <c r="W234" s="32" t="n">
        <f>559179216</f>
        <v>5.59179216E8</v>
      </c>
      <c r="X234" s="36" t="n">
        <f>20</f>
        <v>20.0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2007.5</f>
        <v>2007.5</v>
      </c>
      <c r="L235" s="34" t="s">
        <v>48</v>
      </c>
      <c r="M235" s="33" t="n">
        <f>2063.5</f>
        <v>2063.5</v>
      </c>
      <c r="N235" s="34" t="s">
        <v>51</v>
      </c>
      <c r="O235" s="33" t="n">
        <f>1991.5</f>
        <v>1991.5</v>
      </c>
      <c r="P235" s="34" t="s">
        <v>174</v>
      </c>
      <c r="Q235" s="33" t="n">
        <f>2055.5</f>
        <v>2055.5</v>
      </c>
      <c r="R235" s="34" t="s">
        <v>51</v>
      </c>
      <c r="S235" s="35" t="n">
        <f>2017.1</f>
        <v>2017.1</v>
      </c>
      <c r="T235" s="32" t="n">
        <f>19030</f>
        <v>19030.0</v>
      </c>
      <c r="U235" s="32" t="str">
        <f>"－"</f>
        <v>－</v>
      </c>
      <c r="V235" s="32" t="n">
        <f>38235475</f>
        <v>3.8235475E7</v>
      </c>
      <c r="W235" s="32" t="str">
        <f>"－"</f>
        <v>－</v>
      </c>
      <c r="X235" s="36" t="n">
        <f>20</f>
        <v>20.0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2022</f>
        <v>2022.0</v>
      </c>
      <c r="L236" s="34" t="s">
        <v>48</v>
      </c>
      <c r="M236" s="33" t="n">
        <f>2060</f>
        <v>2060.0</v>
      </c>
      <c r="N236" s="34" t="s">
        <v>51</v>
      </c>
      <c r="O236" s="33" t="n">
        <f>1982</f>
        <v>1982.0</v>
      </c>
      <c r="P236" s="34" t="s">
        <v>48</v>
      </c>
      <c r="Q236" s="33" t="n">
        <f>2058</f>
        <v>2058.0</v>
      </c>
      <c r="R236" s="34" t="s">
        <v>51</v>
      </c>
      <c r="S236" s="35" t="n">
        <f>2014.28</f>
        <v>2014.28</v>
      </c>
      <c r="T236" s="32" t="n">
        <f>214970</f>
        <v>214970.0</v>
      </c>
      <c r="U236" s="32" t="n">
        <f>57090</f>
        <v>57090.0</v>
      </c>
      <c r="V236" s="32" t="n">
        <f>431987815</f>
        <v>4.31987815E8</v>
      </c>
      <c r="W236" s="32" t="n">
        <f>115360660</f>
        <v>1.1536066E8</v>
      </c>
      <c r="X236" s="36" t="n">
        <f>20</f>
        <v>20.0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1887.5</f>
        <v>1887.5</v>
      </c>
      <c r="L237" s="34" t="s">
        <v>48</v>
      </c>
      <c r="M237" s="33" t="n">
        <f>1963.5</f>
        <v>1963.5</v>
      </c>
      <c r="N237" s="34" t="s">
        <v>93</v>
      </c>
      <c r="O237" s="33" t="n">
        <f>1868</f>
        <v>1868.0</v>
      </c>
      <c r="P237" s="34" t="s">
        <v>170</v>
      </c>
      <c r="Q237" s="33" t="n">
        <f>1954</f>
        <v>1954.0</v>
      </c>
      <c r="R237" s="34" t="s">
        <v>51</v>
      </c>
      <c r="S237" s="35" t="n">
        <f>1916.79</f>
        <v>1916.79</v>
      </c>
      <c r="T237" s="32" t="n">
        <f>1650</f>
        <v>1650.0</v>
      </c>
      <c r="U237" s="32" t="str">
        <f>"－"</f>
        <v>－</v>
      </c>
      <c r="V237" s="32" t="n">
        <f>3173305</f>
        <v>3173305.0</v>
      </c>
      <c r="W237" s="32" t="str">
        <f>"－"</f>
        <v>－</v>
      </c>
      <c r="X237" s="36" t="n">
        <f>14</f>
        <v>14.0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14765</f>
        <v>14765.0</v>
      </c>
      <c r="L238" s="34" t="s">
        <v>48</v>
      </c>
      <c r="M238" s="33" t="n">
        <f>15835</f>
        <v>15835.0</v>
      </c>
      <c r="N238" s="34" t="s">
        <v>51</v>
      </c>
      <c r="O238" s="33" t="n">
        <f>14490</f>
        <v>14490.0</v>
      </c>
      <c r="P238" s="34" t="s">
        <v>48</v>
      </c>
      <c r="Q238" s="33" t="n">
        <f>15665</f>
        <v>15665.0</v>
      </c>
      <c r="R238" s="34" t="s">
        <v>51</v>
      </c>
      <c r="S238" s="35" t="n">
        <f>15257.5</f>
        <v>15257.5</v>
      </c>
      <c r="T238" s="32" t="n">
        <f>1085466</f>
        <v>1085466.0</v>
      </c>
      <c r="U238" s="32" t="n">
        <f>274611</f>
        <v>274611.0</v>
      </c>
      <c r="V238" s="32" t="n">
        <f>16626427401</f>
        <v>1.6626427401E10</v>
      </c>
      <c r="W238" s="32" t="n">
        <f>4199917111</f>
        <v>4.199917111E9</v>
      </c>
      <c r="X238" s="36" t="n">
        <f>20</f>
        <v>20.0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13370</f>
        <v>13370.0</v>
      </c>
      <c r="L239" s="34" t="s">
        <v>48</v>
      </c>
      <c r="M239" s="33" t="n">
        <f>14010</f>
        <v>14010.0</v>
      </c>
      <c r="N239" s="34" t="s">
        <v>161</v>
      </c>
      <c r="O239" s="33" t="n">
        <f>13150</f>
        <v>13150.0</v>
      </c>
      <c r="P239" s="34" t="s">
        <v>48</v>
      </c>
      <c r="Q239" s="33" t="n">
        <f>13895</f>
        <v>13895.0</v>
      </c>
      <c r="R239" s="34" t="s">
        <v>51</v>
      </c>
      <c r="S239" s="35" t="n">
        <f>13669.75</f>
        <v>13669.75</v>
      </c>
      <c r="T239" s="32" t="n">
        <f>106934</f>
        <v>106934.0</v>
      </c>
      <c r="U239" s="32" t="str">
        <f>"－"</f>
        <v>－</v>
      </c>
      <c r="V239" s="32" t="n">
        <f>1464954030</f>
        <v>1.46495403E9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24970</f>
        <v>24970.0</v>
      </c>
      <c r="L240" s="34" t="s">
        <v>50</v>
      </c>
      <c r="M240" s="33" t="n">
        <f>25965</f>
        <v>25965.0</v>
      </c>
      <c r="N240" s="34" t="s">
        <v>64</v>
      </c>
      <c r="O240" s="33" t="n">
        <f>24970</f>
        <v>24970.0</v>
      </c>
      <c r="P240" s="34" t="s">
        <v>50</v>
      </c>
      <c r="Q240" s="33" t="n">
        <f>25935</f>
        <v>25935.0</v>
      </c>
      <c r="R240" s="34" t="s">
        <v>64</v>
      </c>
      <c r="S240" s="35" t="n">
        <f>25503</f>
        <v>25503.0</v>
      </c>
      <c r="T240" s="32" t="n">
        <f>1325</f>
        <v>1325.0</v>
      </c>
      <c r="U240" s="32" t="str">
        <f>"－"</f>
        <v>－</v>
      </c>
      <c r="V240" s="32" t="n">
        <f>34279660</f>
        <v>3.427966E7</v>
      </c>
      <c r="W240" s="32" t="str">
        <f>"－"</f>
        <v>－</v>
      </c>
      <c r="X240" s="36" t="n">
        <f>10</f>
        <v>10.0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2581</f>
        <v>2581.0</v>
      </c>
      <c r="L241" s="34" t="s">
        <v>48</v>
      </c>
      <c r="M241" s="33" t="n">
        <f>2596</f>
        <v>2596.0</v>
      </c>
      <c r="N241" s="34" t="s">
        <v>262</v>
      </c>
      <c r="O241" s="33" t="n">
        <f>2559</f>
        <v>2559.0</v>
      </c>
      <c r="P241" s="34" t="s">
        <v>174</v>
      </c>
      <c r="Q241" s="33" t="n">
        <f>2593</f>
        <v>2593.0</v>
      </c>
      <c r="R241" s="34" t="s">
        <v>51</v>
      </c>
      <c r="S241" s="35" t="n">
        <f>2579.3</f>
        <v>2579.3</v>
      </c>
      <c r="T241" s="32" t="n">
        <f>408367</f>
        <v>408367.0</v>
      </c>
      <c r="U241" s="32" t="n">
        <f>30627</f>
        <v>30627.0</v>
      </c>
      <c r="V241" s="32" t="n">
        <f>1054230003</f>
        <v>1.054230003E9</v>
      </c>
      <c r="W241" s="32" t="n">
        <f>79442423</f>
        <v>7.9442423E7</v>
      </c>
      <c r="X241" s="36" t="n">
        <f>20</f>
        <v>20.0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2638</f>
        <v>2638.0</v>
      </c>
      <c r="L242" s="34" t="s">
        <v>48</v>
      </c>
      <c r="M242" s="33" t="n">
        <f>2779</f>
        <v>2779.0</v>
      </c>
      <c r="N242" s="34" t="s">
        <v>51</v>
      </c>
      <c r="O242" s="33" t="n">
        <f>2613</f>
        <v>2613.0</v>
      </c>
      <c r="P242" s="34" t="s">
        <v>68</v>
      </c>
      <c r="Q242" s="33" t="n">
        <f>2774.5</f>
        <v>2774.5</v>
      </c>
      <c r="R242" s="34" t="s">
        <v>51</v>
      </c>
      <c r="S242" s="35" t="n">
        <f>2684.43</f>
        <v>2684.43</v>
      </c>
      <c r="T242" s="32" t="n">
        <f>1184660</f>
        <v>1184660.0</v>
      </c>
      <c r="U242" s="32" t="n">
        <f>1043500</f>
        <v>1043500.0</v>
      </c>
      <c r="V242" s="32" t="n">
        <f>3244831143</f>
        <v>3.244831143E9</v>
      </c>
      <c r="W242" s="32" t="n">
        <f>2865962418</f>
        <v>2.865962418E9</v>
      </c>
      <c r="X242" s="36" t="n">
        <f>20</f>
        <v>20.0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244</f>
        <v>244.0</v>
      </c>
      <c r="L243" s="34" t="s">
        <v>48</v>
      </c>
      <c r="M243" s="33" t="n">
        <f>263.7</f>
        <v>263.7</v>
      </c>
      <c r="N243" s="34" t="s">
        <v>51</v>
      </c>
      <c r="O243" s="33" t="n">
        <f>241.3</f>
        <v>241.3</v>
      </c>
      <c r="P243" s="34" t="s">
        <v>48</v>
      </c>
      <c r="Q243" s="33" t="n">
        <f>263.7</f>
        <v>263.7</v>
      </c>
      <c r="R243" s="34" t="s">
        <v>51</v>
      </c>
      <c r="S243" s="35" t="n">
        <f>250.64</f>
        <v>250.64</v>
      </c>
      <c r="T243" s="32" t="n">
        <f>35448470</f>
        <v>3.544847E7</v>
      </c>
      <c r="U243" s="32" t="n">
        <f>14520590</f>
        <v>1.452059E7</v>
      </c>
      <c r="V243" s="32" t="n">
        <f>8928642706</f>
        <v>8.928642706E9</v>
      </c>
      <c r="W243" s="32" t="n">
        <f>3627366392</f>
        <v>3.627366392E9</v>
      </c>
      <c r="X243" s="36" t="n">
        <f>20</f>
        <v>20.0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1911</f>
        <v>1911.0</v>
      </c>
      <c r="L244" s="34" t="s">
        <v>48</v>
      </c>
      <c r="M244" s="33" t="n">
        <f>1993</f>
        <v>1993.0</v>
      </c>
      <c r="N244" s="34" t="s">
        <v>64</v>
      </c>
      <c r="O244" s="33" t="n">
        <f>1878</f>
        <v>1878.0</v>
      </c>
      <c r="P244" s="34" t="s">
        <v>170</v>
      </c>
      <c r="Q244" s="33" t="n">
        <f>1979</f>
        <v>1979.0</v>
      </c>
      <c r="R244" s="34" t="s">
        <v>51</v>
      </c>
      <c r="S244" s="35" t="n">
        <f>1942.85</f>
        <v>1942.85</v>
      </c>
      <c r="T244" s="32" t="n">
        <f>138513</f>
        <v>138513.0</v>
      </c>
      <c r="U244" s="32" t="n">
        <f>6</f>
        <v>6.0</v>
      </c>
      <c r="V244" s="32" t="n">
        <f>267671237</f>
        <v>2.67671237E8</v>
      </c>
      <c r="W244" s="32" t="n">
        <f>11753</f>
        <v>11753.0</v>
      </c>
      <c r="X244" s="36" t="n">
        <f>20</f>
        <v>20.0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1078</f>
        <v>1078.0</v>
      </c>
      <c r="L245" s="34" t="s">
        <v>48</v>
      </c>
      <c r="M245" s="33" t="n">
        <f>1128</f>
        <v>1128.0</v>
      </c>
      <c r="N245" s="34" t="s">
        <v>176</v>
      </c>
      <c r="O245" s="33" t="n">
        <f>1063</f>
        <v>1063.0</v>
      </c>
      <c r="P245" s="34" t="s">
        <v>48</v>
      </c>
      <c r="Q245" s="33" t="n">
        <f>1119</f>
        <v>1119.0</v>
      </c>
      <c r="R245" s="34" t="s">
        <v>51</v>
      </c>
      <c r="S245" s="35" t="n">
        <f>1103.15</f>
        <v>1103.15</v>
      </c>
      <c r="T245" s="32" t="n">
        <f>304288</f>
        <v>304288.0</v>
      </c>
      <c r="U245" s="32" t="n">
        <f>27270</f>
        <v>27270.0</v>
      </c>
      <c r="V245" s="32" t="n">
        <f>336020210</f>
        <v>3.3602021E8</v>
      </c>
      <c r="W245" s="32" t="n">
        <f>30016728</f>
        <v>3.0016728E7</v>
      </c>
      <c r="X245" s="36" t="n">
        <f>20</f>
        <v>20.0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1112</f>
        <v>1112.0</v>
      </c>
      <c r="L246" s="34" t="s">
        <v>48</v>
      </c>
      <c r="M246" s="33" t="n">
        <f>1138</f>
        <v>1138.0</v>
      </c>
      <c r="N246" s="34" t="s">
        <v>51</v>
      </c>
      <c r="O246" s="33" t="n">
        <f>1096.5</f>
        <v>1096.5</v>
      </c>
      <c r="P246" s="34" t="s">
        <v>48</v>
      </c>
      <c r="Q246" s="33" t="n">
        <f>1137.5</f>
        <v>1137.5</v>
      </c>
      <c r="R246" s="34" t="s">
        <v>51</v>
      </c>
      <c r="S246" s="35" t="n">
        <f>1111.18</f>
        <v>1111.18</v>
      </c>
      <c r="T246" s="32" t="n">
        <f>11910</f>
        <v>11910.0</v>
      </c>
      <c r="U246" s="32" t="str">
        <f>"－"</f>
        <v>－</v>
      </c>
      <c r="V246" s="32" t="n">
        <f>13246335</f>
        <v>1.3246335E7</v>
      </c>
      <c r="W246" s="32" t="str">
        <f>"－"</f>
        <v>－</v>
      </c>
      <c r="X246" s="36" t="n">
        <f>17</f>
        <v>17.0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228.5</f>
        <v>228.5</v>
      </c>
      <c r="L247" s="34" t="s">
        <v>48</v>
      </c>
      <c r="M247" s="33" t="n">
        <f>254.2</f>
        <v>254.2</v>
      </c>
      <c r="N247" s="34" t="s">
        <v>64</v>
      </c>
      <c r="O247" s="33" t="n">
        <f>225</f>
        <v>225.0</v>
      </c>
      <c r="P247" s="34" t="s">
        <v>48</v>
      </c>
      <c r="Q247" s="33" t="n">
        <f>251.5</f>
        <v>251.5</v>
      </c>
      <c r="R247" s="34" t="s">
        <v>51</v>
      </c>
      <c r="S247" s="35" t="n">
        <f>235.47</f>
        <v>235.47</v>
      </c>
      <c r="T247" s="32" t="n">
        <f>32550</f>
        <v>32550.0</v>
      </c>
      <c r="U247" s="32" t="str">
        <f>"－"</f>
        <v>－</v>
      </c>
      <c r="V247" s="32" t="n">
        <f>7715055</f>
        <v>7715055.0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2696.5</f>
        <v>2696.5</v>
      </c>
      <c r="L248" s="34" t="s">
        <v>48</v>
      </c>
      <c r="M248" s="33" t="n">
        <f>2982</f>
        <v>2982.0</v>
      </c>
      <c r="N248" s="34" t="s">
        <v>51</v>
      </c>
      <c r="O248" s="33" t="n">
        <f>2640</f>
        <v>2640.0</v>
      </c>
      <c r="P248" s="34" t="s">
        <v>48</v>
      </c>
      <c r="Q248" s="33" t="n">
        <f>2951.5</f>
        <v>2951.5</v>
      </c>
      <c r="R248" s="34" t="s">
        <v>51</v>
      </c>
      <c r="S248" s="35" t="n">
        <f>2831.8</f>
        <v>2831.8</v>
      </c>
      <c r="T248" s="32" t="n">
        <f>2108580</f>
        <v>2108580.0</v>
      </c>
      <c r="U248" s="32" t="n">
        <f>30</f>
        <v>30.0</v>
      </c>
      <c r="V248" s="32" t="n">
        <f>5969755945</f>
        <v>5.969755945E9</v>
      </c>
      <c r="W248" s="32" t="n">
        <f>89025</f>
        <v>89025.0</v>
      </c>
      <c r="X248" s="36" t="n">
        <f>20</f>
        <v>20.0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2044.5</f>
        <v>2044.5</v>
      </c>
      <c r="L249" s="34" t="s">
        <v>48</v>
      </c>
      <c r="M249" s="33" t="n">
        <f>2282</f>
        <v>2282.0</v>
      </c>
      <c r="N249" s="34" t="s">
        <v>51</v>
      </c>
      <c r="O249" s="33" t="n">
        <f>2016</f>
        <v>2016.0</v>
      </c>
      <c r="P249" s="34" t="s">
        <v>48</v>
      </c>
      <c r="Q249" s="33" t="n">
        <f>2278.5</f>
        <v>2278.5</v>
      </c>
      <c r="R249" s="34" t="s">
        <v>51</v>
      </c>
      <c r="S249" s="35" t="n">
        <f>2132.68</f>
        <v>2132.68</v>
      </c>
      <c r="T249" s="32" t="n">
        <f>4981410</f>
        <v>4981410.0</v>
      </c>
      <c r="U249" s="32" t="n">
        <f>2404010</f>
        <v>2404010.0</v>
      </c>
      <c r="V249" s="32" t="n">
        <f>10789721237</f>
        <v>1.0789721237E10</v>
      </c>
      <c r="W249" s="32" t="n">
        <f>5243105847</f>
        <v>5.243105847E9</v>
      </c>
      <c r="X249" s="36" t="n">
        <f>20</f>
        <v>20.0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3075</f>
        <v>3075.0</v>
      </c>
      <c r="L250" s="34" t="s">
        <v>48</v>
      </c>
      <c r="M250" s="33" t="n">
        <f>3130</f>
        <v>3130.0</v>
      </c>
      <c r="N250" s="34" t="s">
        <v>100</v>
      </c>
      <c r="O250" s="33" t="n">
        <f>3000</f>
        <v>3000.0</v>
      </c>
      <c r="P250" s="34" t="s">
        <v>51</v>
      </c>
      <c r="Q250" s="33" t="n">
        <f>3015</f>
        <v>3015.0</v>
      </c>
      <c r="R250" s="34" t="s">
        <v>51</v>
      </c>
      <c r="S250" s="35" t="n">
        <f>3076.75</f>
        <v>3076.75</v>
      </c>
      <c r="T250" s="32" t="n">
        <f>5862758</f>
        <v>5862758.0</v>
      </c>
      <c r="U250" s="32" t="n">
        <f>5277340</f>
        <v>5277340.0</v>
      </c>
      <c r="V250" s="32" t="n">
        <f>18053578233</f>
        <v>1.8053578233E10</v>
      </c>
      <c r="W250" s="32" t="n">
        <f>16258848958</f>
        <v>1.6258848958E10</v>
      </c>
      <c r="X250" s="36" t="n">
        <f>20</f>
        <v>20.0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1706</f>
        <v>1706.0</v>
      </c>
      <c r="L251" s="34" t="s">
        <v>48</v>
      </c>
      <c r="M251" s="33" t="n">
        <f>1768</f>
        <v>1768.0</v>
      </c>
      <c r="N251" s="34" t="s">
        <v>176</v>
      </c>
      <c r="O251" s="33" t="n">
        <f>1671</f>
        <v>1671.0</v>
      </c>
      <c r="P251" s="34" t="s">
        <v>174</v>
      </c>
      <c r="Q251" s="33" t="n">
        <f>1753</f>
        <v>1753.0</v>
      </c>
      <c r="R251" s="34" t="s">
        <v>51</v>
      </c>
      <c r="S251" s="35" t="n">
        <f>1720.55</f>
        <v>1720.55</v>
      </c>
      <c r="T251" s="32" t="n">
        <f>2841662</f>
        <v>2841662.0</v>
      </c>
      <c r="U251" s="32" t="n">
        <f>1630000</f>
        <v>1630000.0</v>
      </c>
      <c r="V251" s="32" t="n">
        <f>4902023969</f>
        <v>4.902023969E9</v>
      </c>
      <c r="W251" s="32" t="n">
        <f>2809413600</f>
        <v>2.8094136E9</v>
      </c>
      <c r="X251" s="36" t="n">
        <f>20</f>
        <v>20.0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1900</f>
        <v>1900.0</v>
      </c>
      <c r="L252" s="34" t="s">
        <v>48</v>
      </c>
      <c r="M252" s="33" t="n">
        <f>1937</f>
        <v>1937.0</v>
      </c>
      <c r="N252" s="34" t="s">
        <v>85</v>
      </c>
      <c r="O252" s="33" t="n">
        <f>1804</f>
        <v>1804.0</v>
      </c>
      <c r="P252" s="34" t="s">
        <v>100</v>
      </c>
      <c r="Q252" s="33" t="n">
        <f>1924</f>
        <v>1924.0</v>
      </c>
      <c r="R252" s="34" t="s">
        <v>51</v>
      </c>
      <c r="S252" s="35" t="n">
        <f>1877.35</f>
        <v>1877.35</v>
      </c>
      <c r="T252" s="32" t="n">
        <f>440734</f>
        <v>440734.0</v>
      </c>
      <c r="U252" s="32" t="n">
        <f>420000</f>
        <v>420000.0</v>
      </c>
      <c r="V252" s="32" t="n">
        <f>838049979</f>
        <v>8.38049979E8</v>
      </c>
      <c r="W252" s="32" t="n">
        <f>799201000</f>
        <v>7.99201E8</v>
      </c>
      <c r="X252" s="36" t="n">
        <f>20</f>
        <v>20.0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2185</f>
        <v>2185.0</v>
      </c>
      <c r="L253" s="34" t="s">
        <v>48</v>
      </c>
      <c r="M253" s="33" t="n">
        <f>2300</f>
        <v>2300.0</v>
      </c>
      <c r="N253" s="34" t="s">
        <v>166</v>
      </c>
      <c r="O253" s="33" t="n">
        <f>2185</f>
        <v>2185.0</v>
      </c>
      <c r="P253" s="34" t="s">
        <v>48</v>
      </c>
      <c r="Q253" s="33" t="n">
        <f>2282</f>
        <v>2282.0</v>
      </c>
      <c r="R253" s="34" t="s">
        <v>51</v>
      </c>
      <c r="S253" s="35" t="n">
        <f>2230.31</f>
        <v>2230.31</v>
      </c>
      <c r="T253" s="32" t="n">
        <f>9053</f>
        <v>9053.0</v>
      </c>
      <c r="U253" s="32" t="str">
        <f>"－"</f>
        <v>－</v>
      </c>
      <c r="V253" s="32" t="n">
        <f>20446188</f>
        <v>2.0446188E7</v>
      </c>
      <c r="W253" s="32" t="str">
        <f>"－"</f>
        <v>－</v>
      </c>
      <c r="X253" s="36" t="n">
        <f>16</f>
        <v>16.0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2653</f>
        <v>2653.0</v>
      </c>
      <c r="L254" s="34" t="s">
        <v>48</v>
      </c>
      <c r="M254" s="33" t="n">
        <f>2809</f>
        <v>2809.0</v>
      </c>
      <c r="N254" s="34" t="s">
        <v>64</v>
      </c>
      <c r="O254" s="33" t="n">
        <f>2595</f>
        <v>2595.0</v>
      </c>
      <c r="P254" s="34" t="s">
        <v>48</v>
      </c>
      <c r="Q254" s="33" t="n">
        <f>2786</f>
        <v>2786.0</v>
      </c>
      <c r="R254" s="34" t="s">
        <v>51</v>
      </c>
      <c r="S254" s="35" t="n">
        <f>2706.65</f>
        <v>2706.65</v>
      </c>
      <c r="T254" s="32" t="n">
        <f>477134</f>
        <v>477134.0</v>
      </c>
      <c r="U254" s="32" t="n">
        <f>308500</f>
        <v>308500.0</v>
      </c>
      <c r="V254" s="32" t="n">
        <f>1312087003</f>
        <v>1.312087003E9</v>
      </c>
      <c r="W254" s="32" t="n">
        <f>854999900</f>
        <v>8.549999E8</v>
      </c>
      <c r="X254" s="36" t="n">
        <f>20</f>
        <v>20.0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1880</f>
        <v>1880.0</v>
      </c>
      <c r="L255" s="34" t="s">
        <v>48</v>
      </c>
      <c r="M255" s="33" t="n">
        <f>1960</f>
        <v>1960.0</v>
      </c>
      <c r="N255" s="34" t="s">
        <v>49</v>
      </c>
      <c r="O255" s="33" t="n">
        <f>1843</f>
        <v>1843.0</v>
      </c>
      <c r="P255" s="34" t="s">
        <v>48</v>
      </c>
      <c r="Q255" s="33" t="n">
        <f>1939</f>
        <v>1939.0</v>
      </c>
      <c r="R255" s="34" t="s">
        <v>51</v>
      </c>
      <c r="S255" s="35" t="n">
        <f>1912.05</f>
        <v>1912.05</v>
      </c>
      <c r="T255" s="32" t="n">
        <f>438708</f>
        <v>438708.0</v>
      </c>
      <c r="U255" s="32" t="n">
        <f>84250</f>
        <v>84250.0</v>
      </c>
      <c r="V255" s="32" t="n">
        <f>834754970</f>
        <v>8.3475497E8</v>
      </c>
      <c r="W255" s="32" t="n">
        <f>158939475</f>
        <v>1.58939475E8</v>
      </c>
      <c r="X255" s="36" t="n">
        <f>20</f>
        <v>20.0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1850</f>
        <v>1850.0</v>
      </c>
      <c r="L256" s="34" t="s">
        <v>48</v>
      </c>
      <c r="M256" s="33" t="n">
        <f>1956</f>
        <v>1956.0</v>
      </c>
      <c r="N256" s="34" t="s">
        <v>49</v>
      </c>
      <c r="O256" s="33" t="n">
        <f>1827</f>
        <v>1827.0</v>
      </c>
      <c r="P256" s="34" t="s">
        <v>48</v>
      </c>
      <c r="Q256" s="33" t="n">
        <f>1945</f>
        <v>1945.0</v>
      </c>
      <c r="R256" s="34" t="s">
        <v>51</v>
      </c>
      <c r="S256" s="35" t="n">
        <f>1918</f>
        <v>1918.0</v>
      </c>
      <c r="T256" s="32" t="n">
        <f>63503</f>
        <v>63503.0</v>
      </c>
      <c r="U256" s="32" t="str">
        <f>"－"</f>
        <v>－</v>
      </c>
      <c r="V256" s="32" t="n">
        <f>121512478</f>
        <v>1.21512478E8</v>
      </c>
      <c r="W256" s="32" t="str">
        <f>"－"</f>
        <v>－</v>
      </c>
      <c r="X256" s="36" t="n">
        <f>20</f>
        <v>20.0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1378</f>
        <v>1378.0</v>
      </c>
      <c r="L257" s="34" t="s">
        <v>48</v>
      </c>
      <c r="M257" s="33" t="n">
        <f>1546</f>
        <v>1546.0</v>
      </c>
      <c r="N257" s="34" t="s">
        <v>51</v>
      </c>
      <c r="O257" s="33" t="n">
        <f>1351</f>
        <v>1351.0</v>
      </c>
      <c r="P257" s="34" t="s">
        <v>48</v>
      </c>
      <c r="Q257" s="33" t="n">
        <f>1539</f>
        <v>1539.0</v>
      </c>
      <c r="R257" s="34" t="s">
        <v>51</v>
      </c>
      <c r="S257" s="35" t="n">
        <f>1462.7</f>
        <v>1462.7</v>
      </c>
      <c r="T257" s="32" t="n">
        <f>79457</f>
        <v>79457.0</v>
      </c>
      <c r="U257" s="32" t="str">
        <f>"－"</f>
        <v>－</v>
      </c>
      <c r="V257" s="32" t="n">
        <f>113960661</f>
        <v>1.13960661E8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2313</f>
        <v>2313.0</v>
      </c>
      <c r="L258" s="34" t="s">
        <v>48</v>
      </c>
      <c r="M258" s="33" t="n">
        <f>2319</f>
        <v>2319.0</v>
      </c>
      <c r="N258" s="34" t="s">
        <v>231</v>
      </c>
      <c r="O258" s="33" t="n">
        <f>2147</f>
        <v>2147.0</v>
      </c>
      <c r="P258" s="34" t="s">
        <v>323</v>
      </c>
      <c r="Q258" s="33" t="n">
        <f>2187</f>
        <v>2187.0</v>
      </c>
      <c r="R258" s="34" t="s">
        <v>51</v>
      </c>
      <c r="S258" s="35" t="n">
        <f>2237.55</f>
        <v>2237.55</v>
      </c>
      <c r="T258" s="32" t="n">
        <f>15581</f>
        <v>15581.0</v>
      </c>
      <c r="U258" s="32" t="str">
        <f>"－"</f>
        <v>－</v>
      </c>
      <c r="V258" s="32" t="n">
        <f>35055367</f>
        <v>3.5055367E7</v>
      </c>
      <c r="W258" s="32" t="str">
        <f>"－"</f>
        <v>－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2813</f>
        <v>2813.0</v>
      </c>
      <c r="L259" s="34" t="s">
        <v>48</v>
      </c>
      <c r="M259" s="33" t="n">
        <f>2814</f>
        <v>2814.0</v>
      </c>
      <c r="N259" s="34" t="s">
        <v>85</v>
      </c>
      <c r="O259" s="33" t="n">
        <f>2501</f>
        <v>2501.0</v>
      </c>
      <c r="P259" s="34" t="s">
        <v>51</v>
      </c>
      <c r="Q259" s="33" t="n">
        <f>2501</f>
        <v>2501.0</v>
      </c>
      <c r="R259" s="34" t="s">
        <v>51</v>
      </c>
      <c r="S259" s="35" t="n">
        <f>2662.55</f>
        <v>2662.55</v>
      </c>
      <c r="T259" s="32" t="n">
        <f>12332</f>
        <v>12332.0</v>
      </c>
      <c r="U259" s="32" t="str">
        <f>"－"</f>
        <v>－</v>
      </c>
      <c r="V259" s="32" t="n">
        <f>33088835</f>
        <v>3.3088835E7</v>
      </c>
      <c r="W259" s="32" t="str">
        <f>"－"</f>
        <v>－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9736</f>
        <v>9736.0</v>
      </c>
      <c r="L260" s="34" t="s">
        <v>48</v>
      </c>
      <c r="M260" s="33" t="n">
        <f>10415</f>
        <v>10415.0</v>
      </c>
      <c r="N260" s="34" t="s">
        <v>51</v>
      </c>
      <c r="O260" s="33" t="n">
        <f>9540</f>
        <v>9540.0</v>
      </c>
      <c r="P260" s="34" t="s">
        <v>48</v>
      </c>
      <c r="Q260" s="33" t="n">
        <f>10415</f>
        <v>10415.0</v>
      </c>
      <c r="R260" s="34" t="s">
        <v>51</v>
      </c>
      <c r="S260" s="35" t="n">
        <f>9897.95</f>
        <v>9897.95</v>
      </c>
      <c r="T260" s="32" t="n">
        <f>484743</f>
        <v>484743.0</v>
      </c>
      <c r="U260" s="32" t="n">
        <f>415000</f>
        <v>415000.0</v>
      </c>
      <c r="V260" s="32" t="n">
        <f>4737956738</f>
        <v>4.737956738E9</v>
      </c>
      <c r="W260" s="32" t="n">
        <f>4038684300</f>
        <v>4.0386843E9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11240</f>
        <v>11240.0</v>
      </c>
      <c r="L261" s="34" t="s">
        <v>48</v>
      </c>
      <c r="M261" s="33" t="n">
        <f>12455</f>
        <v>12455.0</v>
      </c>
      <c r="N261" s="34" t="s">
        <v>51</v>
      </c>
      <c r="O261" s="33" t="n">
        <f>11005</f>
        <v>11005.0</v>
      </c>
      <c r="P261" s="34" t="s">
        <v>48</v>
      </c>
      <c r="Q261" s="33" t="n">
        <f>12335</f>
        <v>12335.0</v>
      </c>
      <c r="R261" s="34" t="s">
        <v>51</v>
      </c>
      <c r="S261" s="35" t="n">
        <f>11822</f>
        <v>11822.0</v>
      </c>
      <c r="T261" s="32" t="n">
        <f>873768</f>
        <v>873768.0</v>
      </c>
      <c r="U261" s="32" t="n">
        <f>123015</f>
        <v>123015.0</v>
      </c>
      <c r="V261" s="32" t="n">
        <f>10420006036</f>
        <v>1.0420006036E10</v>
      </c>
      <c r="W261" s="32" t="n">
        <f>1501495886</f>
        <v>1.501495886E9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8551</f>
        <v>8551.0</v>
      </c>
      <c r="L262" s="34" t="s">
        <v>48</v>
      </c>
      <c r="M262" s="33" t="n">
        <f>9535</f>
        <v>9535.0</v>
      </c>
      <c r="N262" s="34" t="s">
        <v>51</v>
      </c>
      <c r="O262" s="33" t="n">
        <f>8432</f>
        <v>8432.0</v>
      </c>
      <c r="P262" s="34" t="s">
        <v>48</v>
      </c>
      <c r="Q262" s="33" t="n">
        <f>9533</f>
        <v>9533.0</v>
      </c>
      <c r="R262" s="34" t="s">
        <v>51</v>
      </c>
      <c r="S262" s="35" t="n">
        <f>8925.6</f>
        <v>8925.6</v>
      </c>
      <c r="T262" s="32" t="n">
        <f>789539</f>
        <v>789539.0</v>
      </c>
      <c r="U262" s="32" t="n">
        <f>354008</f>
        <v>354008.0</v>
      </c>
      <c r="V262" s="32" t="n">
        <f>7106010528</f>
        <v>7.106010528E9</v>
      </c>
      <c r="W262" s="32" t="n">
        <f>3192016280</f>
        <v>3.19201628E9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2388.5</f>
        <v>2388.5</v>
      </c>
      <c r="L263" s="34" t="s">
        <v>48</v>
      </c>
      <c r="M263" s="33" t="n">
        <f>2563</f>
        <v>2563.0</v>
      </c>
      <c r="N263" s="34" t="s">
        <v>51</v>
      </c>
      <c r="O263" s="33" t="n">
        <f>2346</f>
        <v>2346.0</v>
      </c>
      <c r="P263" s="34" t="s">
        <v>48</v>
      </c>
      <c r="Q263" s="33" t="n">
        <f>2537</f>
        <v>2537.0</v>
      </c>
      <c r="R263" s="34" t="s">
        <v>51</v>
      </c>
      <c r="S263" s="35" t="n">
        <f>2469.93</f>
        <v>2469.93</v>
      </c>
      <c r="T263" s="32" t="n">
        <f>3794950</f>
        <v>3794950.0</v>
      </c>
      <c r="U263" s="32" t="n">
        <f>2392080</f>
        <v>2392080.0</v>
      </c>
      <c r="V263" s="32" t="n">
        <f>9460451890</f>
        <v>9.46045189E9</v>
      </c>
      <c r="W263" s="32" t="n">
        <f>5974258560</f>
        <v>5.97425856E9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1896</f>
        <v>1896.0</v>
      </c>
      <c r="L264" s="34" t="s">
        <v>48</v>
      </c>
      <c r="M264" s="33" t="n">
        <f>2051</f>
        <v>2051.0</v>
      </c>
      <c r="N264" s="34" t="s">
        <v>51</v>
      </c>
      <c r="O264" s="33" t="n">
        <f>1877</f>
        <v>1877.0</v>
      </c>
      <c r="P264" s="34" t="s">
        <v>48</v>
      </c>
      <c r="Q264" s="33" t="n">
        <f>2051</f>
        <v>2051.0</v>
      </c>
      <c r="R264" s="34" t="s">
        <v>51</v>
      </c>
      <c r="S264" s="35" t="n">
        <f>1948.58</f>
        <v>1948.58</v>
      </c>
      <c r="T264" s="32" t="n">
        <f>4121370</f>
        <v>4121370.0</v>
      </c>
      <c r="U264" s="32" t="n">
        <f>2575600</f>
        <v>2575600.0</v>
      </c>
      <c r="V264" s="32" t="n">
        <f>7959051216</f>
        <v>7.959051216E9</v>
      </c>
      <c r="W264" s="32" t="n">
        <f>4962016716</f>
        <v>4.962016716E9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2457</f>
        <v>2457.0</v>
      </c>
      <c r="L265" s="34" t="s">
        <v>48</v>
      </c>
      <c r="M265" s="33" t="n">
        <f>2631</f>
        <v>2631.0</v>
      </c>
      <c r="N265" s="34" t="s">
        <v>51</v>
      </c>
      <c r="O265" s="33" t="n">
        <f>2410</f>
        <v>2410.0</v>
      </c>
      <c r="P265" s="34" t="s">
        <v>48</v>
      </c>
      <c r="Q265" s="33" t="n">
        <f>2625</f>
        <v>2625.0</v>
      </c>
      <c r="R265" s="34" t="s">
        <v>51</v>
      </c>
      <c r="S265" s="35" t="n">
        <f>2539.2</f>
        <v>2539.2</v>
      </c>
      <c r="T265" s="32" t="n">
        <f>177660</f>
        <v>177660.0</v>
      </c>
      <c r="U265" s="32" t="str">
        <f>"－"</f>
        <v>－</v>
      </c>
      <c r="V265" s="32" t="n">
        <f>462298225</f>
        <v>4.62298225E8</v>
      </c>
      <c r="W265" s="32" t="str">
        <f>"－"</f>
        <v>－</v>
      </c>
      <c r="X265" s="36" t="n">
        <f>20</f>
        <v>20.0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2437</f>
        <v>2437.0</v>
      </c>
      <c r="L266" s="34" t="s">
        <v>48</v>
      </c>
      <c r="M266" s="33" t="n">
        <f>2609</f>
        <v>2609.0</v>
      </c>
      <c r="N266" s="34" t="s">
        <v>49</v>
      </c>
      <c r="O266" s="33" t="n">
        <f>2389</f>
        <v>2389.0</v>
      </c>
      <c r="P266" s="34" t="s">
        <v>48</v>
      </c>
      <c r="Q266" s="33" t="n">
        <f>2590</f>
        <v>2590.0</v>
      </c>
      <c r="R266" s="34" t="s">
        <v>51</v>
      </c>
      <c r="S266" s="35" t="n">
        <f>2522.2</f>
        <v>2522.2</v>
      </c>
      <c r="T266" s="32" t="n">
        <f>12754</f>
        <v>12754.0</v>
      </c>
      <c r="U266" s="32" t="str">
        <f>"－"</f>
        <v>－</v>
      </c>
      <c r="V266" s="32" t="n">
        <f>31188351</f>
        <v>3.1188351E7</v>
      </c>
      <c r="W266" s="32" t="str">
        <f>"－"</f>
        <v>－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1495</f>
        <v>1495.0</v>
      </c>
      <c r="L267" s="34" t="s">
        <v>48</v>
      </c>
      <c r="M267" s="33" t="n">
        <f>1573</f>
        <v>1573.0</v>
      </c>
      <c r="N267" s="34" t="s">
        <v>49</v>
      </c>
      <c r="O267" s="33" t="n">
        <f>1461</f>
        <v>1461.0</v>
      </c>
      <c r="P267" s="34" t="s">
        <v>48</v>
      </c>
      <c r="Q267" s="33" t="n">
        <f>1566</f>
        <v>1566.0</v>
      </c>
      <c r="R267" s="34" t="s">
        <v>51</v>
      </c>
      <c r="S267" s="35" t="n">
        <f>1524.4</f>
        <v>1524.4</v>
      </c>
      <c r="T267" s="32" t="n">
        <f>31115</f>
        <v>31115.0</v>
      </c>
      <c r="U267" s="32" t="n">
        <f>2</f>
        <v>2.0</v>
      </c>
      <c r="V267" s="32" t="n">
        <f>47223387</f>
        <v>4.7223387E7</v>
      </c>
      <c r="W267" s="32" t="n">
        <f>2987</f>
        <v>2987.0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1856</f>
        <v>1856.0</v>
      </c>
      <c r="L268" s="34" t="s">
        <v>48</v>
      </c>
      <c r="M268" s="33" t="n">
        <f>2000</f>
        <v>2000.0</v>
      </c>
      <c r="N268" s="34" t="s">
        <v>49</v>
      </c>
      <c r="O268" s="33" t="n">
        <f>1813</f>
        <v>1813.0</v>
      </c>
      <c r="P268" s="34" t="s">
        <v>48</v>
      </c>
      <c r="Q268" s="33" t="n">
        <f>1953</f>
        <v>1953.0</v>
      </c>
      <c r="R268" s="34" t="s">
        <v>51</v>
      </c>
      <c r="S268" s="35" t="n">
        <f>1907</f>
        <v>1907.0</v>
      </c>
      <c r="T268" s="32" t="n">
        <f>66284</f>
        <v>66284.0</v>
      </c>
      <c r="U268" s="32" t="str">
        <f>"－"</f>
        <v>－</v>
      </c>
      <c r="V268" s="32" t="n">
        <f>128435708</f>
        <v>1.28435708E8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1563</f>
        <v>1563.0</v>
      </c>
      <c r="L269" s="34" t="s">
        <v>48</v>
      </c>
      <c r="M269" s="33" t="n">
        <f>1724</f>
        <v>1724.0</v>
      </c>
      <c r="N269" s="34" t="s">
        <v>166</v>
      </c>
      <c r="O269" s="33" t="n">
        <f>1542</f>
        <v>1542.0</v>
      </c>
      <c r="P269" s="34" t="s">
        <v>48</v>
      </c>
      <c r="Q269" s="33" t="n">
        <f>1693</f>
        <v>1693.0</v>
      </c>
      <c r="R269" s="34" t="s">
        <v>51</v>
      </c>
      <c r="S269" s="35" t="n">
        <f>1646.2</f>
        <v>1646.2</v>
      </c>
      <c r="T269" s="32" t="n">
        <f>42584</f>
        <v>42584.0</v>
      </c>
      <c r="U269" s="32" t="str">
        <f>"－"</f>
        <v>－</v>
      </c>
      <c r="V269" s="32" t="n">
        <f>70366988</f>
        <v>7.0366988E7</v>
      </c>
      <c r="W269" s="32" t="str">
        <f>"－"</f>
        <v>－</v>
      </c>
      <c r="X269" s="36" t="n">
        <f>20</f>
        <v>20.0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2566</f>
        <v>2566.0</v>
      </c>
      <c r="L270" s="34" t="s">
        <v>48</v>
      </c>
      <c r="M270" s="33" t="n">
        <f>2774</f>
        <v>2774.0</v>
      </c>
      <c r="N270" s="34" t="s">
        <v>166</v>
      </c>
      <c r="O270" s="33" t="n">
        <f>2533</f>
        <v>2533.0</v>
      </c>
      <c r="P270" s="34" t="s">
        <v>48</v>
      </c>
      <c r="Q270" s="33" t="n">
        <f>2690</f>
        <v>2690.0</v>
      </c>
      <c r="R270" s="34" t="s">
        <v>51</v>
      </c>
      <c r="S270" s="35" t="n">
        <f>2658.4</f>
        <v>2658.4</v>
      </c>
      <c r="T270" s="32" t="n">
        <f>39749</f>
        <v>39749.0</v>
      </c>
      <c r="U270" s="32" t="str">
        <f>"－"</f>
        <v>－</v>
      </c>
      <c r="V270" s="32" t="n">
        <f>103525553</f>
        <v>1.03525553E8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1958</f>
        <v>1958.0</v>
      </c>
      <c r="L271" s="34" t="s">
        <v>48</v>
      </c>
      <c r="M271" s="33" t="n">
        <f>2084</f>
        <v>2084.0</v>
      </c>
      <c r="N271" s="34" t="s">
        <v>49</v>
      </c>
      <c r="O271" s="33" t="n">
        <f>1905</f>
        <v>1905.0</v>
      </c>
      <c r="P271" s="34" t="s">
        <v>48</v>
      </c>
      <c r="Q271" s="33" t="n">
        <f>2039</f>
        <v>2039.0</v>
      </c>
      <c r="R271" s="34" t="s">
        <v>51</v>
      </c>
      <c r="S271" s="35" t="n">
        <f>2006</f>
        <v>2006.0</v>
      </c>
      <c r="T271" s="32" t="n">
        <f>107264</f>
        <v>107264.0</v>
      </c>
      <c r="U271" s="32" t="str">
        <f>"－"</f>
        <v>－</v>
      </c>
      <c r="V271" s="32" t="n">
        <f>214898901</f>
        <v>2.14898901E8</v>
      </c>
      <c r="W271" s="32" t="str">
        <f>"－"</f>
        <v>－</v>
      </c>
      <c r="X271" s="36" t="n">
        <f>20</f>
        <v>20.0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25080</f>
        <v>25080.0</v>
      </c>
      <c r="L272" s="34" t="s">
        <v>48</v>
      </c>
      <c r="M272" s="33" t="n">
        <f>26285</f>
        <v>26285.0</v>
      </c>
      <c r="N272" s="34" t="s">
        <v>176</v>
      </c>
      <c r="O272" s="33" t="n">
        <f>24650</f>
        <v>24650.0</v>
      </c>
      <c r="P272" s="34" t="s">
        <v>48</v>
      </c>
      <c r="Q272" s="33" t="n">
        <f>25630</f>
        <v>25630.0</v>
      </c>
      <c r="R272" s="34" t="s">
        <v>51</v>
      </c>
      <c r="S272" s="35" t="n">
        <f>25256.11</f>
        <v>25256.11</v>
      </c>
      <c r="T272" s="32" t="n">
        <f>63</f>
        <v>63.0</v>
      </c>
      <c r="U272" s="32" t="str">
        <f>"－"</f>
        <v>－</v>
      </c>
      <c r="V272" s="32" t="n">
        <f>1598275</f>
        <v>1598275.0</v>
      </c>
      <c r="W272" s="32" t="str">
        <f>"－"</f>
        <v>－</v>
      </c>
      <c r="X272" s="36" t="n">
        <f>18</f>
        <v>18.0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1950</f>
        <v>1950.0</v>
      </c>
      <c r="L273" s="34" t="s">
        <v>48</v>
      </c>
      <c r="M273" s="33" t="n">
        <f>2043</f>
        <v>2043.0</v>
      </c>
      <c r="N273" s="34" t="s">
        <v>49</v>
      </c>
      <c r="O273" s="33" t="n">
        <f>1912</f>
        <v>1912.0</v>
      </c>
      <c r="P273" s="34" t="s">
        <v>48</v>
      </c>
      <c r="Q273" s="33" t="n">
        <f>2032</f>
        <v>2032.0</v>
      </c>
      <c r="R273" s="34" t="s">
        <v>51</v>
      </c>
      <c r="S273" s="35" t="n">
        <f>1988.75</f>
        <v>1988.75</v>
      </c>
      <c r="T273" s="32" t="n">
        <f>1053</f>
        <v>1053.0</v>
      </c>
      <c r="U273" s="32" t="str">
        <f>"－"</f>
        <v>－</v>
      </c>
      <c r="V273" s="32" t="n">
        <f>2068182</f>
        <v>2068182.0</v>
      </c>
      <c r="W273" s="32" t="str">
        <f>"－"</f>
        <v>－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1932</f>
        <v>1932.0</v>
      </c>
      <c r="L274" s="34" t="s">
        <v>48</v>
      </c>
      <c r="M274" s="33" t="n">
        <f>2137</f>
        <v>2137.0</v>
      </c>
      <c r="N274" s="34" t="s">
        <v>64</v>
      </c>
      <c r="O274" s="33" t="n">
        <f>1863</f>
        <v>1863.0</v>
      </c>
      <c r="P274" s="34" t="s">
        <v>48</v>
      </c>
      <c r="Q274" s="33" t="n">
        <f>2046</f>
        <v>2046.0</v>
      </c>
      <c r="R274" s="34" t="s">
        <v>51</v>
      </c>
      <c r="S274" s="35" t="n">
        <f>1963.95</f>
        <v>1963.95</v>
      </c>
      <c r="T274" s="32" t="n">
        <f>330005</f>
        <v>330005.0</v>
      </c>
      <c r="U274" s="32" t="str">
        <f>"－"</f>
        <v>－</v>
      </c>
      <c r="V274" s="32" t="n">
        <f>644173666</f>
        <v>6.44173666E8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1734</f>
        <v>1734.0</v>
      </c>
      <c r="L275" s="34" t="s">
        <v>48</v>
      </c>
      <c r="M275" s="33" t="n">
        <f>1838</f>
        <v>1838.0</v>
      </c>
      <c r="N275" s="34" t="s">
        <v>51</v>
      </c>
      <c r="O275" s="33" t="n">
        <f>1693</f>
        <v>1693.0</v>
      </c>
      <c r="P275" s="34" t="s">
        <v>48</v>
      </c>
      <c r="Q275" s="33" t="n">
        <f>1832</f>
        <v>1832.0</v>
      </c>
      <c r="R275" s="34" t="s">
        <v>51</v>
      </c>
      <c r="S275" s="35" t="n">
        <f>1766.4</f>
        <v>1766.4</v>
      </c>
      <c r="T275" s="32" t="n">
        <f>10147</f>
        <v>10147.0</v>
      </c>
      <c r="U275" s="32" t="str">
        <f>"－"</f>
        <v>－</v>
      </c>
      <c r="V275" s="32" t="n">
        <f>17555208</f>
        <v>1.7555208E7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1301</f>
        <v>1301.0</v>
      </c>
      <c r="L276" s="34" t="s">
        <v>48</v>
      </c>
      <c r="M276" s="33" t="n">
        <f>1345</f>
        <v>1345.0</v>
      </c>
      <c r="N276" s="34" t="s">
        <v>64</v>
      </c>
      <c r="O276" s="33" t="n">
        <f>1252</f>
        <v>1252.0</v>
      </c>
      <c r="P276" s="34" t="s">
        <v>170</v>
      </c>
      <c r="Q276" s="33" t="n">
        <f>1325</f>
        <v>1325.0</v>
      </c>
      <c r="R276" s="34" t="s">
        <v>51</v>
      </c>
      <c r="S276" s="35" t="n">
        <f>1304.55</f>
        <v>1304.55</v>
      </c>
      <c r="T276" s="32" t="n">
        <f>10373</f>
        <v>10373.0</v>
      </c>
      <c r="U276" s="32" t="str">
        <f>"－"</f>
        <v>－</v>
      </c>
      <c r="V276" s="32" t="n">
        <f>13461709</f>
        <v>1.3461709E7</v>
      </c>
      <c r="W276" s="32" t="str">
        <f>"－"</f>
        <v>－</v>
      </c>
      <c r="X276" s="36" t="n">
        <f>20</f>
        <v>20.0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5358</f>
        <v>5358.0</v>
      </c>
      <c r="L277" s="34" t="s">
        <v>262</v>
      </c>
      <c r="M277" s="33" t="n">
        <f>5497</f>
        <v>5497.0</v>
      </c>
      <c r="N277" s="34" t="s">
        <v>72</v>
      </c>
      <c r="O277" s="33" t="n">
        <f>5334</f>
        <v>5334.0</v>
      </c>
      <c r="P277" s="34" t="s">
        <v>174</v>
      </c>
      <c r="Q277" s="33" t="n">
        <f>5402</f>
        <v>5402.0</v>
      </c>
      <c r="R277" s="34" t="s">
        <v>51</v>
      </c>
      <c r="S277" s="35" t="n">
        <f>5429.06</f>
        <v>5429.06</v>
      </c>
      <c r="T277" s="32" t="n">
        <f>309720</f>
        <v>309720.0</v>
      </c>
      <c r="U277" s="32" t="n">
        <f>226860</f>
        <v>226860.0</v>
      </c>
      <c r="V277" s="32" t="n">
        <f>1687788304</f>
        <v>1.687788304E9</v>
      </c>
      <c r="W277" s="32" t="n">
        <f>1236782714</f>
        <v>1.236782714E9</v>
      </c>
      <c r="X277" s="36" t="n">
        <f>17</f>
        <v>17.0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4473</f>
        <v>4473.0</v>
      </c>
      <c r="L278" s="34" t="s">
        <v>262</v>
      </c>
      <c r="M278" s="33" t="n">
        <f>4560</f>
        <v>4560.0</v>
      </c>
      <c r="N278" s="34" t="s">
        <v>51</v>
      </c>
      <c r="O278" s="33" t="n">
        <f>4409</f>
        <v>4409.0</v>
      </c>
      <c r="P278" s="34" t="s">
        <v>174</v>
      </c>
      <c r="Q278" s="33" t="n">
        <f>4560</f>
        <v>4560.0</v>
      </c>
      <c r="R278" s="34" t="s">
        <v>51</v>
      </c>
      <c r="S278" s="35" t="n">
        <f>4455.5</f>
        <v>4455.5</v>
      </c>
      <c r="T278" s="32" t="n">
        <f>1220440</f>
        <v>1220440.0</v>
      </c>
      <c r="U278" s="32" t="n">
        <f>1195000</f>
        <v>1195000.0</v>
      </c>
      <c r="V278" s="32" t="n">
        <f>5437921249</f>
        <v>5.437921249E9</v>
      </c>
      <c r="W278" s="32" t="n">
        <f>5321966669</f>
        <v>5.321966669E9</v>
      </c>
      <c r="X278" s="36" t="n">
        <f>8</f>
        <v>8.0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736.5</f>
        <v>736.5</v>
      </c>
      <c r="L279" s="34" t="s">
        <v>48</v>
      </c>
      <c r="M279" s="33" t="n">
        <f>749.4</f>
        <v>749.4</v>
      </c>
      <c r="N279" s="34" t="s">
        <v>51</v>
      </c>
      <c r="O279" s="33" t="n">
        <f>729.2</f>
        <v>729.2</v>
      </c>
      <c r="P279" s="34" t="s">
        <v>162</v>
      </c>
      <c r="Q279" s="33" t="n">
        <f>749.4</f>
        <v>749.4</v>
      </c>
      <c r="R279" s="34" t="s">
        <v>51</v>
      </c>
      <c r="S279" s="35" t="n">
        <f>740.02</f>
        <v>740.02</v>
      </c>
      <c r="T279" s="32" t="n">
        <f>2770</f>
        <v>2770.0</v>
      </c>
      <c r="U279" s="32" t="str">
        <f>"－"</f>
        <v>－</v>
      </c>
      <c r="V279" s="32" t="n">
        <f>2037066</f>
        <v>2037066.0</v>
      </c>
      <c r="W279" s="32" t="str">
        <f>"－"</f>
        <v>－</v>
      </c>
      <c r="X279" s="36" t="n">
        <f>14</f>
        <v>14.0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1962</f>
        <v>1962.0</v>
      </c>
      <c r="L280" s="34" t="s">
        <v>48</v>
      </c>
      <c r="M280" s="33" t="n">
        <f>2105</f>
        <v>2105.0</v>
      </c>
      <c r="N280" s="34" t="s">
        <v>174</v>
      </c>
      <c r="O280" s="33" t="n">
        <f>1944</f>
        <v>1944.0</v>
      </c>
      <c r="P280" s="34" t="s">
        <v>48</v>
      </c>
      <c r="Q280" s="33" t="n">
        <f>2091</f>
        <v>2091.0</v>
      </c>
      <c r="R280" s="34" t="s">
        <v>51</v>
      </c>
      <c r="S280" s="35" t="n">
        <f>2044.85</f>
        <v>2044.85</v>
      </c>
      <c r="T280" s="32" t="n">
        <f>23183</f>
        <v>23183.0</v>
      </c>
      <c r="U280" s="32" t="str">
        <f>"－"</f>
        <v>－</v>
      </c>
      <c r="V280" s="32" t="n">
        <f>48492302</f>
        <v>4.8492302E7</v>
      </c>
      <c r="W280" s="32" t="str">
        <f>"－"</f>
        <v>－</v>
      </c>
      <c r="X280" s="36" t="n">
        <f>20</f>
        <v>20.0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1715</f>
        <v>1715.0</v>
      </c>
      <c r="L281" s="34" t="s">
        <v>48</v>
      </c>
      <c r="M281" s="33" t="n">
        <f>1907</f>
        <v>1907.0</v>
      </c>
      <c r="N281" s="34" t="s">
        <v>51</v>
      </c>
      <c r="O281" s="33" t="n">
        <f>1695</f>
        <v>1695.0</v>
      </c>
      <c r="P281" s="34" t="s">
        <v>48</v>
      </c>
      <c r="Q281" s="33" t="n">
        <f>1907</f>
        <v>1907.0</v>
      </c>
      <c r="R281" s="34" t="s">
        <v>51</v>
      </c>
      <c r="S281" s="35" t="n">
        <f>1824.9</f>
        <v>1824.9</v>
      </c>
      <c r="T281" s="32" t="n">
        <f>19962</f>
        <v>19962.0</v>
      </c>
      <c r="U281" s="32" t="str">
        <f>"－"</f>
        <v>－</v>
      </c>
      <c r="V281" s="32" t="n">
        <f>36950692</f>
        <v>3.6950692E7</v>
      </c>
      <c r="W281" s="32" t="str">
        <f>"－"</f>
        <v>－</v>
      </c>
      <c r="X281" s="36" t="n">
        <f>20</f>
        <v>20.0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7984</f>
        <v>7984.0</v>
      </c>
      <c r="L282" s="34" t="s">
        <v>48</v>
      </c>
      <c r="M282" s="33" t="n">
        <f>8236</f>
        <v>8236.0</v>
      </c>
      <c r="N282" s="34" t="s">
        <v>100</v>
      </c>
      <c r="O282" s="33" t="n">
        <f>7945</f>
        <v>7945.0</v>
      </c>
      <c r="P282" s="34" t="s">
        <v>174</v>
      </c>
      <c r="Q282" s="33" t="n">
        <f>8079</f>
        <v>8079.0</v>
      </c>
      <c r="R282" s="34" t="s">
        <v>51</v>
      </c>
      <c r="S282" s="35" t="n">
        <f>8103.11</f>
        <v>8103.11</v>
      </c>
      <c r="T282" s="32" t="n">
        <f>260178</f>
        <v>260178.0</v>
      </c>
      <c r="U282" s="32" t="n">
        <f>255682</f>
        <v>255682.0</v>
      </c>
      <c r="V282" s="32" t="n">
        <f>2117327253</f>
        <v>2.117327253E9</v>
      </c>
      <c r="W282" s="32" t="n">
        <f>2080735833</f>
        <v>2.080735833E9</v>
      </c>
      <c r="X282" s="36" t="n">
        <f>19</f>
        <v>19.0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6579</f>
        <v>6579.0</v>
      </c>
      <c r="L283" s="34" t="s">
        <v>48</v>
      </c>
      <c r="M283" s="33" t="n">
        <f>6794</f>
        <v>6794.0</v>
      </c>
      <c r="N283" s="34" t="s">
        <v>51</v>
      </c>
      <c r="O283" s="33" t="n">
        <f>6534</f>
        <v>6534.0</v>
      </c>
      <c r="P283" s="34" t="s">
        <v>174</v>
      </c>
      <c r="Q283" s="33" t="n">
        <f>6794</f>
        <v>6794.0</v>
      </c>
      <c r="R283" s="34" t="s">
        <v>51</v>
      </c>
      <c r="S283" s="35" t="n">
        <f>6662.47</f>
        <v>6662.47</v>
      </c>
      <c r="T283" s="32" t="n">
        <f>56438</f>
        <v>56438.0</v>
      </c>
      <c r="U283" s="32" t="n">
        <f>55508</f>
        <v>55508.0</v>
      </c>
      <c r="V283" s="32" t="n">
        <f>374131998</f>
        <v>3.74131998E8</v>
      </c>
      <c r="W283" s="32" t="n">
        <f>367941474</f>
        <v>3.67941474E8</v>
      </c>
      <c r="X283" s="36" t="n">
        <f>19</f>
        <v>19.0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14725</f>
        <v>14725.0</v>
      </c>
      <c r="L284" s="34" t="s">
        <v>48</v>
      </c>
      <c r="M284" s="33" t="n">
        <f>16325</f>
        <v>16325.0</v>
      </c>
      <c r="N284" s="34" t="s">
        <v>51</v>
      </c>
      <c r="O284" s="33" t="n">
        <f>14450</f>
        <v>14450.0</v>
      </c>
      <c r="P284" s="34" t="s">
        <v>48</v>
      </c>
      <c r="Q284" s="33" t="n">
        <f>16150</f>
        <v>16150.0</v>
      </c>
      <c r="R284" s="34" t="s">
        <v>51</v>
      </c>
      <c r="S284" s="35" t="n">
        <f>15499.5</f>
        <v>15499.5</v>
      </c>
      <c r="T284" s="32" t="n">
        <f>105864</f>
        <v>105864.0</v>
      </c>
      <c r="U284" s="32" t="str">
        <f>"－"</f>
        <v>－</v>
      </c>
      <c r="V284" s="32" t="n">
        <f>1665407935</f>
        <v>1.665407935E9</v>
      </c>
      <c r="W284" s="32" t="str">
        <f>"－"</f>
        <v>－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8028</f>
        <v>8028.0</v>
      </c>
      <c r="L285" s="34" t="s">
        <v>48</v>
      </c>
      <c r="M285" s="33" t="n">
        <f>8979</f>
        <v>8979.0</v>
      </c>
      <c r="N285" s="34" t="s">
        <v>51</v>
      </c>
      <c r="O285" s="33" t="n">
        <f>7932</f>
        <v>7932.0</v>
      </c>
      <c r="P285" s="34" t="s">
        <v>48</v>
      </c>
      <c r="Q285" s="33" t="n">
        <f>8969</f>
        <v>8969.0</v>
      </c>
      <c r="R285" s="34" t="s">
        <v>51</v>
      </c>
      <c r="S285" s="35" t="n">
        <f>8402.7</f>
        <v>8402.7</v>
      </c>
      <c r="T285" s="32" t="n">
        <f>622638</f>
        <v>622638.0</v>
      </c>
      <c r="U285" s="32" t="n">
        <f>417002</f>
        <v>417002.0</v>
      </c>
      <c r="V285" s="32" t="n">
        <f>5228094654</f>
        <v>5.228094654E9</v>
      </c>
      <c r="W285" s="32" t="n">
        <f>3495789466</f>
        <v>3.495789466E9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32770</f>
        <v>32770.0</v>
      </c>
      <c r="L286" s="34" t="s">
        <v>48</v>
      </c>
      <c r="M286" s="33" t="n">
        <f>33180</f>
        <v>33180.0</v>
      </c>
      <c r="N286" s="34" t="s">
        <v>48</v>
      </c>
      <c r="O286" s="33" t="n">
        <f>28990</f>
        <v>28990.0</v>
      </c>
      <c r="P286" s="34" t="s">
        <v>51</v>
      </c>
      <c r="Q286" s="33" t="n">
        <f>28990</f>
        <v>28990.0</v>
      </c>
      <c r="R286" s="34" t="s">
        <v>51</v>
      </c>
      <c r="S286" s="35" t="n">
        <f>31241.5</f>
        <v>31241.5</v>
      </c>
      <c r="T286" s="32" t="n">
        <f>312353</f>
        <v>312353.0</v>
      </c>
      <c r="U286" s="32" t="n">
        <f>32000</f>
        <v>32000.0</v>
      </c>
      <c r="V286" s="32" t="n">
        <f>9746574442</f>
        <v>9.746574442E9</v>
      </c>
      <c r="W286" s="32" t="n">
        <f>968376627</f>
        <v>9.68376627E8</v>
      </c>
      <c r="X286" s="36" t="n">
        <f>20</f>
        <v>20.0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4505</f>
        <v>4505.0</v>
      </c>
      <c r="L287" s="34" t="s">
        <v>262</v>
      </c>
      <c r="M287" s="33" t="n">
        <f>4662</f>
        <v>4662.0</v>
      </c>
      <c r="N287" s="34" t="s">
        <v>51</v>
      </c>
      <c r="O287" s="33" t="n">
        <f>4489</f>
        <v>4489.0</v>
      </c>
      <c r="P287" s="34" t="s">
        <v>93</v>
      </c>
      <c r="Q287" s="33" t="n">
        <f>4662</f>
        <v>4662.0</v>
      </c>
      <c r="R287" s="34" t="s">
        <v>51</v>
      </c>
      <c r="S287" s="35" t="n">
        <f>4538.5</f>
        <v>4538.5</v>
      </c>
      <c r="T287" s="32" t="n">
        <f>73970</f>
        <v>73970.0</v>
      </c>
      <c r="U287" s="32" t="str">
        <f>"－"</f>
        <v>－</v>
      </c>
      <c r="V287" s="32" t="n">
        <f>338880410</f>
        <v>3.3888041E8</v>
      </c>
      <c r="W287" s="32" t="str">
        <f>"－"</f>
        <v>－</v>
      </c>
      <c r="X287" s="36" t="n">
        <f>10</f>
        <v>10.0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5085</f>
        <v>5085.0</v>
      </c>
      <c r="L288" s="34" t="s">
        <v>48</v>
      </c>
      <c r="M288" s="33" t="n">
        <f>5355</f>
        <v>5355.0</v>
      </c>
      <c r="N288" s="34" t="s">
        <v>51</v>
      </c>
      <c r="O288" s="33" t="n">
        <f>5054</f>
        <v>5054.0</v>
      </c>
      <c r="P288" s="34" t="s">
        <v>48</v>
      </c>
      <c r="Q288" s="33" t="n">
        <f>5299</f>
        <v>5299.0</v>
      </c>
      <c r="R288" s="34" t="s">
        <v>51</v>
      </c>
      <c r="S288" s="35" t="n">
        <f>5188.75</f>
        <v>5188.75</v>
      </c>
      <c r="T288" s="32" t="n">
        <f>122090</f>
        <v>122090.0</v>
      </c>
      <c r="U288" s="32" t="n">
        <f>98300</f>
        <v>98300.0</v>
      </c>
      <c r="V288" s="32" t="n">
        <f>627060254</f>
        <v>6.27060254E8</v>
      </c>
      <c r="W288" s="32" t="n">
        <f>501244824</f>
        <v>5.01244824E8</v>
      </c>
      <c r="X288" s="36" t="n">
        <f>16</f>
        <v>16.0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1654</f>
        <v>1654.0</v>
      </c>
      <c r="L289" s="34" t="s">
        <v>48</v>
      </c>
      <c r="M289" s="33" t="n">
        <f>1871.5</f>
        <v>1871.5</v>
      </c>
      <c r="N289" s="34" t="s">
        <v>51</v>
      </c>
      <c r="O289" s="33" t="n">
        <f>1652.5</f>
        <v>1652.5</v>
      </c>
      <c r="P289" s="34" t="s">
        <v>48</v>
      </c>
      <c r="Q289" s="33" t="n">
        <f>1871</f>
        <v>1871.0</v>
      </c>
      <c r="R289" s="34" t="s">
        <v>51</v>
      </c>
      <c r="S289" s="35" t="n">
        <f>1751.2</f>
        <v>1751.2</v>
      </c>
      <c r="T289" s="32" t="n">
        <f>2390050</f>
        <v>2390050.0</v>
      </c>
      <c r="U289" s="32" t="n">
        <f>1661400</f>
        <v>1661400.0</v>
      </c>
      <c r="V289" s="32" t="n">
        <f>4366159061</f>
        <v>4.366159061E9</v>
      </c>
      <c r="W289" s="32" t="n">
        <f>3073787831</f>
        <v>3.073787831E9</v>
      </c>
      <c r="X289" s="36" t="n">
        <f>20</f>
        <v>20.0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1812.5</f>
        <v>1812.5</v>
      </c>
      <c r="L290" s="34" t="s">
        <v>48</v>
      </c>
      <c r="M290" s="33" t="n">
        <f>1910</f>
        <v>1910.0</v>
      </c>
      <c r="N290" s="34" t="s">
        <v>51</v>
      </c>
      <c r="O290" s="33" t="n">
        <f>1794</f>
        <v>1794.0</v>
      </c>
      <c r="P290" s="34" t="s">
        <v>48</v>
      </c>
      <c r="Q290" s="33" t="n">
        <f>1908</f>
        <v>1908.0</v>
      </c>
      <c r="R290" s="34" t="s">
        <v>51</v>
      </c>
      <c r="S290" s="35" t="n">
        <f>1843.85</f>
        <v>1843.85</v>
      </c>
      <c r="T290" s="32" t="n">
        <f>212560</f>
        <v>212560.0</v>
      </c>
      <c r="U290" s="32" t="str">
        <f>"－"</f>
        <v>－</v>
      </c>
      <c r="V290" s="32" t="n">
        <f>399283980</f>
        <v>3.9928398E8</v>
      </c>
      <c r="W290" s="32" t="str">
        <f>"－"</f>
        <v>－</v>
      </c>
      <c r="X290" s="36" t="n">
        <f>20</f>
        <v>20.0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1517</f>
        <v>1517.0</v>
      </c>
      <c r="L291" s="34" t="s">
        <v>48</v>
      </c>
      <c r="M291" s="33" t="n">
        <f>1585</f>
        <v>1585.0</v>
      </c>
      <c r="N291" s="34" t="s">
        <v>49</v>
      </c>
      <c r="O291" s="33" t="n">
        <f>1486</f>
        <v>1486.0</v>
      </c>
      <c r="P291" s="34" t="s">
        <v>48</v>
      </c>
      <c r="Q291" s="33" t="n">
        <f>1577</f>
        <v>1577.0</v>
      </c>
      <c r="R291" s="34" t="s">
        <v>51</v>
      </c>
      <c r="S291" s="35" t="n">
        <f>1542.95</f>
        <v>1542.95</v>
      </c>
      <c r="T291" s="32" t="n">
        <f>361</f>
        <v>361.0</v>
      </c>
      <c r="U291" s="32" t="str">
        <f>"－"</f>
        <v>－</v>
      </c>
      <c r="V291" s="32" t="n">
        <f>552381</f>
        <v>552381.0</v>
      </c>
      <c r="W291" s="32" t="str">
        <f>"－"</f>
        <v>－</v>
      </c>
      <c r="X291" s="36" t="n">
        <f>19</f>
        <v>19.0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1494</f>
        <v>1494.0</v>
      </c>
      <c r="L292" s="34" t="s">
        <v>48</v>
      </c>
      <c r="M292" s="33" t="n">
        <f>1560</f>
        <v>1560.0</v>
      </c>
      <c r="N292" s="34" t="s">
        <v>49</v>
      </c>
      <c r="O292" s="33" t="n">
        <f>1464</f>
        <v>1464.0</v>
      </c>
      <c r="P292" s="34" t="s">
        <v>48</v>
      </c>
      <c r="Q292" s="33" t="n">
        <f>1552</f>
        <v>1552.0</v>
      </c>
      <c r="R292" s="34" t="s">
        <v>51</v>
      </c>
      <c r="S292" s="35" t="n">
        <f>1518.85</f>
        <v>1518.85</v>
      </c>
      <c r="T292" s="32" t="n">
        <f>442</f>
        <v>442.0</v>
      </c>
      <c r="U292" s="32" t="str">
        <f>"－"</f>
        <v>－</v>
      </c>
      <c r="V292" s="32" t="n">
        <f>666107</f>
        <v>666107.0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3105</f>
        <v>3105.0</v>
      </c>
      <c r="L293" s="34" t="s">
        <v>48</v>
      </c>
      <c r="M293" s="33" t="n">
        <f>3235</f>
        <v>3235.0</v>
      </c>
      <c r="N293" s="34" t="s">
        <v>161</v>
      </c>
      <c r="O293" s="33" t="n">
        <f>3070</f>
        <v>3070.0</v>
      </c>
      <c r="P293" s="34" t="s">
        <v>48</v>
      </c>
      <c r="Q293" s="33" t="n">
        <f>3170</f>
        <v>3170.0</v>
      </c>
      <c r="R293" s="34" t="s">
        <v>51</v>
      </c>
      <c r="S293" s="35" t="n">
        <f>3169.75</f>
        <v>3169.75</v>
      </c>
      <c r="T293" s="32" t="n">
        <f>2678</f>
        <v>2678.0</v>
      </c>
      <c r="U293" s="32" t="str">
        <f>"－"</f>
        <v>－</v>
      </c>
      <c r="V293" s="32" t="n">
        <f>8485885</f>
        <v>8485885.0</v>
      </c>
      <c r="W293" s="32" t="str">
        <f>"－"</f>
        <v>－</v>
      </c>
      <c r="X293" s="36" t="n">
        <f>20</f>
        <v>20.0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1905</f>
        <v>1905.0</v>
      </c>
      <c r="L294" s="34" t="s">
        <v>85</v>
      </c>
      <c r="M294" s="33" t="n">
        <f>2032</f>
        <v>2032.0</v>
      </c>
      <c r="N294" s="34" t="s">
        <v>49</v>
      </c>
      <c r="O294" s="33" t="n">
        <f>1903</f>
        <v>1903.0</v>
      </c>
      <c r="P294" s="34" t="s">
        <v>170</v>
      </c>
      <c r="Q294" s="33" t="n">
        <f>2032</f>
        <v>2032.0</v>
      </c>
      <c r="R294" s="34" t="s">
        <v>49</v>
      </c>
      <c r="S294" s="35" t="n">
        <f>1965.94</f>
        <v>1965.94</v>
      </c>
      <c r="T294" s="32" t="n">
        <f>1150</f>
        <v>1150.0</v>
      </c>
      <c r="U294" s="32" t="str">
        <f>"－"</f>
        <v>－</v>
      </c>
      <c r="V294" s="32" t="n">
        <f>2265535</f>
        <v>2265535.0</v>
      </c>
      <c r="W294" s="32" t="str">
        <f>"－"</f>
        <v>－</v>
      </c>
      <c r="X294" s="36" t="n">
        <f>9</f>
        <v>9.0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191</f>
        <v>191.0</v>
      </c>
      <c r="L295" s="34" t="s">
        <v>48</v>
      </c>
      <c r="M295" s="33" t="n">
        <f>209</f>
        <v>209.0</v>
      </c>
      <c r="N295" s="34" t="s">
        <v>72</v>
      </c>
      <c r="O295" s="33" t="n">
        <f>187</f>
        <v>187.0</v>
      </c>
      <c r="P295" s="34" t="s">
        <v>48</v>
      </c>
      <c r="Q295" s="33" t="n">
        <f>199</f>
        <v>199.0</v>
      </c>
      <c r="R295" s="34" t="s">
        <v>51</v>
      </c>
      <c r="S295" s="35" t="n">
        <f>195.23</f>
        <v>195.23</v>
      </c>
      <c r="T295" s="32" t="n">
        <f>4910</f>
        <v>4910.0</v>
      </c>
      <c r="U295" s="32" t="str">
        <f>"－"</f>
        <v>－</v>
      </c>
      <c r="V295" s="32" t="n">
        <f>947555</f>
        <v>947555.0</v>
      </c>
      <c r="W295" s="32" t="str">
        <f>"－"</f>
        <v>－</v>
      </c>
      <c r="X295" s="36" t="n">
        <f>19</f>
        <v>19.0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200</f>
        <v>200.0</v>
      </c>
      <c r="L296" s="34" t="s">
        <v>48</v>
      </c>
      <c r="M296" s="33" t="n">
        <f>204.1</f>
        <v>204.1</v>
      </c>
      <c r="N296" s="34" t="s">
        <v>166</v>
      </c>
      <c r="O296" s="33" t="n">
        <f>198.5</f>
        <v>198.5</v>
      </c>
      <c r="P296" s="34" t="s">
        <v>262</v>
      </c>
      <c r="Q296" s="33" t="n">
        <f>204</f>
        <v>204.0</v>
      </c>
      <c r="R296" s="34" t="s">
        <v>51</v>
      </c>
      <c r="S296" s="35" t="n">
        <f>201.52</f>
        <v>201.52</v>
      </c>
      <c r="T296" s="32" t="n">
        <f>25770</f>
        <v>25770.0</v>
      </c>
      <c r="U296" s="32" t="str">
        <f>"－"</f>
        <v>－</v>
      </c>
      <c r="V296" s="32" t="n">
        <f>5173063</f>
        <v>5173063.0</v>
      </c>
      <c r="W296" s="32" t="str">
        <f>"－"</f>
        <v>－</v>
      </c>
      <c r="X296" s="36" t="n">
        <f>20</f>
        <v>20.0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776.8</f>
        <v>776.8</v>
      </c>
      <c r="L297" s="34" t="s">
        <v>48</v>
      </c>
      <c r="M297" s="33" t="n">
        <f>800.7</f>
        <v>800.7</v>
      </c>
      <c r="N297" s="34" t="s">
        <v>51</v>
      </c>
      <c r="O297" s="33" t="n">
        <f>774.7</f>
        <v>774.7</v>
      </c>
      <c r="P297" s="34" t="s">
        <v>231</v>
      </c>
      <c r="Q297" s="33" t="n">
        <f>800.7</f>
        <v>800.7</v>
      </c>
      <c r="R297" s="34" t="s">
        <v>51</v>
      </c>
      <c r="S297" s="35" t="n">
        <f>784.28</f>
        <v>784.28</v>
      </c>
      <c r="T297" s="32" t="n">
        <f>34700</f>
        <v>34700.0</v>
      </c>
      <c r="U297" s="32" t="n">
        <f>33630</f>
        <v>33630.0</v>
      </c>
      <c r="V297" s="32" t="n">
        <f>27196377</f>
        <v>2.7196377E7</v>
      </c>
      <c r="W297" s="32" t="n">
        <f>26357022</f>
        <v>2.6357022E7</v>
      </c>
      <c r="X297" s="36" t="n">
        <f>16</f>
        <v>16.0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1003</f>
        <v>1003.0</v>
      </c>
      <c r="L298" s="34" t="s">
        <v>48</v>
      </c>
      <c r="M298" s="33" t="n">
        <f>1110</f>
        <v>1110.0</v>
      </c>
      <c r="N298" s="34" t="s">
        <v>166</v>
      </c>
      <c r="O298" s="33" t="n">
        <f>979</f>
        <v>979.0</v>
      </c>
      <c r="P298" s="34" t="s">
        <v>48</v>
      </c>
      <c r="Q298" s="33" t="n">
        <f>1086</f>
        <v>1086.0</v>
      </c>
      <c r="R298" s="34" t="s">
        <v>51</v>
      </c>
      <c r="S298" s="35" t="n">
        <f>1047.9</f>
        <v>1047.9</v>
      </c>
      <c r="T298" s="32" t="n">
        <f>237741</f>
        <v>237741.0</v>
      </c>
      <c r="U298" s="32" t="str">
        <f>"－"</f>
        <v>－</v>
      </c>
      <c r="V298" s="32" t="n">
        <f>248775175</f>
        <v>2.48775175E8</v>
      </c>
      <c r="W298" s="32" t="str">
        <f>"－"</f>
        <v>－</v>
      </c>
      <c r="X298" s="36" t="n">
        <f>20</f>
        <v>20.0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1029</f>
        <v>1029.0</v>
      </c>
      <c r="L299" s="34" t="s">
        <v>48</v>
      </c>
      <c r="M299" s="33" t="n">
        <f>1069</f>
        <v>1069.0</v>
      </c>
      <c r="N299" s="34" t="s">
        <v>166</v>
      </c>
      <c r="O299" s="33" t="n">
        <f>1016</f>
        <v>1016.0</v>
      </c>
      <c r="P299" s="34" t="s">
        <v>48</v>
      </c>
      <c r="Q299" s="33" t="n">
        <f>1062</f>
        <v>1062.0</v>
      </c>
      <c r="R299" s="34" t="s">
        <v>51</v>
      </c>
      <c r="S299" s="35" t="n">
        <f>1040.95</f>
        <v>1040.95</v>
      </c>
      <c r="T299" s="32" t="n">
        <f>195291</f>
        <v>195291.0</v>
      </c>
      <c r="U299" s="32" t="n">
        <f>60000</f>
        <v>60000.0</v>
      </c>
      <c r="V299" s="32" t="n">
        <f>203194621</f>
        <v>2.03194621E8</v>
      </c>
      <c r="W299" s="32" t="n">
        <f>61884000</f>
        <v>6.1884E7</v>
      </c>
      <c r="X299" s="36" t="n">
        <f>20</f>
        <v>20.0</v>
      </c>
    </row>
    <row r="300">
      <c r="A300" s="27" t="s">
        <v>42</v>
      </c>
      <c r="B300" s="27" t="s">
        <v>950</v>
      </c>
      <c r="C300" s="27" t="s">
        <v>951</v>
      </c>
      <c r="D300" s="27" t="s">
        <v>952</v>
      </c>
      <c r="E300" s="28" t="s">
        <v>953</v>
      </c>
      <c r="F300" s="29" t="s">
        <v>954</v>
      </c>
      <c r="G300" s="30" t="s">
        <v>955</v>
      </c>
      <c r="H300" s="31"/>
      <c r="I300" s="31" t="s">
        <v>47</v>
      </c>
      <c r="J300" s="32" t="n">
        <v>10.0</v>
      </c>
      <c r="K300" s="33" t="n">
        <f>805.1</f>
        <v>805.1</v>
      </c>
      <c r="L300" s="34" t="s">
        <v>72</v>
      </c>
      <c r="M300" s="33" t="n">
        <f>818.5</f>
        <v>818.5</v>
      </c>
      <c r="N300" s="34" t="s">
        <v>64</v>
      </c>
      <c r="O300" s="33" t="n">
        <f>802.9</f>
        <v>802.9</v>
      </c>
      <c r="P300" s="34" t="s">
        <v>64</v>
      </c>
      <c r="Q300" s="33" t="n">
        <f>809.3</f>
        <v>809.3</v>
      </c>
      <c r="R300" s="34" t="s">
        <v>51</v>
      </c>
      <c r="S300" s="35" t="n">
        <f>805.27</f>
        <v>805.27</v>
      </c>
      <c r="T300" s="32" t="n">
        <f>8700</f>
        <v>8700.0</v>
      </c>
      <c r="U300" s="32" t="str">
        <f>"－"</f>
        <v>－</v>
      </c>
      <c r="V300" s="32" t="n">
        <f>7007038</f>
        <v>7007038.0</v>
      </c>
      <c r="W300" s="32" t="str">
        <f>"－"</f>
        <v>－</v>
      </c>
      <c r="X300" s="36" t="n">
        <f>3</f>
        <v>3.0</v>
      </c>
    </row>
    <row r="301">
      <c r="A301" s="27" t="s">
        <v>42</v>
      </c>
      <c r="B301" s="27" t="s">
        <v>956</v>
      </c>
      <c r="C301" s="27" t="s">
        <v>957</v>
      </c>
      <c r="D301" s="27" t="s">
        <v>958</v>
      </c>
      <c r="E301" s="28" t="s">
        <v>953</v>
      </c>
      <c r="F301" s="29" t="s">
        <v>954</v>
      </c>
      <c r="G301" s="30" t="s">
        <v>955</v>
      </c>
      <c r="H301" s="31"/>
      <c r="I301" s="31" t="s">
        <v>47</v>
      </c>
      <c r="J301" s="32" t="n">
        <v>10.0</v>
      </c>
      <c r="K301" s="33" t="n">
        <f>809</f>
        <v>809.0</v>
      </c>
      <c r="L301" s="34" t="s">
        <v>72</v>
      </c>
      <c r="M301" s="33" t="n">
        <f>817.8</f>
        <v>817.8</v>
      </c>
      <c r="N301" s="34" t="s">
        <v>72</v>
      </c>
      <c r="O301" s="33" t="n">
        <f>800</f>
        <v>800.0</v>
      </c>
      <c r="P301" s="34" t="s">
        <v>64</v>
      </c>
      <c r="Q301" s="33" t="n">
        <f>815</f>
        <v>815.0</v>
      </c>
      <c r="R301" s="34" t="s">
        <v>51</v>
      </c>
      <c r="S301" s="35" t="n">
        <f>808.33</f>
        <v>808.33</v>
      </c>
      <c r="T301" s="32" t="n">
        <f>125560</f>
        <v>125560.0</v>
      </c>
      <c r="U301" s="32" t="str">
        <f>"－"</f>
        <v>－</v>
      </c>
      <c r="V301" s="32" t="n">
        <f>101421069</f>
        <v>1.01421069E8</v>
      </c>
      <c r="W301" s="32" t="str">
        <f>"－"</f>
        <v>－</v>
      </c>
      <c r="X301" s="36" t="n">
        <f>3</f>
        <v>3.0</v>
      </c>
    </row>
    <row r="302">
      <c r="A302" s="27" t="s">
        <v>42</v>
      </c>
      <c r="B302" s="27" t="s">
        <v>959</v>
      </c>
      <c r="C302" s="27" t="s">
        <v>960</v>
      </c>
      <c r="D302" s="27" t="s">
        <v>961</v>
      </c>
      <c r="E302" s="28" t="s">
        <v>953</v>
      </c>
      <c r="F302" s="29" t="s">
        <v>954</v>
      </c>
      <c r="G302" s="30" t="s">
        <v>962</v>
      </c>
      <c r="H302" s="31"/>
      <c r="I302" s="31" t="s">
        <v>47</v>
      </c>
      <c r="J302" s="32" t="n">
        <v>1.0</v>
      </c>
      <c r="K302" s="33" t="n">
        <f>1003</f>
        <v>1003.0</v>
      </c>
      <c r="L302" s="34" t="s">
        <v>51</v>
      </c>
      <c r="M302" s="33" t="n">
        <f>1003</f>
        <v>1003.0</v>
      </c>
      <c r="N302" s="34" t="s">
        <v>51</v>
      </c>
      <c r="O302" s="33" t="n">
        <f>1000</f>
        <v>1000.0</v>
      </c>
      <c r="P302" s="34" t="s">
        <v>51</v>
      </c>
      <c r="Q302" s="33" t="n">
        <f>1002</f>
        <v>1002.0</v>
      </c>
      <c r="R302" s="34" t="s">
        <v>51</v>
      </c>
      <c r="S302" s="35" t="n">
        <f>1002</f>
        <v>1002.0</v>
      </c>
      <c r="T302" s="32" t="n">
        <f>5913</f>
        <v>5913.0</v>
      </c>
      <c r="U302" s="32" t="str">
        <f>"－"</f>
        <v>－</v>
      </c>
      <c r="V302" s="32" t="n">
        <f>5921730</f>
        <v>5921730.0</v>
      </c>
      <c r="W302" s="32" t="str">
        <f>"－"</f>
        <v>－</v>
      </c>
      <c r="X302" s="36" t="n">
        <f>1</f>
        <v>1.0</v>
      </c>
    </row>
    <row r="303">
      <c r="A303" s="27" t="s">
        <v>42</v>
      </c>
      <c r="B303" s="27" t="s">
        <v>963</v>
      </c>
      <c r="C303" s="27" t="s">
        <v>964</v>
      </c>
      <c r="D303" s="27" t="s">
        <v>965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124000</f>
        <v>124000.0</v>
      </c>
      <c r="L303" s="34" t="s">
        <v>48</v>
      </c>
      <c r="M303" s="33" t="n">
        <f>126100</f>
        <v>126100.0</v>
      </c>
      <c r="N303" s="34" t="s">
        <v>323</v>
      </c>
      <c r="O303" s="33" t="n">
        <f>117000</f>
        <v>117000.0</v>
      </c>
      <c r="P303" s="34" t="s">
        <v>64</v>
      </c>
      <c r="Q303" s="33" t="n">
        <f>119800</f>
        <v>119800.0</v>
      </c>
      <c r="R303" s="34" t="s">
        <v>51</v>
      </c>
      <c r="S303" s="35" t="n">
        <f>122595</f>
        <v>122595.0</v>
      </c>
      <c r="T303" s="32" t="n">
        <f>45332</f>
        <v>45332.0</v>
      </c>
      <c r="U303" s="32" t="n">
        <f>3221</f>
        <v>3221.0</v>
      </c>
      <c r="V303" s="32" t="n">
        <f>5531930430</f>
        <v>5.53193043E9</v>
      </c>
      <c r="W303" s="32" t="n">
        <f>393106330</f>
        <v>3.9310633E8</v>
      </c>
      <c r="X303" s="36" t="n">
        <f>20</f>
        <v>20.0</v>
      </c>
    </row>
    <row r="304">
      <c r="A304" s="27" t="s">
        <v>42</v>
      </c>
      <c r="B304" s="27" t="s">
        <v>966</v>
      </c>
      <c r="C304" s="27" t="s">
        <v>967</v>
      </c>
      <c r="D304" s="27" t="s">
        <v>968</v>
      </c>
      <c r="E304" s="28" t="s">
        <v>46</v>
      </c>
      <c r="F304" s="29" t="s">
        <v>46</v>
      </c>
      <c r="G304" s="30" t="s">
        <v>46</v>
      </c>
      <c r="H304" s="31"/>
      <c r="I304" s="31" t="s">
        <v>604</v>
      </c>
      <c r="J304" s="32" t="n">
        <v>1.0</v>
      </c>
      <c r="K304" s="33" t="n">
        <f>97400</f>
        <v>97400.0</v>
      </c>
      <c r="L304" s="34" t="s">
        <v>48</v>
      </c>
      <c r="M304" s="33" t="n">
        <f>100500</f>
        <v>100500.0</v>
      </c>
      <c r="N304" s="34" t="s">
        <v>51</v>
      </c>
      <c r="O304" s="33" t="n">
        <f>95100</f>
        <v>95100.0</v>
      </c>
      <c r="P304" s="34" t="s">
        <v>50</v>
      </c>
      <c r="Q304" s="33" t="n">
        <f>100400</f>
        <v>100400.0</v>
      </c>
      <c r="R304" s="34" t="s">
        <v>51</v>
      </c>
      <c r="S304" s="35" t="n">
        <f>97195</f>
        <v>97195.0</v>
      </c>
      <c r="T304" s="32" t="n">
        <f>45126</f>
        <v>45126.0</v>
      </c>
      <c r="U304" s="32" t="n">
        <f>7023</f>
        <v>7023.0</v>
      </c>
      <c r="V304" s="32" t="n">
        <f>4391616534</f>
        <v>4.391616534E9</v>
      </c>
      <c r="W304" s="32" t="n">
        <f>683888334</f>
        <v>6.83888334E8</v>
      </c>
      <c r="X304" s="36" t="n">
        <f>20</f>
        <v>20.0</v>
      </c>
    </row>
    <row r="305">
      <c r="A305" s="27" t="s">
        <v>42</v>
      </c>
      <c r="B305" s="27" t="s">
        <v>969</v>
      </c>
      <c r="C305" s="27" t="s">
        <v>970</v>
      </c>
      <c r="D305" s="27" t="s">
        <v>971</v>
      </c>
      <c r="E305" s="28" t="s">
        <v>46</v>
      </c>
      <c r="F305" s="29" t="s">
        <v>46</v>
      </c>
      <c r="G305" s="30" t="s">
        <v>46</v>
      </c>
      <c r="H305" s="31"/>
      <c r="I305" s="31" t="s">
        <v>604</v>
      </c>
      <c r="J305" s="32" t="n">
        <v>1.0</v>
      </c>
      <c r="K305" s="33" t="n">
        <f>144000</f>
        <v>144000.0</v>
      </c>
      <c r="L305" s="34" t="s">
        <v>48</v>
      </c>
      <c r="M305" s="33" t="n">
        <f>154700</f>
        <v>154700.0</v>
      </c>
      <c r="N305" s="34" t="s">
        <v>176</v>
      </c>
      <c r="O305" s="33" t="n">
        <f>142500</f>
        <v>142500.0</v>
      </c>
      <c r="P305" s="34" t="s">
        <v>48</v>
      </c>
      <c r="Q305" s="33" t="n">
        <f>153800</f>
        <v>153800.0</v>
      </c>
      <c r="R305" s="34" t="s">
        <v>51</v>
      </c>
      <c r="S305" s="35" t="n">
        <f>149925</f>
        <v>149925.0</v>
      </c>
      <c r="T305" s="32" t="n">
        <f>38448</f>
        <v>38448.0</v>
      </c>
      <c r="U305" s="32" t="n">
        <f>9182</f>
        <v>9182.0</v>
      </c>
      <c r="V305" s="32" t="n">
        <f>5780383318</f>
        <v>5.780383318E9</v>
      </c>
      <c r="W305" s="32" t="n">
        <f>1377958418</f>
        <v>1.377958418E9</v>
      </c>
      <c r="X305" s="36" t="n">
        <f>20</f>
        <v>20.0</v>
      </c>
    </row>
    <row r="306">
      <c r="A306" s="27" t="s">
        <v>42</v>
      </c>
      <c r="B306" s="27" t="s">
        <v>972</v>
      </c>
      <c r="C306" s="27" t="s">
        <v>973</v>
      </c>
      <c r="D306" s="27" t="s">
        <v>974</v>
      </c>
      <c r="E306" s="28" t="s">
        <v>46</v>
      </c>
      <c r="F306" s="29" t="s">
        <v>46</v>
      </c>
      <c r="G306" s="30" t="s">
        <v>46</v>
      </c>
      <c r="H306" s="31"/>
      <c r="I306" s="31" t="s">
        <v>604</v>
      </c>
      <c r="J306" s="32" t="n">
        <v>1.0</v>
      </c>
      <c r="K306" s="33" t="n">
        <f>117800</f>
        <v>117800.0</v>
      </c>
      <c r="L306" s="34" t="s">
        <v>48</v>
      </c>
      <c r="M306" s="33" t="n">
        <f>126600</f>
        <v>126600.0</v>
      </c>
      <c r="N306" s="34" t="s">
        <v>64</v>
      </c>
      <c r="O306" s="33" t="n">
        <f>116100</f>
        <v>116100.0</v>
      </c>
      <c r="P306" s="34" t="s">
        <v>50</v>
      </c>
      <c r="Q306" s="33" t="n">
        <f>125000</f>
        <v>125000.0</v>
      </c>
      <c r="R306" s="34" t="s">
        <v>51</v>
      </c>
      <c r="S306" s="35" t="n">
        <f>122320</f>
        <v>122320.0</v>
      </c>
      <c r="T306" s="32" t="n">
        <f>61969</f>
        <v>61969.0</v>
      </c>
      <c r="U306" s="32" t="n">
        <f>15576</f>
        <v>15576.0</v>
      </c>
      <c r="V306" s="32" t="n">
        <f>7658034510</f>
        <v>7.65803451E9</v>
      </c>
      <c r="W306" s="32" t="n">
        <f>1937691810</f>
        <v>1.93769181E9</v>
      </c>
      <c r="X306" s="36" t="n">
        <f>20</f>
        <v>20.0</v>
      </c>
    </row>
    <row r="307">
      <c r="A307" s="27" t="s">
        <v>42</v>
      </c>
      <c r="B307" s="27" t="s">
        <v>975</v>
      </c>
      <c r="C307" s="27" t="s">
        <v>976</v>
      </c>
      <c r="D307" s="27" t="s">
        <v>977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684000</f>
        <v>684000.0</v>
      </c>
      <c r="L307" s="34" t="s">
        <v>48</v>
      </c>
      <c r="M307" s="33" t="n">
        <f>696000</f>
        <v>696000.0</v>
      </c>
      <c r="N307" s="34" t="s">
        <v>51</v>
      </c>
      <c r="O307" s="33" t="n">
        <f>669000</f>
        <v>669000.0</v>
      </c>
      <c r="P307" s="34" t="s">
        <v>161</v>
      </c>
      <c r="Q307" s="33" t="n">
        <f>696000</f>
        <v>696000.0</v>
      </c>
      <c r="R307" s="34" t="s">
        <v>51</v>
      </c>
      <c r="S307" s="35" t="n">
        <f>683350</f>
        <v>683350.0</v>
      </c>
      <c r="T307" s="32" t="n">
        <f>32820</f>
        <v>32820.0</v>
      </c>
      <c r="U307" s="32" t="n">
        <f>5825</f>
        <v>5825.0</v>
      </c>
      <c r="V307" s="32" t="n">
        <f>22418010169</f>
        <v>2.2418010169E10</v>
      </c>
      <c r="W307" s="32" t="n">
        <f>3973699169</f>
        <v>3.973699169E9</v>
      </c>
      <c r="X307" s="36" t="n">
        <f>20</f>
        <v>20.0</v>
      </c>
    </row>
    <row r="308">
      <c r="A308" s="27" t="s">
        <v>42</v>
      </c>
      <c r="B308" s="27" t="s">
        <v>978</v>
      </c>
      <c r="C308" s="27" t="s">
        <v>979</v>
      </c>
      <c r="D308" s="27" t="s">
        <v>980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152300</f>
        <v>152300.0</v>
      </c>
      <c r="L308" s="34" t="s">
        <v>48</v>
      </c>
      <c r="M308" s="33" t="n">
        <f>156400</f>
        <v>156400.0</v>
      </c>
      <c r="N308" s="34" t="s">
        <v>49</v>
      </c>
      <c r="O308" s="33" t="n">
        <f>150000</f>
        <v>150000.0</v>
      </c>
      <c r="P308" s="34" t="s">
        <v>48</v>
      </c>
      <c r="Q308" s="33" t="n">
        <f>153000</f>
        <v>153000.0</v>
      </c>
      <c r="R308" s="34" t="s">
        <v>51</v>
      </c>
      <c r="S308" s="35" t="n">
        <f>152960</f>
        <v>152960.0</v>
      </c>
      <c r="T308" s="32" t="n">
        <f>89142</f>
        <v>89142.0</v>
      </c>
      <c r="U308" s="32" t="n">
        <f>14698</f>
        <v>14698.0</v>
      </c>
      <c r="V308" s="32" t="n">
        <f>13631000384</f>
        <v>1.3631000384E10</v>
      </c>
      <c r="W308" s="32" t="n">
        <f>2243495484</f>
        <v>2.243495484E9</v>
      </c>
      <c r="X308" s="36" t="n">
        <f>20</f>
        <v>20.0</v>
      </c>
    </row>
    <row r="309">
      <c r="A309" s="27" t="s">
        <v>42</v>
      </c>
      <c r="B309" s="27" t="s">
        <v>981</v>
      </c>
      <c r="C309" s="27" t="s">
        <v>982</v>
      </c>
      <c r="D309" s="27" t="s">
        <v>983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179700</f>
        <v>179700.0</v>
      </c>
      <c r="L309" s="34" t="s">
        <v>48</v>
      </c>
      <c r="M309" s="33" t="n">
        <f>188900</f>
        <v>188900.0</v>
      </c>
      <c r="N309" s="34" t="s">
        <v>72</v>
      </c>
      <c r="O309" s="33" t="n">
        <f>174800</f>
        <v>174800.0</v>
      </c>
      <c r="P309" s="34" t="s">
        <v>48</v>
      </c>
      <c r="Q309" s="33" t="n">
        <f>185100</f>
        <v>185100.0</v>
      </c>
      <c r="R309" s="34" t="s">
        <v>51</v>
      </c>
      <c r="S309" s="35" t="n">
        <f>182745</f>
        <v>182745.0</v>
      </c>
      <c r="T309" s="32" t="n">
        <f>199350</f>
        <v>199350.0</v>
      </c>
      <c r="U309" s="32" t="n">
        <f>48533</f>
        <v>48533.0</v>
      </c>
      <c r="V309" s="32" t="n">
        <f>36474911595</f>
        <v>3.6474911595E10</v>
      </c>
      <c r="W309" s="32" t="n">
        <f>8856951695</f>
        <v>8.856951695E9</v>
      </c>
      <c r="X309" s="36" t="n">
        <f>20</f>
        <v>20.0</v>
      </c>
    </row>
    <row r="310">
      <c r="A310" s="27" t="s">
        <v>42</v>
      </c>
      <c r="B310" s="27" t="s">
        <v>984</v>
      </c>
      <c r="C310" s="27" t="s">
        <v>985</v>
      </c>
      <c r="D310" s="27" t="s">
        <v>986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361500</f>
        <v>361500.0</v>
      </c>
      <c r="L310" s="34" t="s">
        <v>48</v>
      </c>
      <c r="M310" s="33" t="n">
        <f>371000</f>
        <v>371000.0</v>
      </c>
      <c r="N310" s="34" t="s">
        <v>49</v>
      </c>
      <c r="O310" s="33" t="n">
        <f>354500</f>
        <v>354500.0</v>
      </c>
      <c r="P310" s="34" t="s">
        <v>48</v>
      </c>
      <c r="Q310" s="33" t="n">
        <f>367000</f>
        <v>367000.0</v>
      </c>
      <c r="R310" s="34" t="s">
        <v>51</v>
      </c>
      <c r="S310" s="35" t="n">
        <f>363950</f>
        <v>363950.0</v>
      </c>
      <c r="T310" s="32" t="n">
        <f>76764</f>
        <v>76764.0</v>
      </c>
      <c r="U310" s="32" t="n">
        <f>16261</f>
        <v>16261.0</v>
      </c>
      <c r="V310" s="32" t="n">
        <f>27924375816</f>
        <v>2.7924375816E10</v>
      </c>
      <c r="W310" s="32" t="n">
        <f>5910569316</f>
        <v>5.910569316E9</v>
      </c>
      <c r="X310" s="36" t="n">
        <f>20</f>
        <v>20.0</v>
      </c>
    </row>
    <row r="311">
      <c r="A311" s="27" t="s">
        <v>42</v>
      </c>
      <c r="B311" s="27" t="s">
        <v>987</v>
      </c>
      <c r="C311" s="27" t="s">
        <v>988</v>
      </c>
      <c r="D311" s="27" t="s">
        <v>989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217200</f>
        <v>217200.0</v>
      </c>
      <c r="L311" s="34" t="s">
        <v>48</v>
      </c>
      <c r="M311" s="33" t="n">
        <f>225500</f>
        <v>225500.0</v>
      </c>
      <c r="N311" s="34" t="s">
        <v>72</v>
      </c>
      <c r="O311" s="33" t="n">
        <f>213200</f>
        <v>213200.0</v>
      </c>
      <c r="P311" s="34" t="s">
        <v>48</v>
      </c>
      <c r="Q311" s="33" t="n">
        <f>223700</f>
        <v>223700.0</v>
      </c>
      <c r="R311" s="34" t="s">
        <v>51</v>
      </c>
      <c r="S311" s="35" t="n">
        <f>220465</f>
        <v>220465.0</v>
      </c>
      <c r="T311" s="32" t="n">
        <f>69572</f>
        <v>69572.0</v>
      </c>
      <c r="U311" s="32" t="n">
        <f>10483</f>
        <v>10483.0</v>
      </c>
      <c r="V311" s="32" t="n">
        <f>15362747424</f>
        <v>1.5362747424E10</v>
      </c>
      <c r="W311" s="32" t="n">
        <f>2312015724</f>
        <v>2.312015724E9</v>
      </c>
      <c r="X311" s="36" t="n">
        <f>20</f>
        <v>20.0</v>
      </c>
    </row>
    <row r="312">
      <c r="A312" s="27" t="s">
        <v>42</v>
      </c>
      <c r="B312" s="27" t="s">
        <v>990</v>
      </c>
      <c r="C312" s="27" t="s">
        <v>991</v>
      </c>
      <c r="D312" s="27" t="s">
        <v>992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404500</f>
        <v>404500.0</v>
      </c>
      <c r="L312" s="34" t="s">
        <v>48</v>
      </c>
      <c r="M312" s="33" t="n">
        <f>419000</f>
        <v>419000.0</v>
      </c>
      <c r="N312" s="34" t="s">
        <v>51</v>
      </c>
      <c r="O312" s="33" t="n">
        <f>395500</f>
        <v>395500.0</v>
      </c>
      <c r="P312" s="34" t="s">
        <v>231</v>
      </c>
      <c r="Q312" s="33" t="n">
        <f>417500</f>
        <v>417500.0</v>
      </c>
      <c r="R312" s="34" t="s">
        <v>51</v>
      </c>
      <c r="S312" s="35" t="n">
        <f>405900</f>
        <v>405900.0</v>
      </c>
      <c r="T312" s="32" t="n">
        <f>42663</f>
        <v>42663.0</v>
      </c>
      <c r="U312" s="32" t="n">
        <f>10966</f>
        <v>10966.0</v>
      </c>
      <c r="V312" s="32" t="n">
        <f>17368158701</f>
        <v>1.7368158701E10</v>
      </c>
      <c r="W312" s="32" t="n">
        <f>4473570201</f>
        <v>4.473570201E9</v>
      </c>
      <c r="X312" s="36" t="n">
        <f>20</f>
        <v>20.0</v>
      </c>
    </row>
    <row r="313">
      <c r="A313" s="27" t="s">
        <v>42</v>
      </c>
      <c r="B313" s="27" t="s">
        <v>993</v>
      </c>
      <c r="C313" s="27" t="s">
        <v>994</v>
      </c>
      <c r="D313" s="27" t="s">
        <v>995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165700</f>
        <v>165700.0</v>
      </c>
      <c r="L313" s="34" t="s">
        <v>48</v>
      </c>
      <c r="M313" s="33" t="n">
        <f>177200</f>
        <v>177200.0</v>
      </c>
      <c r="N313" s="34" t="s">
        <v>51</v>
      </c>
      <c r="O313" s="33" t="n">
        <f>162200</f>
        <v>162200.0</v>
      </c>
      <c r="P313" s="34" t="s">
        <v>48</v>
      </c>
      <c r="Q313" s="33" t="n">
        <f>175100</f>
        <v>175100.0</v>
      </c>
      <c r="R313" s="34" t="s">
        <v>51</v>
      </c>
      <c r="S313" s="35" t="n">
        <f>168520</f>
        <v>168520.0</v>
      </c>
      <c r="T313" s="32" t="n">
        <f>409111</f>
        <v>409111.0</v>
      </c>
      <c r="U313" s="32" t="n">
        <f>123338</f>
        <v>123338.0</v>
      </c>
      <c r="V313" s="32" t="n">
        <f>69668143520</f>
        <v>6.966814352E10</v>
      </c>
      <c r="W313" s="32" t="n">
        <f>21120811920</f>
        <v>2.112081192E10</v>
      </c>
      <c r="X313" s="36" t="n">
        <f>20</f>
        <v>20.0</v>
      </c>
    </row>
    <row r="314">
      <c r="A314" s="27" t="s">
        <v>42</v>
      </c>
      <c r="B314" s="27" t="s">
        <v>996</v>
      </c>
      <c r="C314" s="27" t="s">
        <v>997</v>
      </c>
      <c r="D314" s="27" t="s">
        <v>998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334000</f>
        <v>334000.0</v>
      </c>
      <c r="L314" s="34" t="s">
        <v>48</v>
      </c>
      <c r="M314" s="33" t="n">
        <f>347000</f>
        <v>347000.0</v>
      </c>
      <c r="N314" s="34" t="s">
        <v>49</v>
      </c>
      <c r="O314" s="33" t="n">
        <f>328500</f>
        <v>328500.0</v>
      </c>
      <c r="P314" s="34" t="s">
        <v>48</v>
      </c>
      <c r="Q314" s="33" t="n">
        <f>336500</f>
        <v>336500.0</v>
      </c>
      <c r="R314" s="34" t="s">
        <v>51</v>
      </c>
      <c r="S314" s="35" t="n">
        <f>338200</f>
        <v>338200.0</v>
      </c>
      <c r="T314" s="32" t="n">
        <f>48427</f>
        <v>48427.0</v>
      </c>
      <c r="U314" s="32" t="n">
        <f>9861</f>
        <v>9861.0</v>
      </c>
      <c r="V314" s="32" t="n">
        <f>16376082171</f>
        <v>1.6376082171E10</v>
      </c>
      <c r="W314" s="32" t="n">
        <f>3333691671</f>
        <v>3.333691671E9</v>
      </c>
      <c r="X314" s="36" t="n">
        <f>20</f>
        <v>20.0</v>
      </c>
    </row>
    <row r="315">
      <c r="A315" s="27" t="s">
        <v>42</v>
      </c>
      <c r="B315" s="27" t="s">
        <v>999</v>
      </c>
      <c r="C315" s="27" t="s">
        <v>1000</v>
      </c>
      <c r="D315" s="27" t="s">
        <v>1001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333500</f>
        <v>333500.0</v>
      </c>
      <c r="L315" s="34" t="s">
        <v>48</v>
      </c>
      <c r="M315" s="33" t="n">
        <f>349000</f>
        <v>349000.0</v>
      </c>
      <c r="N315" s="34" t="s">
        <v>50</v>
      </c>
      <c r="O315" s="33" t="n">
        <f>328500</f>
        <v>328500.0</v>
      </c>
      <c r="P315" s="34" t="s">
        <v>48</v>
      </c>
      <c r="Q315" s="33" t="n">
        <f>346000</f>
        <v>346000.0</v>
      </c>
      <c r="R315" s="34" t="s">
        <v>51</v>
      </c>
      <c r="S315" s="35" t="n">
        <f>341650</f>
        <v>341650.0</v>
      </c>
      <c r="T315" s="32" t="n">
        <f>119270</f>
        <v>119270.0</v>
      </c>
      <c r="U315" s="32" t="n">
        <f>25264</f>
        <v>25264.0</v>
      </c>
      <c r="V315" s="32" t="n">
        <f>40731665195</f>
        <v>4.0731665195E10</v>
      </c>
      <c r="W315" s="32" t="n">
        <f>8619330695</f>
        <v>8.619330695E9</v>
      </c>
      <c r="X315" s="36" t="n">
        <f>20</f>
        <v>20.0</v>
      </c>
    </row>
    <row r="316">
      <c r="A316" s="27" t="s">
        <v>42</v>
      </c>
      <c r="B316" s="27" t="s">
        <v>1002</v>
      </c>
      <c r="C316" s="27" t="s">
        <v>1003</v>
      </c>
      <c r="D316" s="27" t="s">
        <v>1004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649000</f>
        <v>649000.0</v>
      </c>
      <c r="L316" s="34" t="s">
        <v>48</v>
      </c>
      <c r="M316" s="33" t="n">
        <f>654000</f>
        <v>654000.0</v>
      </c>
      <c r="N316" s="34" t="s">
        <v>51</v>
      </c>
      <c r="O316" s="33" t="n">
        <f>619000</f>
        <v>619000.0</v>
      </c>
      <c r="P316" s="34" t="s">
        <v>50</v>
      </c>
      <c r="Q316" s="33" t="n">
        <f>652000</f>
        <v>652000.0</v>
      </c>
      <c r="R316" s="34" t="s">
        <v>51</v>
      </c>
      <c r="S316" s="35" t="n">
        <f>632700</f>
        <v>632700.0</v>
      </c>
      <c r="T316" s="32" t="n">
        <f>20719</f>
        <v>20719.0</v>
      </c>
      <c r="U316" s="32" t="n">
        <f>3893</f>
        <v>3893.0</v>
      </c>
      <c r="V316" s="32" t="n">
        <f>13120725148</f>
        <v>1.3120725148E10</v>
      </c>
      <c r="W316" s="32" t="n">
        <f>2467283148</f>
        <v>2.467283148E9</v>
      </c>
      <c r="X316" s="36" t="n">
        <f>20</f>
        <v>20.0</v>
      </c>
    </row>
    <row r="317">
      <c r="A317" s="27" t="s">
        <v>42</v>
      </c>
      <c r="B317" s="27" t="s">
        <v>1005</v>
      </c>
      <c r="C317" s="27" t="s">
        <v>1006</v>
      </c>
      <c r="D317" s="27" t="s">
        <v>1007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268000</f>
        <v>268000.0</v>
      </c>
      <c r="L317" s="34" t="s">
        <v>48</v>
      </c>
      <c r="M317" s="33" t="n">
        <f>277400</f>
        <v>277400.0</v>
      </c>
      <c r="N317" s="34" t="s">
        <v>51</v>
      </c>
      <c r="O317" s="33" t="n">
        <f>260500</f>
        <v>260500.0</v>
      </c>
      <c r="P317" s="34" t="s">
        <v>170</v>
      </c>
      <c r="Q317" s="33" t="n">
        <f>276800</f>
        <v>276800.0</v>
      </c>
      <c r="R317" s="34" t="s">
        <v>51</v>
      </c>
      <c r="S317" s="35" t="n">
        <f>268615</f>
        <v>268615.0</v>
      </c>
      <c r="T317" s="32" t="n">
        <f>20310</f>
        <v>20310.0</v>
      </c>
      <c r="U317" s="32" t="n">
        <f>4612</f>
        <v>4612.0</v>
      </c>
      <c r="V317" s="32" t="n">
        <f>5453150050</f>
        <v>5.45315005E9</v>
      </c>
      <c r="W317" s="32" t="n">
        <f>1236609950</f>
        <v>1.23660995E9</v>
      </c>
      <c r="X317" s="36" t="n">
        <f>20</f>
        <v>20.0</v>
      </c>
    </row>
    <row r="318">
      <c r="A318" s="27" t="s">
        <v>42</v>
      </c>
      <c r="B318" s="27" t="s">
        <v>1008</v>
      </c>
      <c r="C318" s="27" t="s">
        <v>1009</v>
      </c>
      <c r="D318" s="27" t="s">
        <v>1010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153500</f>
        <v>153500.0</v>
      </c>
      <c r="L318" s="34" t="s">
        <v>48</v>
      </c>
      <c r="M318" s="33" t="n">
        <f>156100</f>
        <v>156100.0</v>
      </c>
      <c r="N318" s="34" t="s">
        <v>51</v>
      </c>
      <c r="O318" s="33" t="n">
        <f>149800</f>
        <v>149800.0</v>
      </c>
      <c r="P318" s="34" t="s">
        <v>231</v>
      </c>
      <c r="Q318" s="33" t="n">
        <f>156100</f>
        <v>156100.0</v>
      </c>
      <c r="R318" s="34" t="s">
        <v>51</v>
      </c>
      <c r="S318" s="35" t="n">
        <f>153455</f>
        <v>153455.0</v>
      </c>
      <c r="T318" s="32" t="n">
        <f>200125</f>
        <v>200125.0</v>
      </c>
      <c r="U318" s="32" t="n">
        <f>52942</f>
        <v>52942.0</v>
      </c>
      <c r="V318" s="32" t="n">
        <f>30657244972</f>
        <v>3.0657244972E10</v>
      </c>
      <c r="W318" s="32" t="n">
        <f>8095114372</f>
        <v>8.095114372E9</v>
      </c>
      <c r="X318" s="36" t="n">
        <f>20</f>
        <v>20.0</v>
      </c>
    </row>
    <row r="319">
      <c r="A319" s="27" t="s">
        <v>42</v>
      </c>
      <c r="B319" s="27" t="s">
        <v>1011</v>
      </c>
      <c r="C319" s="27" t="s">
        <v>1012</v>
      </c>
      <c r="D319" s="27" t="s">
        <v>1013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160000</f>
        <v>160000.0</v>
      </c>
      <c r="L319" s="34" t="s">
        <v>48</v>
      </c>
      <c r="M319" s="33" t="n">
        <f>167100</f>
        <v>167100.0</v>
      </c>
      <c r="N319" s="34" t="s">
        <v>51</v>
      </c>
      <c r="O319" s="33" t="n">
        <f>156800</f>
        <v>156800.0</v>
      </c>
      <c r="P319" s="34" t="s">
        <v>170</v>
      </c>
      <c r="Q319" s="33" t="n">
        <f>166700</f>
        <v>166700.0</v>
      </c>
      <c r="R319" s="34" t="s">
        <v>51</v>
      </c>
      <c r="S319" s="35" t="n">
        <f>160350</f>
        <v>160350.0</v>
      </c>
      <c r="T319" s="32" t="n">
        <f>70488</f>
        <v>70488.0</v>
      </c>
      <c r="U319" s="32" t="n">
        <f>19088</f>
        <v>19088.0</v>
      </c>
      <c r="V319" s="32" t="n">
        <f>11302476112</f>
        <v>1.1302476112E10</v>
      </c>
      <c r="W319" s="32" t="n">
        <f>3053910812</f>
        <v>3.053910812E9</v>
      </c>
      <c r="X319" s="36" t="n">
        <f>20</f>
        <v>20.0</v>
      </c>
    </row>
    <row r="320">
      <c r="A320" s="27" t="s">
        <v>42</v>
      </c>
      <c r="B320" s="27" t="s">
        <v>1014</v>
      </c>
      <c r="C320" s="27" t="s">
        <v>1015</v>
      </c>
      <c r="D320" s="27" t="s">
        <v>1016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365000</f>
        <v>365000.0</v>
      </c>
      <c r="L320" s="34" t="s">
        <v>48</v>
      </c>
      <c r="M320" s="33" t="n">
        <f>375500</f>
        <v>375500.0</v>
      </c>
      <c r="N320" s="34" t="s">
        <v>51</v>
      </c>
      <c r="O320" s="33" t="n">
        <f>354000</f>
        <v>354000.0</v>
      </c>
      <c r="P320" s="34" t="s">
        <v>48</v>
      </c>
      <c r="Q320" s="33" t="n">
        <f>375000</f>
        <v>375000.0</v>
      </c>
      <c r="R320" s="34" t="s">
        <v>51</v>
      </c>
      <c r="S320" s="35" t="n">
        <f>362450</f>
        <v>362450.0</v>
      </c>
      <c r="T320" s="32" t="n">
        <f>40127</f>
        <v>40127.0</v>
      </c>
      <c r="U320" s="32" t="n">
        <f>10573</f>
        <v>10573.0</v>
      </c>
      <c r="V320" s="32" t="n">
        <f>14616329856</f>
        <v>1.4616329856E10</v>
      </c>
      <c r="W320" s="32" t="n">
        <f>3862546856</f>
        <v>3.862546856E9</v>
      </c>
      <c r="X320" s="36" t="n">
        <f>20</f>
        <v>20.0</v>
      </c>
    </row>
    <row r="321">
      <c r="A321" s="27" t="s">
        <v>42</v>
      </c>
      <c r="B321" s="27" t="s">
        <v>1017</v>
      </c>
      <c r="C321" s="27" t="s">
        <v>1018</v>
      </c>
      <c r="D321" s="27" t="s">
        <v>1019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80400</f>
        <v>80400.0</v>
      </c>
      <c r="L321" s="34" t="s">
        <v>48</v>
      </c>
      <c r="M321" s="33" t="n">
        <f>83500</f>
        <v>83500.0</v>
      </c>
      <c r="N321" s="34" t="s">
        <v>51</v>
      </c>
      <c r="O321" s="33" t="n">
        <f>78000</f>
        <v>78000.0</v>
      </c>
      <c r="P321" s="34" t="s">
        <v>231</v>
      </c>
      <c r="Q321" s="33" t="n">
        <f>83400</f>
        <v>83400.0</v>
      </c>
      <c r="R321" s="34" t="s">
        <v>51</v>
      </c>
      <c r="S321" s="35" t="n">
        <f>80165</f>
        <v>80165.0</v>
      </c>
      <c r="T321" s="32" t="n">
        <f>284069</f>
        <v>284069.0</v>
      </c>
      <c r="U321" s="32" t="n">
        <f>63244</f>
        <v>63244.0</v>
      </c>
      <c r="V321" s="32" t="n">
        <f>22797711550</f>
        <v>2.279771155E10</v>
      </c>
      <c r="W321" s="32" t="n">
        <f>5081126950</f>
        <v>5.08112695E9</v>
      </c>
      <c r="X321" s="36" t="n">
        <f>20</f>
        <v>20.0</v>
      </c>
    </row>
    <row r="322">
      <c r="A322" s="27" t="s">
        <v>42</v>
      </c>
      <c r="B322" s="27" t="s">
        <v>1020</v>
      </c>
      <c r="C322" s="27" t="s">
        <v>1021</v>
      </c>
      <c r="D322" s="27" t="s">
        <v>1022</v>
      </c>
      <c r="E322" s="28" t="s">
        <v>46</v>
      </c>
      <c r="F322" s="29" t="s">
        <v>46</v>
      </c>
      <c r="G322" s="30" t="s">
        <v>46</v>
      </c>
      <c r="H322" s="31"/>
      <c r="I322" s="31" t="s">
        <v>604</v>
      </c>
      <c r="J322" s="32" t="n">
        <v>1.0</v>
      </c>
      <c r="K322" s="33" t="n">
        <f>135300</f>
        <v>135300.0</v>
      </c>
      <c r="L322" s="34" t="s">
        <v>48</v>
      </c>
      <c r="M322" s="33" t="n">
        <f>138600</f>
        <v>138600.0</v>
      </c>
      <c r="N322" s="34" t="s">
        <v>51</v>
      </c>
      <c r="O322" s="33" t="n">
        <f>132000</f>
        <v>132000.0</v>
      </c>
      <c r="P322" s="34" t="s">
        <v>48</v>
      </c>
      <c r="Q322" s="33" t="n">
        <f>138600</f>
        <v>138600.0</v>
      </c>
      <c r="R322" s="34" t="s">
        <v>51</v>
      </c>
      <c r="S322" s="35" t="n">
        <f>134930</f>
        <v>134930.0</v>
      </c>
      <c r="T322" s="32" t="n">
        <f>31156</f>
        <v>31156.0</v>
      </c>
      <c r="U322" s="32" t="n">
        <f>6235</f>
        <v>6235.0</v>
      </c>
      <c r="V322" s="32" t="n">
        <f>4221206810</f>
        <v>4.22120681E9</v>
      </c>
      <c r="W322" s="32" t="n">
        <f>848477410</f>
        <v>8.4847741E8</v>
      </c>
      <c r="X322" s="36" t="n">
        <f>20</f>
        <v>20.0</v>
      </c>
    </row>
    <row r="323">
      <c r="A323" s="27" t="s">
        <v>42</v>
      </c>
      <c r="B323" s="27" t="s">
        <v>1023</v>
      </c>
      <c r="C323" s="27" t="s">
        <v>1024</v>
      </c>
      <c r="D323" s="27" t="s">
        <v>1025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276300</f>
        <v>276300.0</v>
      </c>
      <c r="L323" s="34" t="s">
        <v>48</v>
      </c>
      <c r="M323" s="33" t="n">
        <f>285600</f>
        <v>285600.0</v>
      </c>
      <c r="N323" s="34" t="s">
        <v>51</v>
      </c>
      <c r="O323" s="33" t="n">
        <f>269300</f>
        <v>269300.0</v>
      </c>
      <c r="P323" s="34" t="s">
        <v>48</v>
      </c>
      <c r="Q323" s="33" t="n">
        <f>285400</f>
        <v>285400.0</v>
      </c>
      <c r="R323" s="34" t="s">
        <v>51</v>
      </c>
      <c r="S323" s="35" t="n">
        <f>278555</f>
        <v>278555.0</v>
      </c>
      <c r="T323" s="32" t="n">
        <f>57863</f>
        <v>57863.0</v>
      </c>
      <c r="U323" s="32" t="n">
        <f>14237</f>
        <v>14237.0</v>
      </c>
      <c r="V323" s="32" t="n">
        <f>16213199739</f>
        <v>1.6213199739E10</v>
      </c>
      <c r="W323" s="32" t="n">
        <f>4002488439</f>
        <v>4.002488439E9</v>
      </c>
      <c r="X323" s="36" t="n">
        <f>20</f>
        <v>20.0</v>
      </c>
    </row>
    <row r="324">
      <c r="A324" s="27" t="s">
        <v>42</v>
      </c>
      <c r="B324" s="27" t="s">
        <v>1026</v>
      </c>
      <c r="C324" s="27" t="s">
        <v>1027</v>
      </c>
      <c r="D324" s="27" t="s">
        <v>1028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164500</f>
        <v>164500.0</v>
      </c>
      <c r="L324" s="34" t="s">
        <v>48</v>
      </c>
      <c r="M324" s="33" t="n">
        <f>177800</f>
        <v>177800.0</v>
      </c>
      <c r="N324" s="34" t="s">
        <v>72</v>
      </c>
      <c r="O324" s="33" t="n">
        <f>161600</f>
        <v>161600.0</v>
      </c>
      <c r="P324" s="34" t="s">
        <v>48</v>
      </c>
      <c r="Q324" s="33" t="n">
        <f>173400</f>
        <v>173400.0</v>
      </c>
      <c r="R324" s="34" t="s">
        <v>51</v>
      </c>
      <c r="S324" s="35" t="n">
        <f>169615</f>
        <v>169615.0</v>
      </c>
      <c r="T324" s="32" t="n">
        <f>29860</f>
        <v>29860.0</v>
      </c>
      <c r="U324" s="32" t="n">
        <f>4053</f>
        <v>4053.0</v>
      </c>
      <c r="V324" s="32" t="n">
        <f>5106806690</f>
        <v>5.10680669E9</v>
      </c>
      <c r="W324" s="32" t="n">
        <f>687023090</f>
        <v>6.8702309E8</v>
      </c>
      <c r="X324" s="36" t="n">
        <f>20</f>
        <v>20.0</v>
      </c>
    </row>
    <row r="325">
      <c r="A325" s="27" t="s">
        <v>42</v>
      </c>
      <c r="B325" s="27" t="s">
        <v>1029</v>
      </c>
      <c r="C325" s="27" t="s">
        <v>1030</v>
      </c>
      <c r="D325" s="27" t="s">
        <v>1031</v>
      </c>
      <c r="E325" s="28" t="s">
        <v>46</v>
      </c>
      <c r="F325" s="29" t="s">
        <v>46</v>
      </c>
      <c r="G325" s="30" t="s">
        <v>46</v>
      </c>
      <c r="H325" s="31"/>
      <c r="I325" s="31" t="s">
        <v>604</v>
      </c>
      <c r="J325" s="32" t="n">
        <v>1.0</v>
      </c>
      <c r="K325" s="33" t="n">
        <f>135700</f>
        <v>135700.0</v>
      </c>
      <c r="L325" s="34" t="s">
        <v>48</v>
      </c>
      <c r="M325" s="33" t="n">
        <f>136700</f>
        <v>136700.0</v>
      </c>
      <c r="N325" s="34" t="s">
        <v>175</v>
      </c>
      <c r="O325" s="33" t="n">
        <f>124600</f>
        <v>124600.0</v>
      </c>
      <c r="P325" s="34" t="s">
        <v>64</v>
      </c>
      <c r="Q325" s="33" t="n">
        <f>127000</f>
        <v>127000.0</v>
      </c>
      <c r="R325" s="34" t="s">
        <v>51</v>
      </c>
      <c r="S325" s="35" t="n">
        <f>131090</f>
        <v>131090.0</v>
      </c>
      <c r="T325" s="32" t="n">
        <f>78084</f>
        <v>78084.0</v>
      </c>
      <c r="U325" s="32" t="n">
        <f>13714</f>
        <v>13714.0</v>
      </c>
      <c r="V325" s="32" t="n">
        <f>10140490693</f>
        <v>1.0140490693E10</v>
      </c>
      <c r="W325" s="32" t="n">
        <f>1767686293</f>
        <v>1.767686293E9</v>
      </c>
      <c r="X325" s="36" t="n">
        <f>20</f>
        <v>20.0</v>
      </c>
    </row>
    <row r="326">
      <c r="A326" s="27" t="s">
        <v>42</v>
      </c>
      <c r="B326" s="27" t="s">
        <v>1032</v>
      </c>
      <c r="C326" s="27" t="s">
        <v>1033</v>
      </c>
      <c r="D326" s="27" t="s">
        <v>1034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170300</f>
        <v>170300.0</v>
      </c>
      <c r="L326" s="34" t="s">
        <v>48</v>
      </c>
      <c r="M326" s="33" t="n">
        <f>170500</f>
        <v>170500.0</v>
      </c>
      <c r="N326" s="34" t="s">
        <v>262</v>
      </c>
      <c r="O326" s="33" t="n">
        <f>162800</f>
        <v>162800.0</v>
      </c>
      <c r="P326" s="34" t="s">
        <v>100</v>
      </c>
      <c r="Q326" s="33" t="n">
        <f>166700</f>
        <v>166700.0</v>
      </c>
      <c r="R326" s="34" t="s">
        <v>51</v>
      </c>
      <c r="S326" s="35" t="n">
        <f>166210</f>
        <v>166210.0</v>
      </c>
      <c r="T326" s="32" t="n">
        <f>236350</f>
        <v>236350.0</v>
      </c>
      <c r="U326" s="32" t="n">
        <f>54812</f>
        <v>54812.0</v>
      </c>
      <c r="V326" s="32" t="n">
        <f>39249170125</f>
        <v>3.9249170125E10</v>
      </c>
      <c r="W326" s="32" t="n">
        <f>9112676425</f>
        <v>9.112676425E9</v>
      </c>
      <c r="X326" s="36" t="n">
        <f>20</f>
        <v>20.0</v>
      </c>
    </row>
    <row r="327">
      <c r="A327" s="27" t="s">
        <v>42</v>
      </c>
      <c r="B327" s="27" t="s">
        <v>1035</v>
      </c>
      <c r="C327" s="27" t="s">
        <v>1036</v>
      </c>
      <c r="D327" s="27" t="s">
        <v>1037</v>
      </c>
      <c r="E327" s="28" t="s">
        <v>46</v>
      </c>
      <c r="F327" s="29" t="s">
        <v>46</v>
      </c>
      <c r="G327" s="30" t="s">
        <v>46</v>
      </c>
      <c r="H327" s="31"/>
      <c r="I327" s="31" t="s">
        <v>604</v>
      </c>
      <c r="J327" s="32" t="n">
        <v>1.0</v>
      </c>
      <c r="K327" s="33" t="n">
        <f>94500</f>
        <v>94500.0</v>
      </c>
      <c r="L327" s="34" t="s">
        <v>48</v>
      </c>
      <c r="M327" s="33" t="n">
        <f>94500</f>
        <v>94500.0</v>
      </c>
      <c r="N327" s="34" t="s">
        <v>48</v>
      </c>
      <c r="O327" s="33" t="n">
        <f>88800</f>
        <v>88800.0</v>
      </c>
      <c r="P327" s="34" t="s">
        <v>231</v>
      </c>
      <c r="Q327" s="33" t="n">
        <f>93900</f>
        <v>93900.0</v>
      </c>
      <c r="R327" s="34" t="s">
        <v>51</v>
      </c>
      <c r="S327" s="35" t="n">
        <f>91295</f>
        <v>91295.0</v>
      </c>
      <c r="T327" s="32" t="n">
        <f>20014</f>
        <v>20014.0</v>
      </c>
      <c r="U327" s="32" t="n">
        <f>2112</f>
        <v>2112.0</v>
      </c>
      <c r="V327" s="32" t="n">
        <f>1826400023</f>
        <v>1.826400023E9</v>
      </c>
      <c r="W327" s="32" t="n">
        <f>192859123</f>
        <v>1.92859123E8</v>
      </c>
      <c r="X327" s="36" t="n">
        <f>20</f>
        <v>20.0</v>
      </c>
    </row>
    <row r="328">
      <c r="A328" s="27" t="s">
        <v>42</v>
      </c>
      <c r="B328" s="27" t="s">
        <v>1038</v>
      </c>
      <c r="C328" s="27" t="s">
        <v>1039</v>
      </c>
      <c r="D328" s="27" t="s">
        <v>1040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166600</f>
        <v>166600.0</v>
      </c>
      <c r="L328" s="34" t="s">
        <v>48</v>
      </c>
      <c r="M328" s="33" t="n">
        <f>177500</f>
        <v>177500.0</v>
      </c>
      <c r="N328" s="34" t="s">
        <v>176</v>
      </c>
      <c r="O328" s="33" t="n">
        <f>162800</f>
        <v>162800.0</v>
      </c>
      <c r="P328" s="34" t="s">
        <v>48</v>
      </c>
      <c r="Q328" s="33" t="n">
        <f>175600</f>
        <v>175600.0</v>
      </c>
      <c r="R328" s="34" t="s">
        <v>51</v>
      </c>
      <c r="S328" s="35" t="n">
        <f>172075</f>
        <v>172075.0</v>
      </c>
      <c r="T328" s="32" t="n">
        <f>99850</f>
        <v>99850.0</v>
      </c>
      <c r="U328" s="32" t="n">
        <f>23289</f>
        <v>23289.0</v>
      </c>
      <c r="V328" s="32" t="n">
        <f>17182012043</f>
        <v>1.7182012043E10</v>
      </c>
      <c r="W328" s="32" t="n">
        <f>4012199943</f>
        <v>4.012199943E9</v>
      </c>
      <c r="X328" s="36" t="n">
        <f>20</f>
        <v>20.0</v>
      </c>
    </row>
    <row r="329">
      <c r="A329" s="27" t="s">
        <v>42</v>
      </c>
      <c r="B329" s="27" t="s">
        <v>1041</v>
      </c>
      <c r="C329" s="27" t="s">
        <v>1042</v>
      </c>
      <c r="D329" s="27" t="s">
        <v>1043</v>
      </c>
      <c r="E329" s="28" t="s">
        <v>46</v>
      </c>
      <c r="F329" s="29" t="s">
        <v>46</v>
      </c>
      <c r="G329" s="30" t="s">
        <v>46</v>
      </c>
      <c r="H329" s="31"/>
      <c r="I329" s="31" t="s">
        <v>604</v>
      </c>
      <c r="J329" s="32" t="n">
        <v>1.0</v>
      </c>
      <c r="K329" s="33" t="n">
        <f>61800</f>
        <v>61800.0</v>
      </c>
      <c r="L329" s="34" t="s">
        <v>48</v>
      </c>
      <c r="M329" s="33" t="n">
        <f>61800</f>
        <v>61800.0</v>
      </c>
      <c r="N329" s="34" t="s">
        <v>48</v>
      </c>
      <c r="O329" s="33" t="n">
        <f>57900</f>
        <v>57900.0</v>
      </c>
      <c r="P329" s="34" t="s">
        <v>64</v>
      </c>
      <c r="Q329" s="33" t="n">
        <f>59500</f>
        <v>59500.0</v>
      </c>
      <c r="R329" s="34" t="s">
        <v>51</v>
      </c>
      <c r="S329" s="35" t="n">
        <f>59640</f>
        <v>59640.0</v>
      </c>
      <c r="T329" s="32" t="n">
        <f>221024</f>
        <v>221024.0</v>
      </c>
      <c r="U329" s="32" t="n">
        <f>67992</f>
        <v>67992.0</v>
      </c>
      <c r="V329" s="32" t="n">
        <f>13071593930</f>
        <v>1.307159393E10</v>
      </c>
      <c r="W329" s="32" t="n">
        <f>3991371830</f>
        <v>3.99137183E9</v>
      </c>
      <c r="X329" s="36" t="n">
        <f>20</f>
        <v>20.0</v>
      </c>
    </row>
    <row r="330">
      <c r="A330" s="27" t="s">
        <v>42</v>
      </c>
      <c r="B330" s="27" t="s">
        <v>1044</v>
      </c>
      <c r="C330" s="27" t="s">
        <v>1045</v>
      </c>
      <c r="D330" s="27" t="s">
        <v>1046</v>
      </c>
      <c r="E330" s="28" t="s">
        <v>46</v>
      </c>
      <c r="F330" s="29" t="s">
        <v>46</v>
      </c>
      <c r="G330" s="30" t="s">
        <v>46</v>
      </c>
      <c r="H330" s="31"/>
      <c r="I330" s="31" t="s">
        <v>604</v>
      </c>
      <c r="J330" s="32" t="n">
        <v>1.0</v>
      </c>
      <c r="K330" s="33" t="n">
        <f>134100</f>
        <v>134100.0</v>
      </c>
      <c r="L330" s="34" t="s">
        <v>48</v>
      </c>
      <c r="M330" s="33" t="n">
        <f>135400</f>
        <v>135400.0</v>
      </c>
      <c r="N330" s="34" t="s">
        <v>64</v>
      </c>
      <c r="O330" s="33" t="n">
        <f>130000</f>
        <v>130000.0</v>
      </c>
      <c r="P330" s="34" t="s">
        <v>50</v>
      </c>
      <c r="Q330" s="33" t="n">
        <f>135000</f>
        <v>135000.0</v>
      </c>
      <c r="R330" s="34" t="s">
        <v>51</v>
      </c>
      <c r="S330" s="35" t="n">
        <f>132950</f>
        <v>132950.0</v>
      </c>
      <c r="T330" s="32" t="n">
        <f>17581</f>
        <v>17581.0</v>
      </c>
      <c r="U330" s="32" t="n">
        <f>3190</f>
        <v>3190.0</v>
      </c>
      <c r="V330" s="32" t="n">
        <f>2343448048</f>
        <v>2.343448048E9</v>
      </c>
      <c r="W330" s="32" t="n">
        <f>426787548</f>
        <v>4.26787548E8</v>
      </c>
      <c r="X330" s="36" t="n">
        <f>20</f>
        <v>20.0</v>
      </c>
    </row>
    <row r="331">
      <c r="A331" s="27" t="s">
        <v>42</v>
      </c>
      <c r="B331" s="27" t="s">
        <v>1047</v>
      </c>
      <c r="C331" s="27" t="s">
        <v>1048</v>
      </c>
      <c r="D331" s="27" t="s">
        <v>1049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512000</f>
        <v>512000.0</v>
      </c>
      <c r="L331" s="34" t="s">
        <v>48</v>
      </c>
      <c r="M331" s="33" t="n">
        <f>537000</f>
        <v>537000.0</v>
      </c>
      <c r="N331" s="34" t="s">
        <v>49</v>
      </c>
      <c r="O331" s="33" t="n">
        <f>502000</f>
        <v>502000.0</v>
      </c>
      <c r="P331" s="34" t="s">
        <v>48</v>
      </c>
      <c r="Q331" s="33" t="n">
        <f>523000</f>
        <v>523000.0</v>
      </c>
      <c r="R331" s="34" t="s">
        <v>51</v>
      </c>
      <c r="S331" s="35" t="n">
        <f>521250</f>
        <v>521250.0</v>
      </c>
      <c r="T331" s="32" t="n">
        <f>55119</f>
        <v>55119.0</v>
      </c>
      <c r="U331" s="32" t="n">
        <f>10918</f>
        <v>10918.0</v>
      </c>
      <c r="V331" s="32" t="n">
        <f>28705472541</f>
        <v>2.8705472541E10</v>
      </c>
      <c r="W331" s="32" t="n">
        <f>5682510541</f>
        <v>5.682510541E9</v>
      </c>
      <c r="X331" s="36" t="n">
        <f>20</f>
        <v>20.0</v>
      </c>
    </row>
    <row r="332">
      <c r="A332" s="27" t="s">
        <v>42</v>
      </c>
      <c r="B332" s="27" t="s">
        <v>1050</v>
      </c>
      <c r="C332" s="27" t="s">
        <v>1051</v>
      </c>
      <c r="D332" s="27" t="s">
        <v>1052</v>
      </c>
      <c r="E332" s="28" t="s">
        <v>46</v>
      </c>
      <c r="F332" s="29" t="s">
        <v>46</v>
      </c>
      <c r="G332" s="30" t="s">
        <v>46</v>
      </c>
      <c r="H332" s="31"/>
      <c r="I332" s="31" t="s">
        <v>604</v>
      </c>
      <c r="J332" s="32" t="n">
        <v>1.0</v>
      </c>
      <c r="K332" s="33" t="n">
        <f>70600</f>
        <v>70600.0</v>
      </c>
      <c r="L332" s="34" t="s">
        <v>48</v>
      </c>
      <c r="M332" s="33" t="n">
        <f>70600</f>
        <v>70600.0</v>
      </c>
      <c r="N332" s="34" t="s">
        <v>48</v>
      </c>
      <c r="O332" s="33" t="n">
        <f>66800</f>
        <v>66800.0</v>
      </c>
      <c r="P332" s="34" t="s">
        <v>175</v>
      </c>
      <c r="Q332" s="33" t="n">
        <f>68400</f>
        <v>68400.0</v>
      </c>
      <c r="R332" s="34" t="s">
        <v>51</v>
      </c>
      <c r="S332" s="35" t="n">
        <f>68175</f>
        <v>68175.0</v>
      </c>
      <c r="T332" s="32" t="n">
        <f>9657</f>
        <v>9657.0</v>
      </c>
      <c r="U332" s="32" t="n">
        <f>1287</f>
        <v>1287.0</v>
      </c>
      <c r="V332" s="32" t="n">
        <f>658485740</f>
        <v>6.5848574E8</v>
      </c>
      <c r="W332" s="32" t="n">
        <f>88034340</f>
        <v>8.803434E7</v>
      </c>
      <c r="X332" s="36" t="n">
        <f>20</f>
        <v>20.0</v>
      </c>
    </row>
    <row r="333">
      <c r="A333" s="27" t="s">
        <v>42</v>
      </c>
      <c r="B333" s="27" t="s">
        <v>1053</v>
      </c>
      <c r="C333" s="27" t="s">
        <v>1054</v>
      </c>
      <c r="D333" s="27" t="s">
        <v>1055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50200</f>
        <v>50200.0</v>
      </c>
      <c r="L333" s="34" t="s">
        <v>48</v>
      </c>
      <c r="M333" s="33" t="n">
        <f>50600</f>
        <v>50600.0</v>
      </c>
      <c r="N333" s="34" t="s">
        <v>51</v>
      </c>
      <c r="O333" s="33" t="n">
        <f>48400</f>
        <v>48400.0</v>
      </c>
      <c r="P333" s="34" t="s">
        <v>231</v>
      </c>
      <c r="Q333" s="33" t="n">
        <f>50600</f>
        <v>50600.0</v>
      </c>
      <c r="R333" s="34" t="s">
        <v>51</v>
      </c>
      <c r="S333" s="35" t="n">
        <f>49337.5</f>
        <v>49337.5</v>
      </c>
      <c r="T333" s="32" t="n">
        <f>78520</f>
        <v>78520.0</v>
      </c>
      <c r="U333" s="32" t="n">
        <f>13577</f>
        <v>13577.0</v>
      </c>
      <c r="V333" s="32" t="n">
        <f>3878360479</f>
        <v>3.878360479E9</v>
      </c>
      <c r="W333" s="32" t="n">
        <f>669870479</f>
        <v>6.69870479E8</v>
      </c>
      <c r="X333" s="36" t="n">
        <f>20</f>
        <v>20.0</v>
      </c>
    </row>
    <row r="334">
      <c r="A334" s="27" t="s">
        <v>42</v>
      </c>
      <c r="B334" s="27" t="s">
        <v>1056</v>
      </c>
      <c r="C334" s="27" t="s">
        <v>1057</v>
      </c>
      <c r="D334" s="27" t="s">
        <v>1058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126000</f>
        <v>126000.0</v>
      </c>
      <c r="L334" s="34" t="s">
        <v>48</v>
      </c>
      <c r="M334" s="33" t="n">
        <f>128400</f>
        <v>128400.0</v>
      </c>
      <c r="N334" s="34" t="s">
        <v>51</v>
      </c>
      <c r="O334" s="33" t="n">
        <f>120900</f>
        <v>120900.0</v>
      </c>
      <c r="P334" s="34" t="s">
        <v>231</v>
      </c>
      <c r="Q334" s="33" t="n">
        <f>128100</f>
        <v>128100.0</v>
      </c>
      <c r="R334" s="34" t="s">
        <v>51</v>
      </c>
      <c r="S334" s="35" t="n">
        <f>125550</f>
        <v>125550.0</v>
      </c>
      <c r="T334" s="32" t="n">
        <f>12700</f>
        <v>12700.0</v>
      </c>
      <c r="U334" s="32" t="n">
        <f>2113</f>
        <v>2113.0</v>
      </c>
      <c r="V334" s="32" t="n">
        <f>1592118827</f>
        <v>1.592118827E9</v>
      </c>
      <c r="W334" s="32" t="n">
        <f>264253127</f>
        <v>2.64253127E8</v>
      </c>
      <c r="X334" s="36" t="n">
        <f>20</f>
        <v>20.0</v>
      </c>
    </row>
    <row r="335">
      <c r="A335" s="27" t="s">
        <v>42</v>
      </c>
      <c r="B335" s="27" t="s">
        <v>1059</v>
      </c>
      <c r="C335" s="27" t="s">
        <v>1060</v>
      </c>
      <c r="D335" s="27" t="s">
        <v>1061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460500</f>
        <v>460500.0</v>
      </c>
      <c r="L335" s="34" t="s">
        <v>48</v>
      </c>
      <c r="M335" s="33" t="n">
        <f>483000</f>
        <v>483000.0</v>
      </c>
      <c r="N335" s="34" t="s">
        <v>176</v>
      </c>
      <c r="O335" s="33" t="n">
        <f>449000</f>
        <v>449000.0</v>
      </c>
      <c r="P335" s="34" t="s">
        <v>48</v>
      </c>
      <c r="Q335" s="33" t="n">
        <f>477500</f>
        <v>477500.0</v>
      </c>
      <c r="R335" s="34" t="s">
        <v>51</v>
      </c>
      <c r="S335" s="35" t="n">
        <f>468425</f>
        <v>468425.0</v>
      </c>
      <c r="T335" s="32" t="n">
        <f>43796</f>
        <v>43796.0</v>
      </c>
      <c r="U335" s="32" t="n">
        <f>11447</f>
        <v>11447.0</v>
      </c>
      <c r="V335" s="32" t="n">
        <f>20654968172</f>
        <v>2.0654968172E10</v>
      </c>
      <c r="W335" s="32" t="n">
        <f>5412490172</f>
        <v>5.412490172E9</v>
      </c>
      <c r="X335" s="36" t="n">
        <f>20</f>
        <v>20.0</v>
      </c>
    </row>
    <row r="336">
      <c r="A336" s="27" t="s">
        <v>42</v>
      </c>
      <c r="B336" s="27" t="s">
        <v>1062</v>
      </c>
      <c r="C336" s="27" t="s">
        <v>1063</v>
      </c>
      <c r="D336" s="27" t="s">
        <v>1064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188100</f>
        <v>188100.0</v>
      </c>
      <c r="L336" s="34" t="s">
        <v>48</v>
      </c>
      <c r="M336" s="33" t="n">
        <f>209900</f>
        <v>209900.0</v>
      </c>
      <c r="N336" s="34" t="s">
        <v>93</v>
      </c>
      <c r="O336" s="33" t="n">
        <f>184100</f>
        <v>184100.0</v>
      </c>
      <c r="P336" s="34" t="s">
        <v>48</v>
      </c>
      <c r="Q336" s="33" t="n">
        <f>203700</f>
        <v>203700.0</v>
      </c>
      <c r="R336" s="34" t="s">
        <v>51</v>
      </c>
      <c r="S336" s="35" t="n">
        <f>197575</f>
        <v>197575.0</v>
      </c>
      <c r="T336" s="32" t="n">
        <f>45956</f>
        <v>45956.0</v>
      </c>
      <c r="U336" s="32" t="n">
        <f>9813</f>
        <v>9813.0</v>
      </c>
      <c r="V336" s="32" t="n">
        <f>9145058477</f>
        <v>9.145058477E9</v>
      </c>
      <c r="W336" s="32" t="n">
        <f>1950168477</f>
        <v>1.950168477E9</v>
      </c>
      <c r="X336" s="36" t="n">
        <f>20</f>
        <v>20.0</v>
      </c>
    </row>
    <row r="337">
      <c r="A337" s="27" t="s">
        <v>42</v>
      </c>
      <c r="B337" s="27" t="s">
        <v>1065</v>
      </c>
      <c r="C337" s="27" t="s">
        <v>1066</v>
      </c>
      <c r="D337" s="27" t="s">
        <v>1067</v>
      </c>
      <c r="E337" s="28" t="s">
        <v>46</v>
      </c>
      <c r="F337" s="29" t="s">
        <v>46</v>
      </c>
      <c r="G337" s="30" t="s">
        <v>46</v>
      </c>
      <c r="H337" s="31"/>
      <c r="I337" s="31" t="s">
        <v>604</v>
      </c>
      <c r="J337" s="32" t="n">
        <v>1.0</v>
      </c>
      <c r="K337" s="33" t="n">
        <f>127000</f>
        <v>127000.0</v>
      </c>
      <c r="L337" s="34" t="s">
        <v>48</v>
      </c>
      <c r="M337" s="33" t="n">
        <f>129100</f>
        <v>129100.0</v>
      </c>
      <c r="N337" s="34" t="s">
        <v>68</v>
      </c>
      <c r="O337" s="33" t="n">
        <f>124300</f>
        <v>124300.0</v>
      </c>
      <c r="P337" s="34" t="s">
        <v>48</v>
      </c>
      <c r="Q337" s="33" t="n">
        <f>128600</f>
        <v>128600.0</v>
      </c>
      <c r="R337" s="34" t="s">
        <v>51</v>
      </c>
      <c r="S337" s="35" t="n">
        <f>127315</f>
        <v>127315.0</v>
      </c>
      <c r="T337" s="32" t="n">
        <f>15453</f>
        <v>15453.0</v>
      </c>
      <c r="U337" s="32" t="n">
        <f>1508</f>
        <v>1508.0</v>
      </c>
      <c r="V337" s="32" t="n">
        <f>1966203202</f>
        <v>1.966203202E9</v>
      </c>
      <c r="W337" s="32" t="n">
        <f>191632702</f>
        <v>1.91632702E8</v>
      </c>
      <c r="X337" s="36" t="n">
        <f>20</f>
        <v>20.0</v>
      </c>
    </row>
    <row r="338">
      <c r="A338" s="27" t="s">
        <v>42</v>
      </c>
      <c r="B338" s="27" t="s">
        <v>1068</v>
      </c>
      <c r="C338" s="27" t="s">
        <v>1069</v>
      </c>
      <c r="D338" s="27" t="s">
        <v>1070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117300</f>
        <v>117300.0</v>
      </c>
      <c r="L338" s="34" t="s">
        <v>48</v>
      </c>
      <c r="M338" s="33" t="n">
        <f>117400</f>
        <v>117400.0</v>
      </c>
      <c r="N338" s="34" t="s">
        <v>48</v>
      </c>
      <c r="O338" s="33" t="n">
        <f>113200</f>
        <v>113200.0</v>
      </c>
      <c r="P338" s="34" t="s">
        <v>100</v>
      </c>
      <c r="Q338" s="33" t="n">
        <f>116000</f>
        <v>116000.0</v>
      </c>
      <c r="R338" s="34" t="s">
        <v>51</v>
      </c>
      <c r="S338" s="35" t="n">
        <f>114585</f>
        <v>114585.0</v>
      </c>
      <c r="T338" s="32" t="n">
        <f>33361</f>
        <v>33361.0</v>
      </c>
      <c r="U338" s="32" t="n">
        <f>4140</f>
        <v>4140.0</v>
      </c>
      <c r="V338" s="32" t="n">
        <f>3819369808</f>
        <v>3.819369808E9</v>
      </c>
      <c r="W338" s="32" t="n">
        <f>473959108</f>
        <v>4.73959108E8</v>
      </c>
      <c r="X338" s="36" t="n">
        <f>20</f>
        <v>20.0</v>
      </c>
    </row>
    <row r="339">
      <c r="A339" s="27" t="s">
        <v>42</v>
      </c>
      <c r="B339" s="27" t="s">
        <v>1071</v>
      </c>
      <c r="C339" s="27" t="s">
        <v>1072</v>
      </c>
      <c r="D339" s="27" t="s">
        <v>1073</v>
      </c>
      <c r="E339" s="28" t="s">
        <v>46</v>
      </c>
      <c r="F339" s="29" t="s">
        <v>46</v>
      </c>
      <c r="G339" s="30" t="s">
        <v>46</v>
      </c>
      <c r="H339" s="31"/>
      <c r="I339" s="31" t="s">
        <v>604</v>
      </c>
      <c r="J339" s="32" t="n">
        <v>1.0</v>
      </c>
      <c r="K339" s="33" t="n">
        <f>150400</f>
        <v>150400.0</v>
      </c>
      <c r="L339" s="34" t="s">
        <v>48</v>
      </c>
      <c r="M339" s="33" t="n">
        <f>156500</f>
        <v>156500.0</v>
      </c>
      <c r="N339" s="34" t="s">
        <v>72</v>
      </c>
      <c r="O339" s="33" t="n">
        <f>147700</f>
        <v>147700.0</v>
      </c>
      <c r="P339" s="34" t="s">
        <v>262</v>
      </c>
      <c r="Q339" s="33" t="n">
        <f>153500</f>
        <v>153500.0</v>
      </c>
      <c r="R339" s="34" t="s">
        <v>51</v>
      </c>
      <c r="S339" s="35" t="n">
        <f>152625</f>
        <v>152625.0</v>
      </c>
      <c r="T339" s="32" t="n">
        <f>32505</f>
        <v>32505.0</v>
      </c>
      <c r="U339" s="32" t="n">
        <f>6716</f>
        <v>6716.0</v>
      </c>
      <c r="V339" s="32" t="n">
        <f>4963471987</f>
        <v>4.963471987E9</v>
      </c>
      <c r="W339" s="32" t="n">
        <f>1025376587</f>
        <v>1.025376587E9</v>
      </c>
      <c r="X339" s="36" t="n">
        <f>20</f>
        <v>20.0</v>
      </c>
    </row>
    <row r="340">
      <c r="A340" s="27" t="s">
        <v>42</v>
      </c>
      <c r="B340" s="27" t="s">
        <v>1074</v>
      </c>
      <c r="C340" s="27" t="s">
        <v>1075</v>
      </c>
      <c r="D340" s="27" t="s">
        <v>1076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680000</f>
        <v>680000.0</v>
      </c>
      <c r="L340" s="34" t="s">
        <v>48</v>
      </c>
      <c r="M340" s="33" t="n">
        <f>708000</f>
        <v>708000.0</v>
      </c>
      <c r="N340" s="34" t="s">
        <v>51</v>
      </c>
      <c r="O340" s="33" t="n">
        <f>669000</f>
        <v>669000.0</v>
      </c>
      <c r="P340" s="34" t="s">
        <v>48</v>
      </c>
      <c r="Q340" s="33" t="n">
        <f>706000</f>
        <v>706000.0</v>
      </c>
      <c r="R340" s="34" t="s">
        <v>51</v>
      </c>
      <c r="S340" s="35" t="n">
        <f>689400</f>
        <v>689400.0</v>
      </c>
      <c r="T340" s="32" t="n">
        <f>86395</f>
        <v>86395.0</v>
      </c>
      <c r="U340" s="32" t="n">
        <f>17108</f>
        <v>17108.0</v>
      </c>
      <c r="V340" s="32" t="n">
        <f>59501687432</f>
        <v>5.9501687432E10</v>
      </c>
      <c r="W340" s="32" t="n">
        <f>11788709432</f>
        <v>1.1788709432E10</v>
      </c>
      <c r="X340" s="36" t="n">
        <f>20</f>
        <v>20.0</v>
      </c>
    </row>
    <row r="341">
      <c r="A341" s="27" t="s">
        <v>42</v>
      </c>
      <c r="B341" s="27" t="s">
        <v>1077</v>
      </c>
      <c r="C341" s="27" t="s">
        <v>1078</v>
      </c>
      <c r="D341" s="27" t="s">
        <v>1079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629000</f>
        <v>629000.0</v>
      </c>
      <c r="L341" s="34" t="s">
        <v>48</v>
      </c>
      <c r="M341" s="33" t="n">
        <f>647000</f>
        <v>647000.0</v>
      </c>
      <c r="N341" s="34" t="s">
        <v>51</v>
      </c>
      <c r="O341" s="33" t="n">
        <f>620000</f>
        <v>620000.0</v>
      </c>
      <c r="P341" s="34" t="s">
        <v>48</v>
      </c>
      <c r="Q341" s="33" t="n">
        <f>643000</f>
        <v>643000.0</v>
      </c>
      <c r="R341" s="34" t="s">
        <v>51</v>
      </c>
      <c r="S341" s="35" t="n">
        <f>631550</f>
        <v>631550.0</v>
      </c>
      <c r="T341" s="32" t="n">
        <f>71126</f>
        <v>71126.0</v>
      </c>
      <c r="U341" s="32" t="n">
        <f>13493</f>
        <v>13493.0</v>
      </c>
      <c r="V341" s="32" t="n">
        <f>44898482718</f>
        <v>4.4898482718E10</v>
      </c>
      <c r="W341" s="32" t="n">
        <f>8514922718</f>
        <v>8.514922718E9</v>
      </c>
      <c r="X341" s="36" t="n">
        <f>20</f>
        <v>20.0</v>
      </c>
    </row>
    <row r="342">
      <c r="A342" s="27" t="s">
        <v>42</v>
      </c>
      <c r="B342" s="27" t="s">
        <v>1080</v>
      </c>
      <c r="C342" s="27" t="s">
        <v>1081</v>
      </c>
      <c r="D342" s="27" t="s">
        <v>1082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105800</f>
        <v>105800.0</v>
      </c>
      <c r="L342" s="34" t="s">
        <v>48</v>
      </c>
      <c r="M342" s="33" t="n">
        <f>109500</f>
        <v>109500.0</v>
      </c>
      <c r="N342" s="34" t="s">
        <v>51</v>
      </c>
      <c r="O342" s="33" t="n">
        <f>102500</f>
        <v>102500.0</v>
      </c>
      <c r="P342" s="34" t="s">
        <v>68</v>
      </c>
      <c r="Q342" s="33" t="n">
        <f>108400</f>
        <v>108400.0</v>
      </c>
      <c r="R342" s="34" t="s">
        <v>51</v>
      </c>
      <c r="S342" s="35" t="n">
        <f>104985</f>
        <v>104985.0</v>
      </c>
      <c r="T342" s="32" t="n">
        <f>448309</f>
        <v>448309.0</v>
      </c>
      <c r="U342" s="32" t="n">
        <f>96506</f>
        <v>96506.0</v>
      </c>
      <c r="V342" s="32" t="n">
        <f>47151237623</f>
        <v>4.7151237623E10</v>
      </c>
      <c r="W342" s="32" t="n">
        <f>10171740023</f>
        <v>1.0171740023E10</v>
      </c>
      <c r="X342" s="36" t="n">
        <f>20</f>
        <v>20.0</v>
      </c>
    </row>
    <row r="343">
      <c r="A343" s="27" t="s">
        <v>42</v>
      </c>
      <c r="B343" s="27" t="s">
        <v>1083</v>
      </c>
      <c r="C343" s="27" t="s">
        <v>1084</v>
      </c>
      <c r="D343" s="27" t="s">
        <v>1085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186000</f>
        <v>186000.0</v>
      </c>
      <c r="L343" s="34" t="s">
        <v>48</v>
      </c>
      <c r="M343" s="33" t="n">
        <f>192700</f>
        <v>192700.0</v>
      </c>
      <c r="N343" s="34" t="s">
        <v>72</v>
      </c>
      <c r="O343" s="33" t="n">
        <f>176200</f>
        <v>176200.0</v>
      </c>
      <c r="P343" s="34" t="s">
        <v>231</v>
      </c>
      <c r="Q343" s="33" t="n">
        <f>191100</f>
        <v>191100.0</v>
      </c>
      <c r="R343" s="34" t="s">
        <v>51</v>
      </c>
      <c r="S343" s="35" t="n">
        <f>183800</f>
        <v>183800.0</v>
      </c>
      <c r="T343" s="32" t="n">
        <f>200628</f>
        <v>200628.0</v>
      </c>
      <c r="U343" s="32" t="n">
        <f>38922</f>
        <v>38922.0</v>
      </c>
      <c r="V343" s="32" t="n">
        <f>36943707606</f>
        <v>3.6943707606E10</v>
      </c>
      <c r="W343" s="32" t="n">
        <f>7168769806</f>
        <v>7.168769806E9</v>
      </c>
      <c r="X343" s="36" t="n">
        <f>20</f>
        <v>20.0</v>
      </c>
    </row>
    <row r="344">
      <c r="A344" s="27" t="s">
        <v>42</v>
      </c>
      <c r="B344" s="27" t="s">
        <v>1086</v>
      </c>
      <c r="C344" s="27" t="s">
        <v>1087</v>
      </c>
      <c r="D344" s="27" t="s">
        <v>1088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400500</f>
        <v>400500.0</v>
      </c>
      <c r="L344" s="34" t="s">
        <v>48</v>
      </c>
      <c r="M344" s="33" t="n">
        <f>408500</f>
        <v>408500.0</v>
      </c>
      <c r="N344" s="34" t="s">
        <v>51</v>
      </c>
      <c r="O344" s="33" t="n">
        <f>388500</f>
        <v>388500.0</v>
      </c>
      <c r="P344" s="34" t="s">
        <v>231</v>
      </c>
      <c r="Q344" s="33" t="n">
        <f>406500</f>
        <v>406500.0</v>
      </c>
      <c r="R344" s="34" t="s">
        <v>51</v>
      </c>
      <c r="S344" s="35" t="n">
        <f>397700</f>
        <v>397700.0</v>
      </c>
      <c r="T344" s="32" t="n">
        <f>44164</f>
        <v>44164.0</v>
      </c>
      <c r="U344" s="32" t="n">
        <f>9303</f>
        <v>9303.0</v>
      </c>
      <c r="V344" s="32" t="n">
        <f>17595239519</f>
        <v>1.7595239519E10</v>
      </c>
      <c r="W344" s="32" t="n">
        <f>3709981019</f>
        <v>3.709981019E9</v>
      </c>
      <c r="X344" s="36" t="n">
        <f>20</f>
        <v>20.0</v>
      </c>
    </row>
    <row r="345">
      <c r="A345" s="27" t="s">
        <v>42</v>
      </c>
      <c r="B345" s="27" t="s">
        <v>1089</v>
      </c>
      <c r="C345" s="27" t="s">
        <v>1090</v>
      </c>
      <c r="D345" s="27" t="s">
        <v>1091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148000</f>
        <v>148000.0</v>
      </c>
      <c r="L345" s="34" t="s">
        <v>48</v>
      </c>
      <c r="M345" s="33" t="n">
        <f>152900</f>
        <v>152900.0</v>
      </c>
      <c r="N345" s="34" t="s">
        <v>51</v>
      </c>
      <c r="O345" s="33" t="n">
        <f>140900</f>
        <v>140900.0</v>
      </c>
      <c r="P345" s="34" t="s">
        <v>68</v>
      </c>
      <c r="Q345" s="33" t="n">
        <f>152500</f>
        <v>152500.0</v>
      </c>
      <c r="R345" s="34" t="s">
        <v>51</v>
      </c>
      <c r="S345" s="35" t="n">
        <f>144965</f>
        <v>144965.0</v>
      </c>
      <c r="T345" s="32" t="n">
        <f>84739</f>
        <v>84739.0</v>
      </c>
      <c r="U345" s="32" t="n">
        <f>17024</f>
        <v>17024.0</v>
      </c>
      <c r="V345" s="32" t="n">
        <f>12310398924</f>
        <v>1.2310398924E10</v>
      </c>
      <c r="W345" s="32" t="n">
        <f>2481348924</f>
        <v>2.481348924E9</v>
      </c>
      <c r="X345" s="36" t="n">
        <f>20</f>
        <v>20.0</v>
      </c>
    </row>
    <row r="346">
      <c r="A346" s="27" t="s">
        <v>42</v>
      </c>
      <c r="B346" s="27" t="s">
        <v>1092</v>
      </c>
      <c r="C346" s="27" t="s">
        <v>1093</v>
      </c>
      <c r="D346" s="27" t="s">
        <v>1094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198600</f>
        <v>198600.0</v>
      </c>
      <c r="L346" s="34" t="s">
        <v>48</v>
      </c>
      <c r="M346" s="33" t="n">
        <f>198600</f>
        <v>198600.0</v>
      </c>
      <c r="N346" s="34" t="s">
        <v>48</v>
      </c>
      <c r="O346" s="33" t="n">
        <f>189500</f>
        <v>189500.0</v>
      </c>
      <c r="P346" s="34" t="s">
        <v>64</v>
      </c>
      <c r="Q346" s="33" t="n">
        <f>194600</f>
        <v>194600.0</v>
      </c>
      <c r="R346" s="34" t="s">
        <v>51</v>
      </c>
      <c r="S346" s="35" t="n">
        <f>194065</f>
        <v>194065.0</v>
      </c>
      <c r="T346" s="32" t="n">
        <f>65843</f>
        <v>65843.0</v>
      </c>
      <c r="U346" s="32" t="n">
        <f>14216</f>
        <v>14216.0</v>
      </c>
      <c r="V346" s="32" t="n">
        <f>12776617158</f>
        <v>1.2776617158E10</v>
      </c>
      <c r="W346" s="32" t="n">
        <f>2759258358</f>
        <v>2.759258358E9</v>
      </c>
      <c r="X346" s="36" t="n">
        <f>20</f>
        <v>20.0</v>
      </c>
    </row>
    <row r="347">
      <c r="A347" s="27" t="s">
        <v>42</v>
      </c>
      <c r="B347" s="27" t="s">
        <v>1095</v>
      </c>
      <c r="C347" s="27" t="s">
        <v>1096</v>
      </c>
      <c r="D347" s="27" t="s">
        <v>1097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106100</f>
        <v>106100.0</v>
      </c>
      <c r="L347" s="34" t="s">
        <v>48</v>
      </c>
      <c r="M347" s="33" t="n">
        <f>110100</f>
        <v>110100.0</v>
      </c>
      <c r="N347" s="34" t="s">
        <v>51</v>
      </c>
      <c r="O347" s="33" t="n">
        <f>103200</f>
        <v>103200.0</v>
      </c>
      <c r="P347" s="34" t="s">
        <v>48</v>
      </c>
      <c r="Q347" s="33" t="n">
        <f>109900</f>
        <v>109900.0</v>
      </c>
      <c r="R347" s="34" t="s">
        <v>51</v>
      </c>
      <c r="S347" s="35" t="n">
        <f>106195</f>
        <v>106195.0</v>
      </c>
      <c r="T347" s="32" t="n">
        <f>55082</f>
        <v>55082.0</v>
      </c>
      <c r="U347" s="32" t="n">
        <f>13098</f>
        <v>13098.0</v>
      </c>
      <c r="V347" s="32" t="n">
        <f>5853790308</f>
        <v>5.853790308E9</v>
      </c>
      <c r="W347" s="32" t="n">
        <f>1392062608</f>
        <v>1.392062608E9</v>
      </c>
      <c r="X347" s="36" t="n">
        <f>20</f>
        <v>20.0</v>
      </c>
    </row>
    <row r="348">
      <c r="A348" s="27" t="s">
        <v>42</v>
      </c>
      <c r="B348" s="27" t="s">
        <v>1098</v>
      </c>
      <c r="C348" s="27" t="s">
        <v>1099</v>
      </c>
      <c r="D348" s="27" t="s">
        <v>1100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143100</f>
        <v>143100.0</v>
      </c>
      <c r="L348" s="34" t="s">
        <v>48</v>
      </c>
      <c r="M348" s="33" t="n">
        <f>145600</f>
        <v>145600.0</v>
      </c>
      <c r="N348" s="34" t="s">
        <v>51</v>
      </c>
      <c r="O348" s="33" t="n">
        <f>136600</f>
        <v>136600.0</v>
      </c>
      <c r="P348" s="34" t="s">
        <v>231</v>
      </c>
      <c r="Q348" s="33" t="n">
        <f>145000</f>
        <v>145000.0</v>
      </c>
      <c r="R348" s="34" t="s">
        <v>51</v>
      </c>
      <c r="S348" s="35" t="n">
        <f>140295</f>
        <v>140295.0</v>
      </c>
      <c r="T348" s="32" t="n">
        <f>213920</f>
        <v>213920.0</v>
      </c>
      <c r="U348" s="32" t="n">
        <f>49133</f>
        <v>49133.0</v>
      </c>
      <c r="V348" s="32" t="n">
        <f>30027386471</f>
        <v>3.0027386471E10</v>
      </c>
      <c r="W348" s="32" t="n">
        <f>6907697471</f>
        <v>6.907697471E9</v>
      </c>
      <c r="X348" s="36" t="n">
        <f>20</f>
        <v>20.0</v>
      </c>
    </row>
    <row r="349">
      <c r="A349" s="27" t="s">
        <v>42</v>
      </c>
      <c r="B349" s="27" t="s">
        <v>1101</v>
      </c>
      <c r="C349" s="27" t="s">
        <v>1102</v>
      </c>
      <c r="D349" s="27" t="s">
        <v>1103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142400</f>
        <v>142400.0</v>
      </c>
      <c r="L349" s="34" t="s">
        <v>48</v>
      </c>
      <c r="M349" s="33" t="n">
        <f>148800</f>
        <v>148800.0</v>
      </c>
      <c r="N349" s="34" t="s">
        <v>51</v>
      </c>
      <c r="O349" s="33" t="n">
        <f>138500</f>
        <v>138500.0</v>
      </c>
      <c r="P349" s="34" t="s">
        <v>48</v>
      </c>
      <c r="Q349" s="33" t="n">
        <f>147200</f>
        <v>147200.0</v>
      </c>
      <c r="R349" s="34" t="s">
        <v>51</v>
      </c>
      <c r="S349" s="35" t="n">
        <f>142390</f>
        <v>142390.0</v>
      </c>
      <c r="T349" s="32" t="n">
        <f>51602</f>
        <v>51602.0</v>
      </c>
      <c r="U349" s="32" t="n">
        <f>9368</f>
        <v>9368.0</v>
      </c>
      <c r="V349" s="32" t="n">
        <f>7371199788</f>
        <v>7.371199788E9</v>
      </c>
      <c r="W349" s="32" t="n">
        <f>1335294088</f>
        <v>1.335294088E9</v>
      </c>
      <c r="X349" s="36" t="n">
        <f>20</f>
        <v>20.0</v>
      </c>
    </row>
    <row r="350">
      <c r="A350" s="27" t="s">
        <v>42</v>
      </c>
      <c r="B350" s="27" t="s">
        <v>1104</v>
      </c>
      <c r="C350" s="27" t="s">
        <v>1105</v>
      </c>
      <c r="D350" s="27" t="s">
        <v>1106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40100</f>
        <v>40100.0</v>
      </c>
      <c r="L350" s="34" t="s">
        <v>48</v>
      </c>
      <c r="M350" s="33" t="n">
        <f>42100</f>
        <v>42100.0</v>
      </c>
      <c r="N350" s="34" t="s">
        <v>51</v>
      </c>
      <c r="O350" s="33" t="n">
        <f>36250</f>
        <v>36250.0</v>
      </c>
      <c r="P350" s="34" t="s">
        <v>50</v>
      </c>
      <c r="Q350" s="33" t="n">
        <f>41850</f>
        <v>41850.0</v>
      </c>
      <c r="R350" s="34" t="s">
        <v>51</v>
      </c>
      <c r="S350" s="35" t="n">
        <f>38295</f>
        <v>38295.0</v>
      </c>
      <c r="T350" s="32" t="n">
        <f>927560</f>
        <v>927560.0</v>
      </c>
      <c r="U350" s="32" t="n">
        <f>225759</f>
        <v>225759.0</v>
      </c>
      <c r="V350" s="32" t="n">
        <f>35527299704</f>
        <v>3.5527299704E10</v>
      </c>
      <c r="W350" s="32" t="n">
        <f>8688254454</f>
        <v>8.688254454E9</v>
      </c>
      <c r="X350" s="36" t="n">
        <f>20</f>
        <v>20.0</v>
      </c>
    </row>
    <row r="351">
      <c r="A351" s="27" t="s">
        <v>42</v>
      </c>
      <c r="B351" s="27" t="s">
        <v>1107</v>
      </c>
      <c r="C351" s="27" t="s">
        <v>1108</v>
      </c>
      <c r="D351" s="27" t="s">
        <v>1109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525000</f>
        <v>525000.0</v>
      </c>
      <c r="L351" s="34" t="s">
        <v>48</v>
      </c>
      <c r="M351" s="33" t="n">
        <f>546000</f>
        <v>546000.0</v>
      </c>
      <c r="N351" s="34" t="s">
        <v>166</v>
      </c>
      <c r="O351" s="33" t="n">
        <f>515000</f>
        <v>515000.0</v>
      </c>
      <c r="P351" s="34" t="s">
        <v>48</v>
      </c>
      <c r="Q351" s="33" t="n">
        <f>543000</f>
        <v>543000.0</v>
      </c>
      <c r="R351" s="34" t="s">
        <v>51</v>
      </c>
      <c r="S351" s="35" t="n">
        <f>534550</f>
        <v>534550.0</v>
      </c>
      <c r="T351" s="32" t="n">
        <f>56765</f>
        <v>56765.0</v>
      </c>
      <c r="U351" s="32" t="n">
        <f>14923</f>
        <v>14923.0</v>
      </c>
      <c r="V351" s="32" t="n">
        <f>30418007535</f>
        <v>3.0418007535E10</v>
      </c>
      <c r="W351" s="32" t="n">
        <f>8009968535</f>
        <v>8.009968535E9</v>
      </c>
      <c r="X351" s="36" t="n">
        <f>20</f>
        <v>20.0</v>
      </c>
    </row>
    <row r="352">
      <c r="A352" s="27" t="s">
        <v>42</v>
      </c>
      <c r="B352" s="27" t="s">
        <v>1110</v>
      </c>
      <c r="C352" s="27" t="s">
        <v>1111</v>
      </c>
      <c r="D352" s="27" t="s">
        <v>1112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147200</f>
        <v>147200.0</v>
      </c>
      <c r="L352" s="34" t="s">
        <v>48</v>
      </c>
      <c r="M352" s="33" t="n">
        <f>149400</f>
        <v>149400.0</v>
      </c>
      <c r="N352" s="34" t="s">
        <v>51</v>
      </c>
      <c r="O352" s="33" t="n">
        <f>140700</f>
        <v>140700.0</v>
      </c>
      <c r="P352" s="34" t="s">
        <v>162</v>
      </c>
      <c r="Q352" s="33" t="n">
        <f>149000</f>
        <v>149000.0</v>
      </c>
      <c r="R352" s="34" t="s">
        <v>51</v>
      </c>
      <c r="S352" s="35" t="n">
        <f>144245</f>
        <v>144245.0</v>
      </c>
      <c r="T352" s="32" t="n">
        <f>56701</f>
        <v>56701.0</v>
      </c>
      <c r="U352" s="32" t="n">
        <f>13291</f>
        <v>13291.0</v>
      </c>
      <c r="V352" s="32" t="n">
        <f>8172243937</f>
        <v>8.172243937E9</v>
      </c>
      <c r="W352" s="32" t="n">
        <f>1912017937</f>
        <v>1.912017937E9</v>
      </c>
      <c r="X352" s="36" t="n">
        <f>20</f>
        <v>20.0</v>
      </c>
    </row>
    <row r="353">
      <c r="A353" s="27" t="s">
        <v>42</v>
      </c>
      <c r="B353" s="27" t="s">
        <v>1113</v>
      </c>
      <c r="C353" s="27" t="s">
        <v>1114</v>
      </c>
      <c r="D353" s="27" t="s">
        <v>1115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315000</f>
        <v>315000.0</v>
      </c>
      <c r="L353" s="34" t="s">
        <v>48</v>
      </c>
      <c r="M353" s="33" t="n">
        <f>327500</f>
        <v>327500.0</v>
      </c>
      <c r="N353" s="34" t="s">
        <v>176</v>
      </c>
      <c r="O353" s="33" t="n">
        <f>310000</f>
        <v>310000.0</v>
      </c>
      <c r="P353" s="34" t="s">
        <v>48</v>
      </c>
      <c r="Q353" s="33" t="n">
        <f>320000</f>
        <v>320000.0</v>
      </c>
      <c r="R353" s="34" t="s">
        <v>51</v>
      </c>
      <c r="S353" s="35" t="n">
        <f>319675</f>
        <v>319675.0</v>
      </c>
      <c r="T353" s="32" t="n">
        <f>56596</f>
        <v>56596.0</v>
      </c>
      <c r="U353" s="32" t="n">
        <f>11795</f>
        <v>11795.0</v>
      </c>
      <c r="V353" s="32" t="n">
        <f>18051394847</f>
        <v>1.8051394847E10</v>
      </c>
      <c r="W353" s="32" t="n">
        <f>3752119847</f>
        <v>3.752119847E9</v>
      </c>
      <c r="X353" s="36" t="n">
        <f>20</f>
        <v>20.0</v>
      </c>
    </row>
    <row r="354">
      <c r="A354" s="27" t="s">
        <v>42</v>
      </c>
      <c r="B354" s="27" t="s">
        <v>1116</v>
      </c>
      <c r="C354" s="27" t="s">
        <v>1117</v>
      </c>
      <c r="D354" s="27" t="s">
        <v>1118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168900</f>
        <v>168900.0</v>
      </c>
      <c r="L354" s="34" t="s">
        <v>48</v>
      </c>
      <c r="M354" s="33" t="n">
        <f>173200</f>
        <v>173200.0</v>
      </c>
      <c r="N354" s="34" t="s">
        <v>51</v>
      </c>
      <c r="O354" s="33" t="n">
        <f>164000</f>
        <v>164000.0</v>
      </c>
      <c r="P354" s="34" t="s">
        <v>231</v>
      </c>
      <c r="Q354" s="33" t="n">
        <f>172800</f>
        <v>172800.0</v>
      </c>
      <c r="R354" s="34" t="s">
        <v>51</v>
      </c>
      <c r="S354" s="35" t="n">
        <f>167290</f>
        <v>167290.0</v>
      </c>
      <c r="T354" s="32" t="n">
        <f>31892</f>
        <v>31892.0</v>
      </c>
      <c r="U354" s="32" t="n">
        <f>5098</f>
        <v>5098.0</v>
      </c>
      <c r="V354" s="32" t="n">
        <f>5337981059</f>
        <v>5.337981059E9</v>
      </c>
      <c r="W354" s="32" t="n">
        <f>852141859</f>
        <v>8.52141859E8</v>
      </c>
      <c r="X354" s="36" t="n">
        <f>20</f>
        <v>20.0</v>
      </c>
    </row>
    <row r="355">
      <c r="A355" s="27" t="s">
        <v>42</v>
      </c>
      <c r="B355" s="27" t="s">
        <v>1119</v>
      </c>
      <c r="C355" s="27" t="s">
        <v>1120</v>
      </c>
      <c r="D355" s="27" t="s">
        <v>1121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680000</f>
        <v>680000.0</v>
      </c>
      <c r="L355" s="34" t="s">
        <v>48</v>
      </c>
      <c r="M355" s="33" t="n">
        <f>718000</f>
        <v>718000.0</v>
      </c>
      <c r="N355" s="34" t="s">
        <v>64</v>
      </c>
      <c r="O355" s="33" t="n">
        <f>670000</f>
        <v>670000.0</v>
      </c>
      <c r="P355" s="34" t="s">
        <v>48</v>
      </c>
      <c r="Q355" s="33" t="n">
        <f>715000</f>
        <v>715000.0</v>
      </c>
      <c r="R355" s="34" t="s">
        <v>51</v>
      </c>
      <c r="S355" s="35" t="n">
        <f>701100</f>
        <v>701100.0</v>
      </c>
      <c r="T355" s="32" t="n">
        <f>63782</f>
        <v>63782.0</v>
      </c>
      <c r="U355" s="32" t="n">
        <f>18210</f>
        <v>18210.0</v>
      </c>
      <c r="V355" s="32" t="n">
        <f>44889291803</f>
        <v>4.4889291803E10</v>
      </c>
      <c r="W355" s="32" t="n">
        <f>12848540803</f>
        <v>1.2848540803E10</v>
      </c>
      <c r="X355" s="36" t="n">
        <f>20</f>
        <v>20.0</v>
      </c>
    </row>
    <row r="356">
      <c r="A356" s="27" t="s">
        <v>42</v>
      </c>
      <c r="B356" s="27" t="s">
        <v>1122</v>
      </c>
      <c r="C356" s="27" t="s">
        <v>1123</v>
      </c>
      <c r="D356" s="27" t="s">
        <v>1124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85200</f>
        <v>85200.0</v>
      </c>
      <c r="L356" s="34" t="s">
        <v>48</v>
      </c>
      <c r="M356" s="33" t="n">
        <f>85600</f>
        <v>85600.0</v>
      </c>
      <c r="N356" s="34" t="s">
        <v>51</v>
      </c>
      <c r="O356" s="33" t="n">
        <f>82000</f>
        <v>82000.0</v>
      </c>
      <c r="P356" s="34" t="s">
        <v>231</v>
      </c>
      <c r="Q356" s="33" t="n">
        <f>85600</f>
        <v>85600.0</v>
      </c>
      <c r="R356" s="34" t="s">
        <v>51</v>
      </c>
      <c r="S356" s="35" t="n">
        <f>83865</f>
        <v>83865.0</v>
      </c>
      <c r="T356" s="32" t="n">
        <f>87272</f>
        <v>87272.0</v>
      </c>
      <c r="U356" s="32" t="n">
        <f>18335</f>
        <v>18335.0</v>
      </c>
      <c r="V356" s="32" t="n">
        <f>7307152123</f>
        <v>7.307152123E9</v>
      </c>
      <c r="W356" s="32" t="n">
        <f>1535583923</f>
        <v>1.535583923E9</v>
      </c>
      <c r="X356" s="36" t="n">
        <f>20</f>
        <v>20.0</v>
      </c>
    </row>
    <row r="357">
      <c r="A357" s="27" t="s">
        <v>42</v>
      </c>
      <c r="B357" s="27" t="s">
        <v>1125</v>
      </c>
      <c r="C357" s="27" t="s">
        <v>1126</v>
      </c>
      <c r="D357" s="27" t="s">
        <v>1127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696000</f>
        <v>696000.0</v>
      </c>
      <c r="L357" s="34" t="s">
        <v>48</v>
      </c>
      <c r="M357" s="33" t="n">
        <f>721000</f>
        <v>721000.0</v>
      </c>
      <c r="N357" s="34" t="s">
        <v>93</v>
      </c>
      <c r="O357" s="33" t="n">
        <f>654000</f>
        <v>654000.0</v>
      </c>
      <c r="P357" s="34" t="s">
        <v>176</v>
      </c>
      <c r="Q357" s="33" t="n">
        <f>675000</f>
        <v>675000.0</v>
      </c>
      <c r="R357" s="34" t="s">
        <v>51</v>
      </c>
      <c r="S357" s="35" t="n">
        <f>693700</f>
        <v>693700.0</v>
      </c>
      <c r="T357" s="32" t="n">
        <f>31958</f>
        <v>31958.0</v>
      </c>
      <c r="U357" s="32" t="n">
        <f>7252</f>
        <v>7252.0</v>
      </c>
      <c r="V357" s="32" t="n">
        <f>21963369246</f>
        <v>2.1963369246E10</v>
      </c>
      <c r="W357" s="32" t="n">
        <f>4979816246</f>
        <v>4.979816246E9</v>
      </c>
      <c r="X357" s="36" t="n">
        <f>20</f>
        <v>20.0</v>
      </c>
    </row>
    <row r="358">
      <c r="A358" s="27" t="s">
        <v>42</v>
      </c>
      <c r="B358" s="27" t="s">
        <v>1128</v>
      </c>
      <c r="C358" s="27" t="s">
        <v>1129</v>
      </c>
      <c r="D358" s="27" t="s">
        <v>1130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149500</f>
        <v>149500.0</v>
      </c>
      <c r="L358" s="34" t="s">
        <v>48</v>
      </c>
      <c r="M358" s="33" t="n">
        <f>153800</f>
        <v>153800.0</v>
      </c>
      <c r="N358" s="34" t="s">
        <v>51</v>
      </c>
      <c r="O358" s="33" t="n">
        <f>145000</f>
        <v>145000.0</v>
      </c>
      <c r="P358" s="34" t="s">
        <v>231</v>
      </c>
      <c r="Q358" s="33" t="n">
        <f>153500</f>
        <v>153500.0</v>
      </c>
      <c r="R358" s="34" t="s">
        <v>51</v>
      </c>
      <c r="S358" s="35" t="n">
        <f>149030</f>
        <v>149030.0</v>
      </c>
      <c r="T358" s="32" t="n">
        <f>24838</f>
        <v>24838.0</v>
      </c>
      <c r="U358" s="32" t="n">
        <f>4310</f>
        <v>4310.0</v>
      </c>
      <c r="V358" s="32" t="n">
        <f>3706654553</f>
        <v>3.706654553E9</v>
      </c>
      <c r="W358" s="32" t="n">
        <f>642564153</f>
        <v>6.42564153E8</v>
      </c>
      <c r="X358" s="36" t="n">
        <f>20</f>
        <v>20.0</v>
      </c>
    </row>
    <row r="359">
      <c r="A359" s="27" t="s">
        <v>42</v>
      </c>
      <c r="B359" s="27" t="s">
        <v>1131</v>
      </c>
      <c r="C359" s="27" t="s">
        <v>1132</v>
      </c>
      <c r="D359" s="27" t="s">
        <v>1133</v>
      </c>
      <c r="E359" s="28" t="s">
        <v>46</v>
      </c>
      <c r="F359" s="29" t="s">
        <v>46</v>
      </c>
      <c r="G359" s="30" t="s">
        <v>46</v>
      </c>
      <c r="H359" s="31"/>
      <c r="I359" s="31" t="s">
        <v>604</v>
      </c>
      <c r="J359" s="32" t="n">
        <v>1.0</v>
      </c>
      <c r="K359" s="33" t="n">
        <f>241500</f>
        <v>241500.0</v>
      </c>
      <c r="L359" s="34" t="s">
        <v>48</v>
      </c>
      <c r="M359" s="33" t="n">
        <f>257900</f>
        <v>257900.0</v>
      </c>
      <c r="N359" s="34" t="s">
        <v>51</v>
      </c>
      <c r="O359" s="33" t="n">
        <f>237400</f>
        <v>237400.0</v>
      </c>
      <c r="P359" s="34" t="s">
        <v>170</v>
      </c>
      <c r="Q359" s="33" t="n">
        <f>257900</f>
        <v>257900.0</v>
      </c>
      <c r="R359" s="34" t="s">
        <v>51</v>
      </c>
      <c r="S359" s="35" t="n">
        <f>248385</f>
        <v>248385.0</v>
      </c>
      <c r="T359" s="32" t="n">
        <f>12183</f>
        <v>12183.0</v>
      </c>
      <c r="U359" s="32" t="n">
        <f>2564</f>
        <v>2564.0</v>
      </c>
      <c r="V359" s="32" t="n">
        <f>3038985498</f>
        <v>3.038985498E9</v>
      </c>
      <c r="W359" s="32" t="n">
        <f>639788198</f>
        <v>6.39788198E8</v>
      </c>
      <c r="X359" s="36" t="n">
        <f>20</f>
        <v>20.0</v>
      </c>
    </row>
    <row r="360">
      <c r="A360" s="27" t="s">
        <v>42</v>
      </c>
      <c r="B360" s="27" t="s">
        <v>1134</v>
      </c>
      <c r="C360" s="27" t="s">
        <v>1135</v>
      </c>
      <c r="D360" s="27" t="s">
        <v>1136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311500</f>
        <v>311500.0</v>
      </c>
      <c r="L360" s="34" t="s">
        <v>48</v>
      </c>
      <c r="M360" s="33" t="n">
        <f>325500</f>
        <v>325500.0</v>
      </c>
      <c r="N360" s="34" t="s">
        <v>51</v>
      </c>
      <c r="O360" s="33" t="n">
        <f>305500</f>
        <v>305500.0</v>
      </c>
      <c r="P360" s="34" t="s">
        <v>48</v>
      </c>
      <c r="Q360" s="33" t="n">
        <f>320500</f>
        <v>320500.0</v>
      </c>
      <c r="R360" s="34" t="s">
        <v>51</v>
      </c>
      <c r="S360" s="35" t="n">
        <f>314725</f>
        <v>314725.0</v>
      </c>
      <c r="T360" s="32" t="n">
        <f>142343</f>
        <v>142343.0</v>
      </c>
      <c r="U360" s="32" t="n">
        <f>30941</f>
        <v>30941.0</v>
      </c>
      <c r="V360" s="32" t="n">
        <f>44950147045</f>
        <v>4.4950147045E10</v>
      </c>
      <c r="W360" s="32" t="n">
        <f>9813881045</f>
        <v>9.813881045E9</v>
      </c>
      <c r="X360" s="36" t="n">
        <f>20</f>
        <v>20.0</v>
      </c>
    </row>
    <row r="361">
      <c r="A361" s="27" t="s">
        <v>42</v>
      </c>
      <c r="B361" s="27" t="s">
        <v>1137</v>
      </c>
      <c r="C361" s="27" t="s">
        <v>1138</v>
      </c>
      <c r="D361" s="27" t="s">
        <v>1139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67600</f>
        <v>67600.0</v>
      </c>
      <c r="L361" s="34" t="s">
        <v>48</v>
      </c>
      <c r="M361" s="33" t="n">
        <f>69200</f>
        <v>69200.0</v>
      </c>
      <c r="N361" s="34" t="s">
        <v>51</v>
      </c>
      <c r="O361" s="33" t="n">
        <f>61100</f>
        <v>61100.0</v>
      </c>
      <c r="P361" s="34" t="s">
        <v>231</v>
      </c>
      <c r="Q361" s="33" t="n">
        <f>69000</f>
        <v>69000.0</v>
      </c>
      <c r="R361" s="34" t="s">
        <v>51</v>
      </c>
      <c r="S361" s="35" t="n">
        <f>64450</f>
        <v>64450.0</v>
      </c>
      <c r="T361" s="32" t="n">
        <f>534185</f>
        <v>534185.0</v>
      </c>
      <c r="U361" s="32" t="n">
        <f>154448</f>
        <v>154448.0</v>
      </c>
      <c r="V361" s="32" t="n">
        <f>34719569883</f>
        <v>3.4719569883E10</v>
      </c>
      <c r="W361" s="32" t="n">
        <f>10072365383</f>
        <v>1.0072365383E10</v>
      </c>
      <c r="X361" s="36" t="n">
        <f>20</f>
        <v>20.0</v>
      </c>
    </row>
    <row r="362">
      <c r="A362" s="27" t="s">
        <v>42</v>
      </c>
      <c r="B362" s="27" t="s">
        <v>1140</v>
      </c>
      <c r="C362" s="27" t="s">
        <v>1141</v>
      </c>
      <c r="D362" s="27" t="s">
        <v>1142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119300</f>
        <v>119300.0</v>
      </c>
      <c r="L362" s="34" t="s">
        <v>48</v>
      </c>
      <c r="M362" s="33" t="n">
        <f>125800</f>
        <v>125800.0</v>
      </c>
      <c r="N362" s="34" t="s">
        <v>51</v>
      </c>
      <c r="O362" s="33" t="n">
        <f>116800</f>
        <v>116800.0</v>
      </c>
      <c r="P362" s="34" t="s">
        <v>48</v>
      </c>
      <c r="Q362" s="33" t="n">
        <f>125800</f>
        <v>125800.0</v>
      </c>
      <c r="R362" s="34" t="s">
        <v>51</v>
      </c>
      <c r="S362" s="35" t="n">
        <f>121775</f>
        <v>121775.0</v>
      </c>
      <c r="T362" s="32" t="n">
        <f>116368</f>
        <v>116368.0</v>
      </c>
      <c r="U362" s="32" t="n">
        <f>23771</f>
        <v>23771.0</v>
      </c>
      <c r="V362" s="32" t="n">
        <f>14159681666</f>
        <v>1.4159681666E10</v>
      </c>
      <c r="W362" s="32" t="n">
        <f>2896861266</f>
        <v>2.896861266E9</v>
      </c>
      <c r="X362" s="36" t="n">
        <f>20</f>
        <v>20.0</v>
      </c>
    </row>
    <row r="363">
      <c r="A363" s="27" t="s">
        <v>42</v>
      </c>
      <c r="B363" s="27" t="s">
        <v>1143</v>
      </c>
      <c r="C363" s="27" t="s">
        <v>1144</v>
      </c>
      <c r="D363" s="27" t="s">
        <v>1145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122900</f>
        <v>122900.0</v>
      </c>
      <c r="L363" s="34" t="s">
        <v>48</v>
      </c>
      <c r="M363" s="33" t="n">
        <f>126600</f>
        <v>126600.0</v>
      </c>
      <c r="N363" s="34" t="s">
        <v>51</v>
      </c>
      <c r="O363" s="33" t="n">
        <f>118900</f>
        <v>118900.0</v>
      </c>
      <c r="P363" s="34" t="s">
        <v>231</v>
      </c>
      <c r="Q363" s="33" t="n">
        <f>126600</f>
        <v>126600.0</v>
      </c>
      <c r="R363" s="34" t="s">
        <v>51</v>
      </c>
      <c r="S363" s="35" t="n">
        <f>121815</f>
        <v>121815.0</v>
      </c>
      <c r="T363" s="32" t="n">
        <f>73540</f>
        <v>73540.0</v>
      </c>
      <c r="U363" s="32" t="n">
        <f>12845</f>
        <v>12845.0</v>
      </c>
      <c r="V363" s="32" t="n">
        <f>8947701134</f>
        <v>8.947701134E9</v>
      </c>
      <c r="W363" s="32" t="n">
        <f>1566959934</f>
        <v>1.566959934E9</v>
      </c>
      <c r="X363" s="36" t="n">
        <f>20</f>
        <v>20.0</v>
      </c>
    </row>
    <row r="364">
      <c r="A364" s="27" t="s">
        <v>42</v>
      </c>
      <c r="B364" s="27" t="s">
        <v>1146</v>
      </c>
      <c r="C364" s="27" t="s">
        <v>1147</v>
      </c>
      <c r="D364" s="27" t="s">
        <v>1148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110100</f>
        <v>110100.0</v>
      </c>
      <c r="L364" s="34" t="s">
        <v>48</v>
      </c>
      <c r="M364" s="33" t="n">
        <f>111000</f>
        <v>111000.0</v>
      </c>
      <c r="N364" s="34" t="s">
        <v>175</v>
      </c>
      <c r="O364" s="33" t="n">
        <f>109700</f>
        <v>109700.0</v>
      </c>
      <c r="P364" s="34" t="s">
        <v>170</v>
      </c>
      <c r="Q364" s="33" t="n">
        <f>110900</f>
        <v>110900.0</v>
      </c>
      <c r="R364" s="34" t="s">
        <v>51</v>
      </c>
      <c r="S364" s="35" t="n">
        <f>110240</f>
        <v>110240.0</v>
      </c>
      <c r="T364" s="32" t="n">
        <f>7569</f>
        <v>7569.0</v>
      </c>
      <c r="U364" s="32" t="n">
        <f>29</f>
        <v>29.0</v>
      </c>
      <c r="V364" s="32" t="n">
        <f>834367097</f>
        <v>8.34367097E8</v>
      </c>
      <c r="W364" s="32" t="n">
        <f>3199797</f>
        <v>3199797.0</v>
      </c>
      <c r="X364" s="36" t="n">
        <f>20</f>
        <v>20.0</v>
      </c>
    </row>
    <row r="365">
      <c r="A365" s="27" t="s">
        <v>42</v>
      </c>
      <c r="B365" s="27" t="s">
        <v>1149</v>
      </c>
      <c r="C365" s="27" t="s">
        <v>1150</v>
      </c>
      <c r="D365" s="27" t="s">
        <v>1151</v>
      </c>
      <c r="E365" s="28" t="s">
        <v>46</v>
      </c>
      <c r="F365" s="29" t="s">
        <v>46</v>
      </c>
      <c r="G365" s="30" t="s">
        <v>46</v>
      </c>
      <c r="H365" s="31"/>
      <c r="I365" s="31" t="s">
        <v>604</v>
      </c>
      <c r="J365" s="32" t="n">
        <v>1.0</v>
      </c>
      <c r="K365" s="33" t="n">
        <f>70800</f>
        <v>70800.0</v>
      </c>
      <c r="L365" s="34" t="s">
        <v>48</v>
      </c>
      <c r="M365" s="33" t="n">
        <f>70900</f>
        <v>70900.0</v>
      </c>
      <c r="N365" s="34" t="s">
        <v>48</v>
      </c>
      <c r="O365" s="33" t="n">
        <f>67100</f>
        <v>67100.0</v>
      </c>
      <c r="P365" s="34" t="s">
        <v>231</v>
      </c>
      <c r="Q365" s="33" t="n">
        <f>69500</f>
        <v>69500.0</v>
      </c>
      <c r="R365" s="34" t="s">
        <v>51</v>
      </c>
      <c r="S365" s="35" t="n">
        <f>68855</f>
        <v>68855.0</v>
      </c>
      <c r="T365" s="32" t="n">
        <f>2530</f>
        <v>2530.0</v>
      </c>
      <c r="U365" s="32" t="n">
        <f>17</f>
        <v>17.0</v>
      </c>
      <c r="V365" s="32" t="n">
        <f>174364400</f>
        <v>1.743644E8</v>
      </c>
      <c r="W365" s="32" t="n">
        <f>1172800</f>
        <v>1172800.0</v>
      </c>
      <c r="X365" s="36" t="n">
        <f>20</f>
        <v>20.0</v>
      </c>
    </row>
    <row r="366">
      <c r="A366" s="27" t="s">
        <v>42</v>
      </c>
      <c r="B366" s="27" t="s">
        <v>1152</v>
      </c>
      <c r="C366" s="27" t="s">
        <v>1153</v>
      </c>
      <c r="D366" s="27" t="s">
        <v>1154</v>
      </c>
      <c r="E366" s="28" t="s">
        <v>46</v>
      </c>
      <c r="F366" s="29" t="s">
        <v>46</v>
      </c>
      <c r="G366" s="30" t="s">
        <v>46</v>
      </c>
      <c r="H366" s="31" t="s">
        <v>348</v>
      </c>
      <c r="I366" s="31" t="s">
        <v>604</v>
      </c>
      <c r="J366" s="32" t="n">
        <v>1.0</v>
      </c>
      <c r="K366" s="33" t="n">
        <f>114600</f>
        <v>114600.0</v>
      </c>
      <c r="L366" s="34" t="s">
        <v>48</v>
      </c>
      <c r="M366" s="33" t="n">
        <f>114800</f>
        <v>114800.0</v>
      </c>
      <c r="N366" s="34" t="s">
        <v>48</v>
      </c>
      <c r="O366" s="33" t="n">
        <f>114600</f>
        <v>114600.0</v>
      </c>
      <c r="P366" s="34" t="s">
        <v>48</v>
      </c>
      <c r="Q366" s="33" t="n">
        <f>114600</f>
        <v>114600.0</v>
      </c>
      <c r="R366" s="34" t="s">
        <v>51</v>
      </c>
      <c r="S366" s="35" t="n">
        <f>114695</f>
        <v>114695.0</v>
      </c>
      <c r="T366" s="32" t="n">
        <f>5964</f>
        <v>5964.0</v>
      </c>
      <c r="U366" s="32" t="n">
        <f>116</f>
        <v>116.0</v>
      </c>
      <c r="V366" s="32" t="n">
        <f>684052212</f>
        <v>6.84052212E8</v>
      </c>
      <c r="W366" s="32" t="n">
        <f>13304512</f>
        <v>1.3304512E7</v>
      </c>
      <c r="X366" s="36" t="n">
        <f>20</f>
        <v>20.0</v>
      </c>
    </row>
    <row r="367">
      <c r="A367" s="27" t="s">
        <v>42</v>
      </c>
      <c r="B367" s="27" t="s">
        <v>1155</v>
      </c>
      <c r="C367" s="27" t="s">
        <v>1156</v>
      </c>
      <c r="D367" s="27" t="s">
        <v>1157</v>
      </c>
      <c r="E367" s="28" t="s">
        <v>46</v>
      </c>
      <c r="F367" s="29" t="s">
        <v>46</v>
      </c>
      <c r="G367" s="30" t="s">
        <v>46</v>
      </c>
      <c r="H367" s="31"/>
      <c r="I367" s="31" t="s">
        <v>604</v>
      </c>
      <c r="J367" s="32" t="n">
        <v>1.0</v>
      </c>
      <c r="K367" s="33" t="n">
        <f>122800</f>
        <v>122800.0</v>
      </c>
      <c r="L367" s="34" t="s">
        <v>48</v>
      </c>
      <c r="M367" s="33" t="n">
        <f>123400</f>
        <v>123400.0</v>
      </c>
      <c r="N367" s="34" t="s">
        <v>48</v>
      </c>
      <c r="O367" s="33" t="n">
        <f>120800</f>
        <v>120800.0</v>
      </c>
      <c r="P367" s="34" t="s">
        <v>93</v>
      </c>
      <c r="Q367" s="33" t="n">
        <f>121700</f>
        <v>121700.0</v>
      </c>
      <c r="R367" s="34" t="s">
        <v>51</v>
      </c>
      <c r="S367" s="35" t="n">
        <f>121490</f>
        <v>121490.0</v>
      </c>
      <c r="T367" s="32" t="n">
        <f>7427</f>
        <v>7427.0</v>
      </c>
      <c r="U367" s="32" t="n">
        <f>150</f>
        <v>150.0</v>
      </c>
      <c r="V367" s="32" t="n">
        <f>902916994</f>
        <v>9.02916994E8</v>
      </c>
      <c r="W367" s="32" t="n">
        <f>18160794</f>
        <v>1.8160794E7</v>
      </c>
      <c r="X367" s="36" t="n">
        <f>20</f>
        <v>20.0</v>
      </c>
    </row>
    <row r="368">
      <c r="A368" s="27" t="s">
        <v>42</v>
      </c>
      <c r="B368" s="27" t="s">
        <v>1158</v>
      </c>
      <c r="C368" s="27" t="s">
        <v>1159</v>
      </c>
      <c r="D368" s="27" t="s">
        <v>1160</v>
      </c>
      <c r="E368" s="28" t="s">
        <v>46</v>
      </c>
      <c r="F368" s="29" t="s">
        <v>46</v>
      </c>
      <c r="G368" s="30" t="s">
        <v>46</v>
      </c>
      <c r="H368" s="31"/>
      <c r="I368" s="31" t="s">
        <v>604</v>
      </c>
      <c r="J368" s="32" t="n">
        <v>1.0</v>
      </c>
      <c r="K368" s="33" t="n">
        <f>97800</f>
        <v>97800.0</v>
      </c>
      <c r="L368" s="34" t="s">
        <v>48</v>
      </c>
      <c r="M368" s="33" t="n">
        <f>98200</f>
        <v>98200.0</v>
      </c>
      <c r="N368" s="34" t="s">
        <v>48</v>
      </c>
      <c r="O368" s="33" t="n">
        <f>93200</f>
        <v>93200.0</v>
      </c>
      <c r="P368" s="34" t="s">
        <v>93</v>
      </c>
      <c r="Q368" s="33" t="n">
        <f>93900</f>
        <v>93900.0</v>
      </c>
      <c r="R368" s="34" t="s">
        <v>51</v>
      </c>
      <c r="S368" s="35" t="n">
        <f>94550</f>
        <v>94550.0</v>
      </c>
      <c r="T368" s="32" t="n">
        <f>11684</f>
        <v>11684.0</v>
      </c>
      <c r="U368" s="32" t="n">
        <f>538</f>
        <v>538.0</v>
      </c>
      <c r="V368" s="32" t="n">
        <f>1096578700</f>
        <v>1.0965787E9</v>
      </c>
      <c r="W368" s="32" t="n">
        <f>49433800</f>
        <v>4.94338E7</v>
      </c>
      <c r="X368" s="36" t="n">
        <f>20</f>
        <v>20.0</v>
      </c>
    </row>
    <row r="369">
      <c r="A369" s="27" t="s">
        <v>42</v>
      </c>
      <c r="B369" s="27" t="s">
        <v>1161</v>
      </c>
      <c r="C369" s="27" t="s">
        <v>1162</v>
      </c>
      <c r="D369" s="27" t="s">
        <v>1163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91300</f>
        <v>91300.0</v>
      </c>
      <c r="L369" s="34" t="s">
        <v>48</v>
      </c>
      <c r="M369" s="33" t="n">
        <f>93100</f>
        <v>93100.0</v>
      </c>
      <c r="N369" s="34" t="s">
        <v>64</v>
      </c>
      <c r="O369" s="33" t="n">
        <f>91000</f>
        <v>91000.0</v>
      </c>
      <c r="P369" s="34" t="s">
        <v>48</v>
      </c>
      <c r="Q369" s="33" t="n">
        <f>92900</f>
        <v>92900.0</v>
      </c>
      <c r="R369" s="34" t="s">
        <v>51</v>
      </c>
      <c r="S369" s="35" t="n">
        <f>91855</f>
        <v>91855.0</v>
      </c>
      <c r="T369" s="32" t="n">
        <f>6873</f>
        <v>6873.0</v>
      </c>
      <c r="U369" s="32" t="n">
        <f>3</f>
        <v>3.0</v>
      </c>
      <c r="V369" s="32" t="n">
        <f>630666800</f>
        <v>6.306668E8</v>
      </c>
      <c r="W369" s="32" t="n">
        <f>275500</f>
        <v>275500.0</v>
      </c>
      <c r="X369" s="36" t="n">
        <f>20</f>
        <v>20.0</v>
      </c>
    </row>
    <row r="370">
      <c r="A370" s="27" t="s">
        <v>42</v>
      </c>
      <c r="B370" s="27" t="s">
        <v>1164</v>
      </c>
      <c r="C370" s="27" t="s">
        <v>1165</v>
      </c>
      <c r="D370" s="27" t="s">
        <v>1166</v>
      </c>
      <c r="E370" s="28" t="s">
        <v>46</v>
      </c>
      <c r="F370" s="29" t="s">
        <v>46</v>
      </c>
      <c r="G370" s="30" t="s">
        <v>46</v>
      </c>
      <c r="H370" s="31"/>
      <c r="I370" s="31" t="s">
        <v>604</v>
      </c>
      <c r="J370" s="32" t="n">
        <v>1.0</v>
      </c>
      <c r="K370" s="33" t="n">
        <f>90800</f>
        <v>90800.0</v>
      </c>
      <c r="L370" s="34" t="s">
        <v>48</v>
      </c>
      <c r="M370" s="33" t="n">
        <f>92000</f>
        <v>92000.0</v>
      </c>
      <c r="N370" s="34" t="s">
        <v>64</v>
      </c>
      <c r="O370" s="33" t="n">
        <f>90600</f>
        <v>90600.0</v>
      </c>
      <c r="P370" s="34" t="s">
        <v>170</v>
      </c>
      <c r="Q370" s="33" t="n">
        <f>91900</f>
        <v>91900.0</v>
      </c>
      <c r="R370" s="34" t="s">
        <v>51</v>
      </c>
      <c r="S370" s="35" t="n">
        <f>91090</f>
        <v>91090.0</v>
      </c>
      <c r="T370" s="32" t="n">
        <f>6129</f>
        <v>6129.0</v>
      </c>
      <c r="U370" s="32" t="n">
        <f>18</f>
        <v>18.0</v>
      </c>
      <c r="V370" s="32" t="n">
        <f>558539600</f>
        <v>5.585396E8</v>
      </c>
      <c r="W370" s="32" t="n">
        <f>1638700</f>
        <v>1638700.0</v>
      </c>
      <c r="X370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