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<sst xmlns="http://schemas.openxmlformats.org/spreadsheetml/2006/main" count="4431" uniqueCount="1171">
  <si>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</si>
  <si>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</si>
  <si>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</si>
  <si>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</si>
  <si>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</si>
  <si>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</si>
  <si>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</si>
  <si>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</si>
  <si>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</si>
  <si>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</si>
  <si>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</si>
  <si>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</si>
  <si>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</si>
  <si>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</si>
  <si>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</si>
  <si>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</si>
  <si>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</si>
  <si>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</si>
  <si>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</si>
  <si>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</si>
  <si>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</si>
  <si>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</si>
  <si>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</si>
  <si>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</si>
  <si>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</si>
  <si>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</si>
  <si>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</si>
  <si>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</si>
  <si>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</si>
  <si>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</si>
  <si>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</si>
  <si>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</si>
  <si>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</si>
  <si>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</si>
  <si>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</si>
  <si>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</si>
  <si>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</si>
  <si>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</si>
  <si>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</si>
  <si>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</si>
  <si>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</si>
  <si>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</si>
  <si>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2022/08</t>
  </si>
  <si>
    <t>1305</t>
  </si>
  <si>
    <t>ダイワ上場投信－トピックス　受益証券</t>
  </si>
  <si>
    <t>Daiwa ETF-TOPIX</t>
  </si>
  <si>
    <t/>
  </si>
  <si>
    <t>貸借</t>
  </si>
  <si>
    <t>1</t>
  </si>
  <si>
    <t>17</t>
  </si>
  <si>
    <t>2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</si>
  <si>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</si>
  <si>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</si>
  <si>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</si>
  <si>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</si>
  <si>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</si>
  <si>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</si>
  <si>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</si>
  <si>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</si>
  <si>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</si>
  <si>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</si>
  <si>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</si>
  <si>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</si>
  <si>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</si>
  <si>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25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</si>
  <si>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</si>
  <si>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</si>
  <si>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</si>
  <si>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15</t>
  </si>
  <si>
    <t>29</t>
  </si>
  <si>
    <t>1313</t>
  </si>
  <si>
    <t>サムスンＫＯＤＥＸ２００証券上場指数投資信託[株式]　受益証券</t>
  </si>
  <si>
    <t>SAMSUNG KODEX200 SECURITIES EXCHANGE TRADED FUND [STOCK]</t>
  </si>
  <si>
    <t>9</t>
  </si>
  <si>
    <t>3</t>
  </si>
  <si>
    <t>30</t>
  </si>
  <si>
    <t>1319</t>
  </si>
  <si>
    <t>ＮＥＸＴ　ＦＵＮＤＳ　日経３００株価指数連動型上場投信　受益証券</t>
  </si>
  <si>
    <t>NEXT FUNDS Nikkei 300 Index Exchange Traded Fund</t>
  </si>
  <si>
    <t>8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</si>
  <si>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</si>
  <si>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</si>
  <si>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</si>
  <si>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</si>
  <si>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</si>
  <si>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</si>
  <si>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</si>
  <si>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</si>
  <si>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</si>
  <si>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23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</si>
  <si>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</si>
  <si>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</si>
  <si>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</si>
  <si>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</si>
  <si>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</si>
  <si>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</si>
  <si>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</si>
  <si>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</si>
  <si>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</si>
  <si>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10</t>
  </si>
  <si>
    <t>1328</t>
  </si>
  <si>
    <t>ＮＥＸＴ　ＦＵＮＤＳ　金価格連動型上場投信　受益証券</t>
  </si>
  <si>
    <t>NEXT FUNDS Gold Price Exchange Traded Fund</t>
  </si>
  <si>
    <t>5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</si>
  <si>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</si>
  <si>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</si>
  <si>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</si>
  <si>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</si>
  <si>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</si>
  <si>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</si>
  <si>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</si>
  <si>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</si>
  <si>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</si>
  <si>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</si>
  <si>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</si>
  <si>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</si>
  <si>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</si>
  <si>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</si>
  <si>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</si>
  <si>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</si>
  <si>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</si>
  <si>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</si>
  <si>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</si>
  <si>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</si>
  <si>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</si>
  <si>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</si>
  <si>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</si>
  <si>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</si>
  <si>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</si>
  <si>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</si>
  <si>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</si>
  <si>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</si>
  <si>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</si>
  <si>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</si>
  <si>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</si>
  <si>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</si>
  <si>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</si>
  <si>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</si>
  <si>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</si>
  <si>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</si>
  <si>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16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</si>
  <si>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</si>
  <si>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</si>
  <si>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</si>
  <si>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</si>
  <si>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</si>
  <si>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</si>
  <si>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</si>
  <si>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</si>
  <si>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</si>
  <si>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</si>
  <si>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</si>
  <si>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</si>
  <si>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</si>
  <si>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</si>
  <si>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</si>
  <si>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</si>
  <si>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</si>
  <si>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</si>
  <si>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</si>
  <si>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</si>
  <si>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</si>
  <si>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</si>
  <si>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</si>
  <si>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</si>
  <si>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18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</si>
  <si>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</si>
  <si>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</si>
  <si>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</si>
  <si>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</si>
  <si>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</si>
  <si>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</si>
  <si>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</si>
  <si>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</si>
  <si>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</si>
  <si>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26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</si>
  <si>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</si>
  <si>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</si>
  <si>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</si>
  <si>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</si>
  <si>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</si>
  <si>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</si>
  <si>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19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</si>
  <si>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</si>
  <si>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</si>
  <si>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</si>
  <si>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</si>
  <si>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</si>
  <si>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</si>
  <si>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4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</si>
  <si>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</si>
  <si>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</si>
  <si>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</si>
  <si>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</si>
  <si>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</si>
  <si>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</si>
  <si>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</si>
  <si>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</si>
  <si>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</si>
  <si>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</si>
  <si>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</si>
  <si>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</si>
  <si>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</si>
  <si>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</si>
  <si>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</si>
  <si>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</si>
  <si>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</si>
  <si>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</si>
  <si>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</si>
  <si>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</si>
  <si>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</si>
  <si>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</si>
  <si>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</si>
  <si>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</si>
  <si>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</si>
  <si>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</si>
  <si>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</si>
  <si>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</si>
  <si>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</si>
  <si>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</si>
  <si>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</si>
  <si>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</si>
  <si>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</si>
  <si>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</si>
  <si>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</si>
  <si>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</si>
  <si>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</si>
  <si>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</si>
  <si>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</si>
  <si>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</si>
  <si>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</si>
  <si>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</si>
  <si>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</si>
  <si>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</si>
  <si>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</si>
  <si>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</si>
  <si>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</si>
  <si>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</si>
  <si>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</si>
  <si>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</si>
  <si>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</si>
  <si>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</si>
  <si>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</si>
  <si>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</si>
  <si>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</si>
  <si>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</si>
  <si>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</si>
  <si>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</si>
  <si>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</si>
  <si>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</si>
  <si>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</si>
  <si>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</si>
  <si>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</si>
  <si>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</si>
  <si>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</si>
  <si>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</si>
  <si>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</si>
  <si>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</si>
  <si>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</si>
  <si>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</si>
  <si>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</si>
  <si>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</si>
  <si>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</si>
  <si>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</si>
  <si>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</si>
  <si>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</si>
  <si>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</si>
  <si>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</si>
  <si>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</si>
  <si>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</si>
  <si>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</si>
  <si>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</si>
  <si>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</si>
  <si>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</si>
  <si>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12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</si>
  <si>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</si>
  <si>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</si>
  <si>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</si>
  <si>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</si>
  <si>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</si>
  <si>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</si>
  <si>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</si>
  <si>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</si>
  <si>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</si>
  <si>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</si>
  <si>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</si>
  <si>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</si>
  <si>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</si>
  <si>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</si>
  <si>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</si>
  <si>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</si>
  <si>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</si>
  <si>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</si>
  <si>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</si>
  <si>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</si>
  <si>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</si>
  <si>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</si>
  <si>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</si>
  <si>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</si>
  <si>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</si>
  <si>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</si>
  <si>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</si>
  <si>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</si>
  <si>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</si>
  <si>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</si>
  <si>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</si>
  <si>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</si>
  <si>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</si>
  <si>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</si>
  <si>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</si>
  <si>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</si>
  <si>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</si>
  <si>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</si>
  <si>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</si>
  <si>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</si>
  <si>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</si>
  <si>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</si>
  <si>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</si>
  <si>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</si>
  <si>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</si>
  <si>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</si>
  <si>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</si>
  <si>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</si>
  <si>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</si>
  <si>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</si>
  <si>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</si>
  <si>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</si>
  <si>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</si>
  <si>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</si>
  <si>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</si>
  <si>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</si>
  <si>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</si>
  <si>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</si>
  <si>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</si>
  <si>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</si>
  <si>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</si>
  <si>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</si>
  <si>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</si>
  <si>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</si>
  <si>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</si>
  <si>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</si>
  <si>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</si>
  <si>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</si>
  <si>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</si>
  <si>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</si>
  <si>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</si>
  <si>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</si>
  <si>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</si>
  <si>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24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</si>
  <si>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</si>
  <si>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</si>
  <si>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</si>
  <si>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</si>
  <si>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</si>
  <si>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</si>
  <si>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</si>
  <si>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</si>
  <si>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</si>
  <si>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</si>
  <si>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</si>
  <si>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</si>
  <si>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</si>
  <si>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</si>
  <si>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</si>
  <si>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</si>
  <si>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</si>
  <si>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</si>
  <si>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</si>
  <si>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</si>
  <si>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</si>
  <si>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</si>
  <si>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</si>
  <si>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</si>
  <si>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</si>
  <si>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</si>
  <si>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</si>
  <si>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</si>
  <si>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</si>
  <si>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</si>
  <si>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</si>
  <si>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</si>
  <si>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</si>
  <si>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</si>
  <si>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</si>
  <si>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</si>
  <si>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</si>
  <si>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</si>
  <si>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</si>
  <si>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</si>
  <si>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</si>
  <si>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</si>
  <si>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</si>
  <si>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</si>
  <si>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</si>
  <si>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</si>
  <si>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</si>
  <si>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</si>
  <si>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</si>
  <si>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</si>
  <si>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</si>
  <si>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</si>
  <si>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</si>
  <si>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</si>
  <si>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</si>
  <si>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</si>
  <si>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</si>
  <si>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</si>
  <si>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</si>
  <si>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</si>
  <si>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</si>
  <si>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</si>
  <si>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</si>
  <si>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</si>
  <si>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</si>
  <si>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</si>
  <si>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</si>
  <si>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</si>
  <si>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</si>
  <si>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</si>
  <si>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</si>
  <si>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</si>
  <si>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</si>
  <si>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</si>
  <si>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</si>
  <si>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</si>
  <si>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</si>
  <si>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</si>
  <si>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</si>
  <si>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</si>
  <si>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</si>
  <si>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</si>
  <si>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</si>
  <si>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</si>
  <si>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</si>
  <si>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</si>
  <si>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</si>
  <si>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</si>
  <si>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</si>
  <si>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</si>
  <si>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</si>
  <si>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</si>
  <si>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</si>
  <si>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</si>
  <si>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</si>
  <si>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</si>
  <si>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</si>
  <si>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</si>
  <si>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</si>
  <si>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</si>
  <si>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</si>
  <si>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</si>
  <si>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</si>
  <si>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</si>
  <si>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</si>
  <si>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</si>
  <si>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</si>
  <si>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</si>
  <si>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</si>
  <si>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</si>
  <si>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</si>
  <si>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</si>
  <si>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</si>
  <si>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</si>
  <si>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</si>
  <si>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</si>
  <si>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</si>
  <si>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</si>
  <si>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</si>
  <si>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</si>
  <si>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</si>
  <si>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</si>
  <si>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</si>
  <si>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</si>
  <si>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</si>
  <si>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</si>
  <si>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</si>
  <si>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</si>
  <si>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</si>
  <si>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</si>
  <si>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</si>
  <si>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</si>
  <si>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</si>
  <si>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</si>
  <si>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</si>
  <si>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</si>
  <si>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</si>
  <si>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</si>
  <si>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</si>
  <si>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</si>
  <si>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</si>
  <si>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</si>
  <si>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</si>
  <si>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</si>
  <si>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</si>
  <si>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</si>
  <si>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</si>
  <si>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</si>
  <si>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</si>
  <si>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</si>
  <si>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</si>
  <si>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</si>
  <si>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</si>
  <si>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</si>
  <si>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</si>
  <si>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</si>
  <si>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</si>
  <si>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</si>
  <si>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</si>
  <si>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</si>
  <si>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</si>
  <si>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</si>
  <si>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</si>
  <si>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</si>
  <si>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</si>
  <si>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</si>
  <si>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</si>
  <si>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</si>
  <si>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</si>
  <si>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</si>
  <si>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</si>
  <si>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</si>
  <si>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</si>
  <si>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</si>
  <si>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</si>
  <si>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</si>
  <si>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</si>
  <si>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</si>
  <si>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</si>
  <si>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</si>
  <si>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</si>
  <si>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</si>
  <si>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</si>
  <si>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</si>
  <si>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</si>
  <si>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</si>
  <si>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</si>
  <si>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</si>
  <si>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</si>
  <si>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</si>
  <si>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</si>
  <si>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</si>
  <si>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</si>
  <si>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</si>
  <si>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</si>
  <si>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</si>
  <si>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</si>
  <si>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</si>
  <si>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</si>
  <si>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</si>
  <si>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</si>
  <si>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</si>
  <si>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</si>
  <si>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</si>
  <si>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</si>
  <si>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</si>
  <si>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</si>
  <si>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</si>
  <si>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</si>
  <si>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</si>
  <si>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</si>
  <si>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</si>
  <si>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</si>
  <si>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</si>
  <si>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</si>
  <si>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</si>
  <si>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</si>
  <si>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</si>
  <si>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</si>
  <si>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</si>
  <si>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</si>
  <si>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</si>
  <si>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</si>
  <si>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</si>
  <si>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</si>
  <si>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</si>
  <si>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</si>
  <si>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</si>
  <si>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</si>
  <si>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</si>
  <si>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</si>
  <si>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</si>
  <si>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</si>
  <si>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</si>
  <si>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</si>
  <si>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</si>
  <si>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</si>
  <si>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</si>
  <si>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</si>
  <si>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</si>
  <si>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</si>
  <si>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</si>
  <si>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</si>
  <si>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</si>
  <si>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</si>
  <si>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</si>
  <si>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</si>
  <si>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</si>
  <si>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</si>
  <si>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</si>
  <si>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</si>
  <si>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</si>
  <si>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</si>
  <si>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</si>
  <si>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</si>
  <si>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</si>
  <si>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</si>
  <si>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</si>
  <si>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</si>
  <si>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</si>
  <si>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</si>
  <si>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</si>
  <si>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</si>
  <si>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</si>
  <si>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</si>
  <si>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</si>
  <si>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</si>
  <si>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</si>
  <si>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</si>
  <si>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</si>
  <si>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</si>
  <si>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</si>
  <si>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</si>
  <si>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</si>
  <si>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</si>
  <si>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</si>
  <si>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</si>
  <si>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</si>
  <si>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</si>
  <si>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</si>
  <si>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</si>
  <si>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</si>
  <si>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</si>
  <si>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</si>
  <si>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</si>
  <si>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</si>
  <si>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</si>
  <si>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</si>
  <si>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</si>
  <si>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22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</si>
  <si>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</si>
  <si>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</si>
  <si>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</si>
  <si>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</si>
  <si>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</si>
  <si>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</si>
  <si>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</si>
  <si>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</si>
  <si>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</si>
  <si>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</si>
  <si>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</si>
  <si>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</si>
  <si>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</si>
  <si>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</si>
  <si>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</si>
  <si>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</si>
  <si>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</si>
  <si>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</si>
  <si>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</si>
  <si>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</si>
  <si>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</si>
  <si>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</si>
  <si>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</si>
  <si>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</si>
  <si>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</si>
  <si>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</si>
  <si>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</si>
  <si>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</si>
  <si>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</si>
  <si>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</si>
  <si>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</si>
  <si>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</si>
  <si>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</si>
  <si>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</si>
  <si>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</si>
  <si>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</si>
  <si>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</si>
  <si>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</si>
  <si>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</si>
  <si>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</si>
  <si>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</si>
  <si>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</si>
  <si>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</si>
  <si>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</si>
  <si>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</si>
  <si>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</si>
  <si>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</si>
  <si>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</si>
  <si>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</si>
  <si>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</si>
  <si>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</si>
  <si>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</si>
  <si>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</si>
  <si>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</si>
  <si>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</si>
  <si>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</si>
  <si>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</si>
  <si>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</si>
  <si>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</si>
  <si>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</si>
  <si>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</si>
  <si>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</si>
  <si>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</si>
  <si>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</si>
  <si>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</si>
  <si>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</si>
  <si>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</si>
  <si>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</si>
  <si>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</si>
  <si>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</si>
  <si>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</si>
  <si>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</si>
  <si>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</si>
  <si>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</si>
  <si>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</si>
  <si>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</si>
  <si>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</si>
  <si>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</si>
  <si>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</si>
  <si>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</si>
  <si>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</si>
  <si>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</si>
  <si>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</si>
  <si>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</si>
  <si>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</si>
  <si>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</si>
  <si>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</si>
  <si>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</si>
  <si>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</si>
  <si>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</si>
  <si>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</si>
  <si>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</si>
  <si>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</si>
  <si>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</si>
  <si>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</si>
  <si>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</si>
  <si>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</si>
  <si>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</si>
  <si>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</si>
  <si>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</si>
  <si>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</si>
  <si>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</si>
  <si>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</si>
  <si>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</si>
  <si>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</si>
  <si>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</si>
  <si>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</si>
  <si>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</si>
  <si>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</si>
  <si>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</si>
  <si>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</si>
  <si>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</si>
  <si>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</si>
  <si>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</si>
  <si>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</si>
  <si>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</si>
  <si>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</si>
  <si>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</si>
  <si>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</si>
  <si>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</si>
  <si>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</si>
  <si>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</si>
  <si>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</si>
  <si>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</si>
  <si>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</si>
  <si>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</si>
  <si>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</si>
  <si>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</si>
  <si>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</si>
  <si>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</si>
  <si>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</si>
  <si>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</si>
  <si>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</si>
  <si>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</si>
  <si>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</si>
  <si>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</si>
  <si>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</si>
  <si>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</si>
  <si>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</si>
  <si>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</si>
  <si>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</si>
  <si>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</si>
  <si>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</si>
  <si>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</si>
  <si>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</si>
  <si>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</si>
  <si>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</si>
  <si>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</si>
  <si>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</si>
  <si>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</si>
  <si>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</si>
  <si>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</si>
  <si>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</si>
  <si>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</si>
  <si>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</si>
  <si>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</si>
  <si>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</si>
  <si>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</si>
  <si>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</si>
  <si>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</si>
  <si>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</si>
  <si>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</si>
  <si>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</si>
  <si>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</si>
  <si>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</si>
  <si>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</si>
  <si>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</si>
  <si>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</si>
  <si>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</si>
  <si>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</si>
  <si>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</si>
  <si>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</si>
  <si>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</si>
  <si>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</si>
  <si>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</si>
  <si>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</si>
  <si>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</si>
  <si>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</si>
  <si>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</si>
  <si>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</si>
  <si>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</si>
  <si>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</si>
  <si>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</si>
  <si>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</si>
  <si>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</si>
  <si>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</si>
  <si>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</si>
  <si>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</si>
  <si>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</si>
  <si>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</si>
  <si>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</si>
  <si>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</si>
  <si>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</si>
  <si>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</si>
  <si>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</si>
  <si>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</si>
  <si>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</si>
  <si>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</si>
  <si>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</si>
  <si>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</si>
  <si>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</si>
  <si>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</si>
  <si>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</si>
  <si>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</si>
  <si>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</si>
  <si>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</si>
  <si>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</si>
  <si>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</si>
  <si>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</si>
  <si>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</si>
  <si>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</si>
  <si>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</si>
  <si>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</si>
  <si>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</si>
  <si>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</si>
  <si>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</si>
  <si>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</si>
  <si>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</si>
  <si>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</si>
  <si>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</si>
  <si>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</si>
  <si>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</si>
  <si>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</si>
  <si>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</si>
  <si>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</si>
  <si>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</si>
  <si>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</si>
  <si>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</si>
  <si>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</si>
  <si>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</si>
  <si>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</si>
  <si>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</si>
  <si>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</si>
  <si>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</si>
  <si>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</si>
  <si>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</si>
  <si>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</si>
  <si>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</si>
  <si>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</si>
  <si>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</si>
  <si>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</si>
  <si>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</si>
  <si>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</si>
  <si>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</si>
  <si>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</si>
  <si>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</si>
  <si>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</si>
  <si>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</si>
  <si>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</si>
  <si>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</si>
  <si>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</si>
  <si>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</si>
  <si>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</si>
  <si>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</si>
  <si>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</si>
  <si>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</si>
  <si>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</si>
  <si>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</si>
  <si>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</si>
  <si>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</si>
  <si>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</si>
  <si>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</si>
  <si>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</si>
  <si>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</si>
  <si>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</si>
  <si>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</si>
  <si>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</si>
  <si>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</si>
  <si>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</si>
  <si>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</si>
  <si>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</si>
  <si>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</si>
  <si>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</si>
  <si>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</si>
  <si>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</si>
  <si>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</si>
  <si>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</si>
  <si>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</si>
  <si>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</si>
  <si>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</si>
  <si>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</si>
  <si>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</si>
  <si>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</si>
  <si>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</si>
  <si>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</si>
  <si>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</si>
  <si>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</si>
  <si>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</si>
  <si>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</si>
  <si>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</si>
  <si>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</si>
  <si>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</si>
  <si>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</si>
  <si>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</si>
  <si>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</si>
  <si>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</si>
  <si>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</si>
  <si>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</si>
  <si>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</si>
  <si>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</si>
  <si>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</si>
  <si>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</si>
  <si>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</si>
  <si>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</si>
  <si>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</si>
  <si>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</si>
  <si>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</si>
  <si>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</si>
  <si>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</si>
  <si>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</si>
  <si>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</si>
  <si>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</si>
  <si>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</si>
  <si>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</si>
  <si>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</si>
  <si>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2861</t>
  </si>
  <si>
    <t>上場インデックスファンドフランス国債（為替ヘッジなし）　受益証券</t>
  </si>
  <si>
    <t>Listed Index Fund France Government Bond (No Currency Hedge)</t>
  </si>
  <si>
    <t xml:space="preserve">新規上場  </t>
  </si>
  <si>
    <t xml:space="preserve">New Listing  </t>
  </si>
  <si>
    <t xml:space="preserve">2022/08/17  </t>
  </si>
  <si>
    <t>2862</t>
  </si>
  <si>
    <t>上場インデックスファンドフランス国債（為替ヘッジあり）　受益証券</t>
  </si>
  <si>
    <t>Listed Index Fund France Government Bond (Currency Hedge)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</si>
  <si>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</si>
  <si>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</si>
  <si>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</si>
  <si>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</si>
  <si>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</si>
  <si>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</si>
  <si>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</si>
  <si>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</si>
  <si>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</si>
  <si>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</si>
  <si>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</si>
  <si>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</si>
  <si>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</si>
  <si>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</si>
  <si>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</si>
  <si>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</si>
  <si>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</si>
  <si>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</si>
  <si>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</si>
  <si>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</si>
  <si>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</si>
  <si>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</si>
  <si>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</si>
  <si>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</si>
  <si>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</si>
  <si>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</si>
  <si>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</si>
  <si>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</si>
  <si>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</si>
  <si>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</si>
  <si>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</si>
  <si>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</si>
  <si>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</si>
  <si>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</si>
  <si>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</si>
  <si>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</si>
  <si>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</si>
  <si>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</si>
  <si>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</si>
  <si>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</si>
  <si>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</si>
  <si>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</si>
  <si>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</si>
  <si>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</si>
  <si>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</si>
  <si>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</si>
  <si>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</si>
  <si>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</si>
  <si>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</si>
  <si>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</si>
  <si>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</si>
  <si>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</si>
  <si>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</si>
  <si>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</si>
  <si>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</si>
  <si>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</si>
  <si>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</si>
  <si>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</si>
  <si>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</si>
  <si>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</si>
  <si>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</si>
  <si>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</si>
  <si>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</si>
  <si>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</si>
  <si>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</si>
  <si>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</si>
  <si>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</si>
  <si>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</si>
  <si>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</si>
  <si>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</si>
  <si>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</si>
  <si>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</si>
  <si>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</si>
  <si>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</si>
  <si>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</si>
  <si>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</si>
  <si>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</si>
  <si>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</si>
  <si>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</si>
  <si>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</si>
  <si>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</si>
  <si>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</si>
  <si>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</si>
  <si>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</si>
  <si>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</si>
  <si>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</si>
  <si>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</si>
  <si>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</si>
  <si>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</si>
  <si>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</si>
  <si>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</si>
  <si>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</si>
  <si>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</si>
  <si>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</si>
  <si>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</si>
  <si>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</si>
  <si>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</si>
  <si>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</si>
  <si>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</si>
  <si>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</si>
  <si>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</si>
  <si>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</si>
  <si>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</si>
  <si>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</si>
  <si>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</si>
  <si>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</si>
  <si>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</si>
  <si>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</si>
  <si>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</si>
  <si>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</si>
  <si>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</si>
  <si>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</si>
  <si>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</si>
  <si>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</si>
  <si>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</si>
  <si>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</si>
  <si>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</si>
  <si>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</si>
  <si>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</si>
  <si>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</si>
  <si>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</si>
  <si>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</si>
  <si>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</si>
  <si>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</si>
  <si>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</si>
  <si>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</si>
  <si>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</si>
  <si>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</si>
  <si>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</si>
  <si>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</si>
  <si>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</si>
  <si>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</si>
  <si>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</si>
  <si>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</si>
  <si>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</si>
  <si>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</si>
  <si>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</si>
  <si>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</si>
  <si>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</si>
  <si>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</si>
  <si>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</si>
  <si>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</si>
  <si>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</si>
  <si>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</si>
  <si>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</si>
  <si>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</si>
  <si>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</si>
  <si>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</si>
  <si>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</si>
  <si>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</si>
  <si>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</si>
  <si>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</si>
  <si>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</si>
  <si>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</si>
  <si>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</si>
  <si>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</si>
  <si>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</si>
  <si>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</si>
  <si>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</si>
  <si>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</si>
  <si>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</si>
  <si>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</si>
  <si>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</si>
  <si>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</si>
  <si>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</si>
  <si>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</si>
  <si>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</si>
  <si>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</si>
  <si>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</si>
  <si>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</si>
  <si>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</si>
  <si>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</si>
  <si>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</si>
  <si>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</si>
  <si>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</si>
  <si>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</si>
  <si>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</si>
  <si>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</si>
  <si>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</si>
  <si>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</si>
  <si>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</si>
  <si>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</si>
  <si>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</si>
  <si>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</si>
  <si>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</si>
  <si>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</si>
  <si>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</si>
  <si>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</si>
  <si>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</si>
  <si>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</si>
  <si>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</si>
  <si>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</si>
  <si>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 xml:space="preserve">上場廃止  </t>
  </si>
  <si>
    <t xml:space="preserve">Removal  </t>
  </si>
  <si>
    <t xml:space="preserve">2022/08/22  </t>
  </si>
  <si>
    <t>整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</si>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</sst>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2024.5</f>
        <v>2024.5</v>
      </c>
      <c r="L7" s="34" t="s">
        <v>48</v>
      </c>
      <c r="M7" s="33" t="n">
        <f>2092</f>
        <v>2092.0</v>
      </c>
      <c r="N7" s="34" t="s">
        <v>49</v>
      </c>
      <c r="O7" s="33" t="n">
        <f>2004</f>
        <v>2004.0</v>
      </c>
      <c r="P7" s="34" t="s">
        <v>50</v>
      </c>
      <c r="Q7" s="33" t="n">
        <f>2046</f>
        <v>2046.0</v>
      </c>
      <c r="R7" s="34" t="s">
        <v>51</v>
      </c>
      <c r="S7" s="35" t="n">
        <f>2047.02</f>
        <v>2047.02</v>
      </c>
      <c r="T7" s="32" t="n">
        <f>8809750</f>
        <v>8809750.0</v>
      </c>
      <c r="U7" s="32" t="n">
        <f>3751250</f>
        <v>3751250.0</v>
      </c>
      <c r="V7" s="32" t="n">
        <f>18062050009</f>
        <v>1.8062050009E10</v>
      </c>
      <c r="W7" s="32" t="n">
        <f>7678598999</f>
        <v>7.678598999E9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2001</f>
        <v>2001.0</v>
      </c>
      <c r="L8" s="34" t="s">
        <v>48</v>
      </c>
      <c r="M8" s="33" t="n">
        <f>2068.5</f>
        <v>2068.5</v>
      </c>
      <c r="N8" s="34" t="s">
        <v>49</v>
      </c>
      <c r="O8" s="33" t="n">
        <f>1982</f>
        <v>1982.0</v>
      </c>
      <c r="P8" s="34" t="s">
        <v>50</v>
      </c>
      <c r="Q8" s="33" t="n">
        <f>2044</f>
        <v>2044.0</v>
      </c>
      <c r="R8" s="34" t="s">
        <v>51</v>
      </c>
      <c r="S8" s="35" t="n">
        <f>2025.48</f>
        <v>2025.48</v>
      </c>
      <c r="T8" s="32" t="n">
        <f>70913060</f>
        <v>7.091306E7</v>
      </c>
      <c r="U8" s="32" t="n">
        <f>30382280</f>
        <v>3.038228E7</v>
      </c>
      <c r="V8" s="32" t="n">
        <f>143144936237</f>
        <v>1.43144936237E11</v>
      </c>
      <c r="W8" s="32" t="n">
        <f>61176013002</f>
        <v>6.1176013002E10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1979.5</f>
        <v>1979.5</v>
      </c>
      <c r="L9" s="34" t="s">
        <v>48</v>
      </c>
      <c r="M9" s="33" t="n">
        <f>2044</f>
        <v>2044.0</v>
      </c>
      <c r="N9" s="34" t="s">
        <v>49</v>
      </c>
      <c r="O9" s="33" t="n">
        <f>1960</f>
        <v>1960.0</v>
      </c>
      <c r="P9" s="34" t="s">
        <v>50</v>
      </c>
      <c r="Q9" s="33" t="n">
        <f>2000</f>
        <v>2000.0</v>
      </c>
      <c r="R9" s="34" t="s">
        <v>51</v>
      </c>
      <c r="S9" s="35" t="n">
        <f>2000.82</f>
        <v>2000.82</v>
      </c>
      <c r="T9" s="32" t="n">
        <f>6729300</f>
        <v>6729300.0</v>
      </c>
      <c r="U9" s="32" t="n">
        <f>1517500</f>
        <v>1517500.0</v>
      </c>
      <c r="V9" s="32" t="n">
        <f>13538343660</f>
        <v>1.353834366E10</v>
      </c>
      <c r="W9" s="32" t="n">
        <f>3067413410</f>
        <v>3.06741341E9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42840</f>
        <v>42840.0</v>
      </c>
      <c r="L10" s="34" t="s">
        <v>48</v>
      </c>
      <c r="M10" s="33" t="n">
        <f>43100</f>
        <v>43100.0</v>
      </c>
      <c r="N10" s="34" t="s">
        <v>48</v>
      </c>
      <c r="O10" s="33" t="n">
        <f>40600</f>
        <v>40600.0</v>
      </c>
      <c r="P10" s="34" t="s">
        <v>50</v>
      </c>
      <c r="Q10" s="33" t="n">
        <f>42500</f>
        <v>42500.0</v>
      </c>
      <c r="R10" s="34" t="s">
        <v>51</v>
      </c>
      <c r="S10" s="35" t="n">
        <f>41977.27</f>
        <v>41977.27</v>
      </c>
      <c r="T10" s="32" t="n">
        <f>2296</f>
        <v>2296.0</v>
      </c>
      <c r="U10" s="32" t="str">
        <f>"－"</f>
        <v>－</v>
      </c>
      <c r="V10" s="32" t="n">
        <f>95964210</f>
        <v>9.596421E7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931</f>
        <v>931.0</v>
      </c>
      <c r="L11" s="34" t="s">
        <v>48</v>
      </c>
      <c r="M11" s="33" t="n">
        <f>963</f>
        <v>963.0</v>
      </c>
      <c r="N11" s="34" t="s">
        <v>49</v>
      </c>
      <c r="O11" s="33" t="n">
        <f>914.3</f>
        <v>914.3</v>
      </c>
      <c r="P11" s="34" t="s">
        <v>64</v>
      </c>
      <c r="Q11" s="33" t="n">
        <f>934.1</f>
        <v>934.1</v>
      </c>
      <c r="R11" s="34" t="s">
        <v>51</v>
      </c>
      <c r="S11" s="35" t="n">
        <f>939.3</f>
        <v>939.3</v>
      </c>
      <c r="T11" s="32" t="n">
        <f>88130</f>
        <v>88130.0</v>
      </c>
      <c r="U11" s="32" t="str">
        <f>"－"</f>
        <v>－</v>
      </c>
      <c r="V11" s="32" t="n">
        <f>83137049</f>
        <v>8.3137049E7</v>
      </c>
      <c r="W11" s="32" t="str">
        <f>"－"</f>
        <v>－</v>
      </c>
      <c r="X11" s="36" t="n">
        <f>22</f>
        <v>22.0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19600</f>
        <v>19600.0</v>
      </c>
      <c r="L12" s="34" t="s">
        <v>48</v>
      </c>
      <c r="M12" s="33" t="n">
        <f>20435</f>
        <v>20435.0</v>
      </c>
      <c r="N12" s="34" t="s">
        <v>68</v>
      </c>
      <c r="O12" s="33" t="n">
        <f>19135</f>
        <v>19135.0</v>
      </c>
      <c r="P12" s="34" t="s">
        <v>69</v>
      </c>
      <c r="Q12" s="33" t="n">
        <f>19760</f>
        <v>19760.0</v>
      </c>
      <c r="R12" s="34" t="s">
        <v>51</v>
      </c>
      <c r="S12" s="35" t="n">
        <f>19872.95</f>
        <v>19872.95</v>
      </c>
      <c r="T12" s="32" t="n">
        <f>874</f>
        <v>874.0</v>
      </c>
      <c r="U12" s="32" t="str">
        <f>"－"</f>
        <v>－</v>
      </c>
      <c r="V12" s="32" t="n">
        <f>17342735</f>
        <v>1.7342735E7</v>
      </c>
      <c r="W12" s="32" t="str">
        <f>"－"</f>
        <v>－</v>
      </c>
      <c r="X12" s="36" t="n">
        <f>22</f>
        <v>22.0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3243</f>
        <v>3243.0</v>
      </c>
      <c r="L13" s="34" t="s">
        <v>48</v>
      </c>
      <c r="M13" s="33" t="n">
        <f>3739</f>
        <v>3739.0</v>
      </c>
      <c r="N13" s="34" t="s">
        <v>73</v>
      </c>
      <c r="O13" s="33" t="n">
        <f>3222</f>
        <v>3222.0</v>
      </c>
      <c r="P13" s="34" t="s">
        <v>74</v>
      </c>
      <c r="Q13" s="33" t="n">
        <f>3376</f>
        <v>3376.0</v>
      </c>
      <c r="R13" s="34" t="s">
        <v>75</v>
      </c>
      <c r="S13" s="35" t="n">
        <f>3334.93</f>
        <v>3334.93</v>
      </c>
      <c r="T13" s="32" t="n">
        <f>1200</f>
        <v>1200.0</v>
      </c>
      <c r="U13" s="32" t="n">
        <f>10</f>
        <v>10.0</v>
      </c>
      <c r="V13" s="32" t="n">
        <f>4093750</f>
        <v>4093750.0</v>
      </c>
      <c r="W13" s="32" t="n">
        <f>33700</f>
        <v>33700.0</v>
      </c>
      <c r="X13" s="36" t="n">
        <f>14</f>
        <v>14.0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357.4</f>
        <v>357.4</v>
      </c>
      <c r="L14" s="34" t="s">
        <v>50</v>
      </c>
      <c r="M14" s="33" t="n">
        <f>359.5</f>
        <v>359.5</v>
      </c>
      <c r="N14" s="34" t="s">
        <v>79</v>
      </c>
      <c r="O14" s="33" t="n">
        <f>347.2</f>
        <v>347.2</v>
      </c>
      <c r="P14" s="34" t="s">
        <v>51</v>
      </c>
      <c r="Q14" s="33" t="n">
        <f>353</f>
        <v>353.0</v>
      </c>
      <c r="R14" s="34" t="s">
        <v>51</v>
      </c>
      <c r="S14" s="35" t="n">
        <f>356.61</f>
        <v>356.61</v>
      </c>
      <c r="T14" s="32" t="n">
        <f>31000</f>
        <v>31000.0</v>
      </c>
      <c r="U14" s="32" t="n">
        <f>1000</f>
        <v>1000.0</v>
      </c>
      <c r="V14" s="32" t="n">
        <f>10999000</f>
        <v>1.0999E7</v>
      </c>
      <c r="W14" s="32" t="n">
        <f>353300</f>
        <v>353300.0</v>
      </c>
      <c r="X14" s="36" t="n">
        <f>10</f>
        <v>10.0</v>
      </c>
    </row>
    <row r="15">
      <c r="A15" s="27" t="s">
        <v>42</v>
      </c>
      <c r="B15" s="27" t="s">
        <v>80</v>
      </c>
      <c r="C15" s="27" t="s">
        <v>81</v>
      </c>
      <c r="D15" s="27" t="s">
        <v>82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28395</f>
        <v>28395.0</v>
      </c>
      <c r="L15" s="34" t="s">
        <v>48</v>
      </c>
      <c r="M15" s="33" t="n">
        <f>29830</f>
        <v>29830.0</v>
      </c>
      <c r="N15" s="34" t="s">
        <v>49</v>
      </c>
      <c r="O15" s="33" t="n">
        <f>28115</f>
        <v>28115.0</v>
      </c>
      <c r="P15" s="34" t="s">
        <v>50</v>
      </c>
      <c r="Q15" s="33" t="n">
        <f>28745</f>
        <v>28745.0</v>
      </c>
      <c r="R15" s="34" t="s">
        <v>51</v>
      </c>
      <c r="S15" s="35" t="n">
        <f>28948.64</f>
        <v>28948.64</v>
      </c>
      <c r="T15" s="32" t="n">
        <f>1727299</f>
        <v>1727299.0</v>
      </c>
      <c r="U15" s="32" t="n">
        <f>681030</f>
        <v>681030.0</v>
      </c>
      <c r="V15" s="32" t="n">
        <f>50458847440</f>
        <v>5.045884744E10</v>
      </c>
      <c r="W15" s="32" t="n">
        <f>20057704850</f>
        <v>2.005770485E10</v>
      </c>
      <c r="X15" s="36" t="n">
        <f>22</f>
        <v>22.0</v>
      </c>
    </row>
    <row r="16">
      <c r="A16" s="27" t="s">
        <v>42</v>
      </c>
      <c r="B16" s="27" t="s">
        <v>83</v>
      </c>
      <c r="C16" s="27" t="s">
        <v>84</v>
      </c>
      <c r="D16" s="27" t="s">
        <v>85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28500</f>
        <v>28500.0</v>
      </c>
      <c r="L16" s="34" t="s">
        <v>48</v>
      </c>
      <c r="M16" s="33" t="n">
        <f>29925</f>
        <v>29925.0</v>
      </c>
      <c r="N16" s="34" t="s">
        <v>49</v>
      </c>
      <c r="O16" s="33" t="n">
        <f>28205</f>
        <v>28205.0</v>
      </c>
      <c r="P16" s="34" t="s">
        <v>50</v>
      </c>
      <c r="Q16" s="33" t="n">
        <f>28795</f>
        <v>28795.0</v>
      </c>
      <c r="R16" s="34" t="s">
        <v>51</v>
      </c>
      <c r="S16" s="35" t="n">
        <f>29037.27</f>
        <v>29037.27</v>
      </c>
      <c r="T16" s="32" t="n">
        <f>5153856</f>
        <v>5153856.0</v>
      </c>
      <c r="U16" s="32" t="n">
        <f>636530</f>
        <v>636530.0</v>
      </c>
      <c r="V16" s="32" t="n">
        <f>149733393724</f>
        <v>1.49733393724E11</v>
      </c>
      <c r="W16" s="32" t="n">
        <f>18494323444</f>
        <v>1.8494323444E10</v>
      </c>
      <c r="X16" s="36" t="n">
        <f>22</f>
        <v>22.0</v>
      </c>
    </row>
    <row r="17">
      <c r="A17" s="27" t="s">
        <v>42</v>
      </c>
      <c r="B17" s="27" t="s">
        <v>86</v>
      </c>
      <c r="C17" s="27" t="s">
        <v>87</v>
      </c>
      <c r="D17" s="27" t="s">
        <v>88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8120</f>
        <v>8120.0</v>
      </c>
      <c r="L17" s="34" t="s">
        <v>48</v>
      </c>
      <c r="M17" s="33" t="n">
        <f>8390</f>
        <v>8390.0</v>
      </c>
      <c r="N17" s="34" t="s">
        <v>89</v>
      </c>
      <c r="O17" s="33" t="n">
        <f>7813</f>
        <v>7813.0</v>
      </c>
      <c r="P17" s="34" t="s">
        <v>50</v>
      </c>
      <c r="Q17" s="33" t="n">
        <f>8065</f>
        <v>8065.0</v>
      </c>
      <c r="R17" s="34" t="s">
        <v>51</v>
      </c>
      <c r="S17" s="35" t="n">
        <f>8159.55</f>
        <v>8159.55</v>
      </c>
      <c r="T17" s="32" t="n">
        <f>5720</f>
        <v>5720.0</v>
      </c>
      <c r="U17" s="32" t="str">
        <f>"－"</f>
        <v>－</v>
      </c>
      <c r="V17" s="32" t="n">
        <f>46693450</f>
        <v>4.669345E7</v>
      </c>
      <c r="W17" s="32" t="str">
        <f>"－"</f>
        <v>－</v>
      </c>
      <c r="X17" s="36" t="n">
        <f>22</f>
        <v>22.0</v>
      </c>
    </row>
    <row r="18">
      <c r="A18" s="27" t="s">
        <v>42</v>
      </c>
      <c r="B18" s="27" t="s">
        <v>90</v>
      </c>
      <c r="C18" s="27" t="s">
        <v>91</v>
      </c>
      <c r="D18" s="27" t="s">
        <v>92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str">
        <f>"－"</f>
        <v>－</v>
      </c>
      <c r="L18" s="34"/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5" t="str">
        <f>"－"</f>
        <v>－</v>
      </c>
      <c r="T18" s="32" t="str">
        <f>"－"</f>
        <v>－</v>
      </c>
      <c r="U18" s="32" t="str">
        <f>"－"</f>
        <v>－</v>
      </c>
      <c r="V18" s="32" t="str">
        <f>"－"</f>
        <v>－</v>
      </c>
      <c r="W18" s="32" t="str">
        <f>"－"</f>
        <v>－</v>
      </c>
      <c r="X18" s="36" t="str">
        <f>"－"</f>
        <v>－</v>
      </c>
    </row>
    <row r="19">
      <c r="A19" s="27" t="s">
        <v>42</v>
      </c>
      <c r="B19" s="27" t="s">
        <v>93</v>
      </c>
      <c r="C19" s="27" t="s">
        <v>94</v>
      </c>
      <c r="D19" s="27" t="s">
        <v>95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185</f>
        <v>185.0</v>
      </c>
      <c r="L19" s="34" t="s">
        <v>48</v>
      </c>
      <c r="M19" s="33" t="n">
        <f>208.7</f>
        <v>208.7</v>
      </c>
      <c r="N19" s="34" t="s">
        <v>51</v>
      </c>
      <c r="O19" s="33" t="n">
        <f>181</f>
        <v>181.0</v>
      </c>
      <c r="P19" s="34" t="s">
        <v>50</v>
      </c>
      <c r="Q19" s="33" t="n">
        <f>207.5</f>
        <v>207.5</v>
      </c>
      <c r="R19" s="34" t="s">
        <v>51</v>
      </c>
      <c r="S19" s="35" t="n">
        <f>194.23</f>
        <v>194.23</v>
      </c>
      <c r="T19" s="32" t="n">
        <f>470900</f>
        <v>470900.0</v>
      </c>
      <c r="U19" s="32" t="n">
        <f>100</f>
        <v>100.0</v>
      </c>
      <c r="V19" s="32" t="n">
        <f>91737580</f>
        <v>9.173758E7</v>
      </c>
      <c r="W19" s="32" t="n">
        <f>20020</f>
        <v>20020.0</v>
      </c>
      <c r="X19" s="36" t="n">
        <f>22</f>
        <v>22.0</v>
      </c>
    </row>
    <row r="20">
      <c r="A20" s="27" t="s">
        <v>42</v>
      </c>
      <c r="B20" s="27" t="s">
        <v>96</v>
      </c>
      <c r="C20" s="27" t="s">
        <v>97</v>
      </c>
      <c r="D20" s="27" t="s">
        <v>98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21900</f>
        <v>21900.0</v>
      </c>
      <c r="L20" s="34" t="s">
        <v>48</v>
      </c>
      <c r="M20" s="33" t="n">
        <f>22605</f>
        <v>22605.0</v>
      </c>
      <c r="N20" s="34" t="s">
        <v>99</v>
      </c>
      <c r="O20" s="33" t="n">
        <f>21560</f>
        <v>21560.0</v>
      </c>
      <c r="P20" s="34" t="s">
        <v>50</v>
      </c>
      <c r="Q20" s="33" t="n">
        <f>22225</f>
        <v>22225.0</v>
      </c>
      <c r="R20" s="34" t="s">
        <v>51</v>
      </c>
      <c r="S20" s="35" t="n">
        <f>22213.86</f>
        <v>22213.86</v>
      </c>
      <c r="T20" s="32" t="n">
        <f>208361</f>
        <v>208361.0</v>
      </c>
      <c r="U20" s="32" t="str">
        <f>"－"</f>
        <v>－</v>
      </c>
      <c r="V20" s="32" t="n">
        <f>4595390775</f>
        <v>4.595390775E9</v>
      </c>
      <c r="W20" s="32" t="str">
        <f>"－"</f>
        <v>－</v>
      </c>
      <c r="X20" s="36" t="n">
        <f>22</f>
        <v>22.0</v>
      </c>
    </row>
    <row r="21">
      <c r="A21" s="27" t="s">
        <v>42</v>
      </c>
      <c r="B21" s="27" t="s">
        <v>100</v>
      </c>
      <c r="C21" s="27" t="s">
        <v>101</v>
      </c>
      <c r="D21" s="27" t="s">
        <v>102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10.0</v>
      </c>
      <c r="K21" s="33" t="n">
        <f>5893</f>
        <v>5893.0</v>
      </c>
      <c r="L21" s="34" t="s">
        <v>48</v>
      </c>
      <c r="M21" s="33" t="n">
        <f>6100</f>
        <v>6100.0</v>
      </c>
      <c r="N21" s="34" t="s">
        <v>103</v>
      </c>
      <c r="O21" s="33" t="n">
        <f>5806</f>
        <v>5806.0</v>
      </c>
      <c r="P21" s="34" t="s">
        <v>50</v>
      </c>
      <c r="Q21" s="33" t="n">
        <f>5977</f>
        <v>5977.0</v>
      </c>
      <c r="R21" s="34" t="s">
        <v>51</v>
      </c>
      <c r="S21" s="35" t="n">
        <f>5970.73</f>
        <v>5970.73</v>
      </c>
      <c r="T21" s="32" t="n">
        <f>444180</f>
        <v>444180.0</v>
      </c>
      <c r="U21" s="32" t="n">
        <f>181810</f>
        <v>181810.0</v>
      </c>
      <c r="V21" s="32" t="n">
        <f>2627654920</f>
        <v>2.62765492E9</v>
      </c>
      <c r="W21" s="32" t="n">
        <f>1072110810</f>
        <v>1.07211081E9</v>
      </c>
      <c r="X21" s="36" t="n">
        <f>22</f>
        <v>22.0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28930</f>
        <v>28930.0</v>
      </c>
      <c r="L22" s="34" t="s">
        <v>48</v>
      </c>
      <c r="M22" s="33" t="n">
        <f>30080</f>
        <v>30080.0</v>
      </c>
      <c r="N22" s="34" t="s">
        <v>49</v>
      </c>
      <c r="O22" s="33" t="n">
        <f>28555</f>
        <v>28555.0</v>
      </c>
      <c r="P22" s="34" t="s">
        <v>99</v>
      </c>
      <c r="Q22" s="33" t="n">
        <f>28945</f>
        <v>28945.0</v>
      </c>
      <c r="R22" s="34" t="s">
        <v>51</v>
      </c>
      <c r="S22" s="35" t="n">
        <f>29259.32</f>
        <v>29259.32</v>
      </c>
      <c r="T22" s="32" t="n">
        <f>448497</f>
        <v>448497.0</v>
      </c>
      <c r="U22" s="32" t="n">
        <f>78782</f>
        <v>78782.0</v>
      </c>
      <c r="V22" s="32" t="n">
        <f>13158059418</f>
        <v>1.3158059418E10</v>
      </c>
      <c r="W22" s="32" t="n">
        <f>2319780268</f>
        <v>2.319780268E9</v>
      </c>
      <c r="X22" s="36" t="n">
        <f>22</f>
        <v>22.0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28510</f>
        <v>28510.0</v>
      </c>
      <c r="L23" s="34" t="s">
        <v>48</v>
      </c>
      <c r="M23" s="33" t="n">
        <f>29955</f>
        <v>29955.0</v>
      </c>
      <c r="N23" s="34" t="s">
        <v>49</v>
      </c>
      <c r="O23" s="33" t="n">
        <f>28230</f>
        <v>28230.0</v>
      </c>
      <c r="P23" s="34" t="s">
        <v>50</v>
      </c>
      <c r="Q23" s="33" t="n">
        <f>28820</f>
        <v>28820.0</v>
      </c>
      <c r="R23" s="34" t="s">
        <v>51</v>
      </c>
      <c r="S23" s="35" t="n">
        <f>29071.82</f>
        <v>29071.82</v>
      </c>
      <c r="T23" s="32" t="n">
        <f>1238740</f>
        <v>1238740.0</v>
      </c>
      <c r="U23" s="32" t="n">
        <f>329840</f>
        <v>329840.0</v>
      </c>
      <c r="V23" s="32" t="n">
        <f>36191169982</f>
        <v>3.6191169982E10</v>
      </c>
      <c r="W23" s="32" t="n">
        <f>9706921332</f>
        <v>9.706921332E9</v>
      </c>
      <c r="X23" s="36" t="n">
        <f>22</f>
        <v>22.0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2189</f>
        <v>2189.0</v>
      </c>
      <c r="L24" s="34" t="s">
        <v>48</v>
      </c>
      <c r="M24" s="33" t="n">
        <f>2200</f>
        <v>2200.0</v>
      </c>
      <c r="N24" s="34" t="s">
        <v>48</v>
      </c>
      <c r="O24" s="33" t="n">
        <f>2146.5</f>
        <v>2146.5</v>
      </c>
      <c r="P24" s="34" t="s">
        <v>99</v>
      </c>
      <c r="Q24" s="33" t="n">
        <f>2188.5</f>
        <v>2188.5</v>
      </c>
      <c r="R24" s="34" t="s">
        <v>51</v>
      </c>
      <c r="S24" s="35" t="n">
        <f>2171.27</f>
        <v>2171.27</v>
      </c>
      <c r="T24" s="32" t="n">
        <f>6751790</f>
        <v>6751790.0</v>
      </c>
      <c r="U24" s="32" t="n">
        <f>2596150</f>
        <v>2596150.0</v>
      </c>
      <c r="V24" s="32" t="n">
        <f>14691480383</f>
        <v>1.4691480383E10</v>
      </c>
      <c r="W24" s="32" t="n">
        <f>5653486158</f>
        <v>5.653486158E9</v>
      </c>
      <c r="X24" s="36" t="n">
        <f>22</f>
        <v>22.0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100.0</v>
      </c>
      <c r="K25" s="33" t="n">
        <f>2052</f>
        <v>2052.0</v>
      </c>
      <c r="L25" s="34" t="s">
        <v>48</v>
      </c>
      <c r="M25" s="33" t="n">
        <f>2080.5</f>
        <v>2080.5</v>
      </c>
      <c r="N25" s="34" t="s">
        <v>51</v>
      </c>
      <c r="O25" s="33" t="n">
        <f>2027</f>
        <v>2027.0</v>
      </c>
      <c r="P25" s="34" t="s">
        <v>74</v>
      </c>
      <c r="Q25" s="33" t="n">
        <f>2075</f>
        <v>2075.0</v>
      </c>
      <c r="R25" s="34" t="s">
        <v>51</v>
      </c>
      <c r="S25" s="35" t="n">
        <f>2051.34</f>
        <v>2051.34</v>
      </c>
      <c r="T25" s="32" t="n">
        <f>1621500</f>
        <v>1621500.0</v>
      </c>
      <c r="U25" s="32" t="n">
        <f>511500</f>
        <v>511500.0</v>
      </c>
      <c r="V25" s="32" t="n">
        <f>3321723413</f>
        <v>3.321723413E9</v>
      </c>
      <c r="W25" s="32" t="n">
        <f>1048732013</f>
        <v>1.048732013E9</v>
      </c>
      <c r="X25" s="36" t="n">
        <f>22</f>
        <v>22.0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28630</f>
        <v>28630.0</v>
      </c>
      <c r="L26" s="34" t="s">
        <v>48</v>
      </c>
      <c r="M26" s="33" t="n">
        <f>30060</f>
        <v>30060.0</v>
      </c>
      <c r="N26" s="34" t="s">
        <v>49</v>
      </c>
      <c r="O26" s="33" t="n">
        <f>28330</f>
        <v>28330.0</v>
      </c>
      <c r="P26" s="34" t="s">
        <v>50</v>
      </c>
      <c r="Q26" s="33" t="n">
        <f>28890</f>
        <v>28890.0</v>
      </c>
      <c r="R26" s="34" t="s">
        <v>51</v>
      </c>
      <c r="S26" s="35" t="n">
        <f>29161.82</f>
        <v>29161.82</v>
      </c>
      <c r="T26" s="32" t="n">
        <f>460525</f>
        <v>460525.0</v>
      </c>
      <c r="U26" s="32" t="n">
        <f>104685</f>
        <v>104685.0</v>
      </c>
      <c r="V26" s="32" t="n">
        <f>13465070860</f>
        <v>1.346507086E10</v>
      </c>
      <c r="W26" s="32" t="n">
        <f>3066991690</f>
        <v>3.06699169E9</v>
      </c>
      <c r="X26" s="36" t="n">
        <f>22</f>
        <v>22.0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2004.5</f>
        <v>2004.5</v>
      </c>
      <c r="L27" s="34" t="s">
        <v>48</v>
      </c>
      <c r="M27" s="33" t="n">
        <f>2070</f>
        <v>2070.0</v>
      </c>
      <c r="N27" s="34" t="s">
        <v>49</v>
      </c>
      <c r="O27" s="33" t="n">
        <f>1985</f>
        <v>1985.0</v>
      </c>
      <c r="P27" s="34" t="s">
        <v>50</v>
      </c>
      <c r="Q27" s="33" t="n">
        <f>2025</f>
        <v>2025.0</v>
      </c>
      <c r="R27" s="34" t="s">
        <v>51</v>
      </c>
      <c r="S27" s="35" t="n">
        <f>2025.7</f>
        <v>2025.7</v>
      </c>
      <c r="T27" s="32" t="n">
        <f>4576730</f>
        <v>4576730.0</v>
      </c>
      <c r="U27" s="32" t="n">
        <f>1027600</f>
        <v>1027600.0</v>
      </c>
      <c r="V27" s="32" t="n">
        <f>9358529224</f>
        <v>9.358529224E9</v>
      </c>
      <c r="W27" s="32" t="n">
        <f>2098906569</f>
        <v>2.098906569E9</v>
      </c>
      <c r="X27" s="36" t="n">
        <f>22</f>
        <v>22.0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14250</f>
        <v>14250.0</v>
      </c>
      <c r="L28" s="34" t="s">
        <v>48</v>
      </c>
      <c r="M28" s="33" t="n">
        <f>14680</f>
        <v>14680.0</v>
      </c>
      <c r="N28" s="34" t="s">
        <v>75</v>
      </c>
      <c r="O28" s="33" t="n">
        <f>14025</f>
        <v>14025.0</v>
      </c>
      <c r="P28" s="34" t="s">
        <v>50</v>
      </c>
      <c r="Q28" s="33" t="n">
        <f>14600</f>
        <v>14600.0</v>
      </c>
      <c r="R28" s="34" t="s">
        <v>51</v>
      </c>
      <c r="S28" s="35" t="n">
        <f>14467.95</f>
        <v>14467.95</v>
      </c>
      <c r="T28" s="32" t="n">
        <f>752</f>
        <v>752.0</v>
      </c>
      <c r="U28" s="32" t="str">
        <f>"－"</f>
        <v>－</v>
      </c>
      <c r="V28" s="32" t="n">
        <f>10824540</f>
        <v>1.082454E7</v>
      </c>
      <c r="W28" s="32" t="str">
        <f>"－"</f>
        <v>－</v>
      </c>
      <c r="X28" s="36" t="n">
        <f>22</f>
        <v>22.0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10.0</v>
      </c>
      <c r="K29" s="33" t="n">
        <f>967.9</f>
        <v>967.9</v>
      </c>
      <c r="L29" s="34" t="s">
        <v>48</v>
      </c>
      <c r="M29" s="33" t="n">
        <f>984.8</f>
        <v>984.8</v>
      </c>
      <c r="N29" s="34" t="s">
        <v>50</v>
      </c>
      <c r="O29" s="33" t="n">
        <f>902</f>
        <v>902.0</v>
      </c>
      <c r="P29" s="34" t="s">
        <v>49</v>
      </c>
      <c r="Q29" s="33" t="n">
        <f>941.8</f>
        <v>941.8</v>
      </c>
      <c r="R29" s="34" t="s">
        <v>51</v>
      </c>
      <c r="S29" s="35" t="n">
        <f>942.76</f>
        <v>942.76</v>
      </c>
      <c r="T29" s="32" t="n">
        <f>7586580</f>
        <v>7586580.0</v>
      </c>
      <c r="U29" s="32" t="n">
        <f>16050</f>
        <v>16050.0</v>
      </c>
      <c r="V29" s="32" t="n">
        <f>7152006609</f>
        <v>7.152006609E9</v>
      </c>
      <c r="W29" s="32" t="n">
        <f>15135785</f>
        <v>1.5135785E7</v>
      </c>
      <c r="X29" s="36" t="n">
        <f>22</f>
        <v>22.0</v>
      </c>
    </row>
    <row r="30">
      <c r="A30" s="27" t="s">
        <v>42</v>
      </c>
      <c r="B30" s="27" t="s">
        <v>128</v>
      </c>
      <c r="C30" s="27" t="s">
        <v>129</v>
      </c>
      <c r="D30" s="27" t="s">
        <v>130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369</f>
        <v>369.0</v>
      </c>
      <c r="L30" s="34" t="s">
        <v>48</v>
      </c>
      <c r="M30" s="33" t="n">
        <f>376</f>
        <v>376.0</v>
      </c>
      <c r="N30" s="34" t="s">
        <v>50</v>
      </c>
      <c r="O30" s="33" t="n">
        <f>332</f>
        <v>332.0</v>
      </c>
      <c r="P30" s="34" t="s">
        <v>49</v>
      </c>
      <c r="Q30" s="33" t="n">
        <f>359</f>
        <v>359.0</v>
      </c>
      <c r="R30" s="34" t="s">
        <v>51</v>
      </c>
      <c r="S30" s="35" t="n">
        <f>353.64</f>
        <v>353.64</v>
      </c>
      <c r="T30" s="32" t="n">
        <f>1665615557</f>
        <v>1.665615557E9</v>
      </c>
      <c r="U30" s="32" t="n">
        <f>5595441</f>
        <v>5595441.0</v>
      </c>
      <c r="V30" s="32" t="n">
        <f>591258025449</f>
        <v>5.91258025449E11</v>
      </c>
      <c r="W30" s="32" t="n">
        <f>1890626867</f>
        <v>1.890626867E9</v>
      </c>
      <c r="X30" s="36" t="n">
        <f>22</f>
        <v>22.0</v>
      </c>
    </row>
    <row r="31">
      <c r="A31" s="27" t="s">
        <v>42</v>
      </c>
      <c r="B31" s="27" t="s">
        <v>131</v>
      </c>
      <c r="C31" s="27" t="s">
        <v>132</v>
      </c>
      <c r="D31" s="27" t="s">
        <v>133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26815</f>
        <v>26815.0</v>
      </c>
      <c r="L31" s="34" t="s">
        <v>48</v>
      </c>
      <c r="M31" s="33" t="n">
        <f>29525</f>
        <v>29525.0</v>
      </c>
      <c r="N31" s="34" t="s">
        <v>49</v>
      </c>
      <c r="O31" s="33" t="n">
        <f>26260</f>
        <v>26260.0</v>
      </c>
      <c r="P31" s="34" t="s">
        <v>50</v>
      </c>
      <c r="Q31" s="33" t="n">
        <f>27280</f>
        <v>27280.0</v>
      </c>
      <c r="R31" s="34" t="s">
        <v>51</v>
      </c>
      <c r="S31" s="35" t="n">
        <f>27816.14</f>
        <v>27816.14</v>
      </c>
      <c r="T31" s="32" t="n">
        <f>459124</f>
        <v>459124.0</v>
      </c>
      <c r="U31" s="32" t="str">
        <f>"－"</f>
        <v>－</v>
      </c>
      <c r="V31" s="32" t="n">
        <f>12778369320</f>
        <v>1.277836932E10</v>
      </c>
      <c r="W31" s="32" t="str">
        <f>"－"</f>
        <v>－</v>
      </c>
      <c r="X31" s="36" t="n">
        <f>22</f>
        <v>22.0</v>
      </c>
    </row>
    <row r="32">
      <c r="A32" s="27" t="s">
        <v>42</v>
      </c>
      <c r="B32" s="27" t="s">
        <v>134</v>
      </c>
      <c r="C32" s="27" t="s">
        <v>135</v>
      </c>
      <c r="D32" s="27" t="s">
        <v>136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899.5</f>
        <v>899.5</v>
      </c>
      <c r="L32" s="34" t="s">
        <v>48</v>
      </c>
      <c r="M32" s="33" t="n">
        <f>916.9</f>
        <v>916.9</v>
      </c>
      <c r="N32" s="34" t="s">
        <v>50</v>
      </c>
      <c r="O32" s="33" t="n">
        <f>810.7</f>
        <v>810.7</v>
      </c>
      <c r="P32" s="34" t="s">
        <v>49</v>
      </c>
      <c r="Q32" s="33" t="n">
        <f>873.5</f>
        <v>873.5</v>
      </c>
      <c r="R32" s="34" t="s">
        <v>51</v>
      </c>
      <c r="S32" s="35" t="n">
        <f>862.69</f>
        <v>862.69</v>
      </c>
      <c r="T32" s="32" t="n">
        <f>249267190</f>
        <v>2.4926719E8</v>
      </c>
      <c r="U32" s="32" t="n">
        <f>408850</f>
        <v>408850.0</v>
      </c>
      <c r="V32" s="32" t="n">
        <f>216428258917</f>
        <v>2.16428258917E11</v>
      </c>
      <c r="W32" s="32" t="n">
        <f>357822689</f>
        <v>3.57822689E8</v>
      </c>
      <c r="X32" s="36" t="n">
        <f>22</f>
        <v>22.0</v>
      </c>
    </row>
    <row r="33">
      <c r="A33" s="27" t="s">
        <v>42</v>
      </c>
      <c r="B33" s="27" t="s">
        <v>137</v>
      </c>
      <c r="C33" s="27" t="s">
        <v>138</v>
      </c>
      <c r="D33" s="27" t="s">
        <v>139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18000</f>
        <v>18000.0</v>
      </c>
      <c r="L33" s="34" t="s">
        <v>48</v>
      </c>
      <c r="M33" s="33" t="n">
        <f>18450</f>
        <v>18450.0</v>
      </c>
      <c r="N33" s="34" t="s">
        <v>140</v>
      </c>
      <c r="O33" s="33" t="n">
        <f>17600</f>
        <v>17600.0</v>
      </c>
      <c r="P33" s="34" t="s">
        <v>99</v>
      </c>
      <c r="Q33" s="33" t="n">
        <f>17995</f>
        <v>17995.0</v>
      </c>
      <c r="R33" s="34" t="s">
        <v>51</v>
      </c>
      <c r="S33" s="35" t="n">
        <f>18081.36</f>
        <v>18081.36</v>
      </c>
      <c r="T33" s="32" t="n">
        <f>4772</f>
        <v>4772.0</v>
      </c>
      <c r="U33" s="32" t="str">
        <f>"－"</f>
        <v>－</v>
      </c>
      <c r="V33" s="32" t="n">
        <f>85708925</f>
        <v>8.5708925E7</v>
      </c>
      <c r="W33" s="32" t="str">
        <f>"－"</f>
        <v>－</v>
      </c>
      <c r="X33" s="36" t="n">
        <f>22</f>
        <v>22.0</v>
      </c>
    </row>
    <row r="34">
      <c r="A34" s="27" t="s">
        <v>42</v>
      </c>
      <c r="B34" s="27" t="s">
        <v>141</v>
      </c>
      <c r="C34" s="27" t="s">
        <v>142</v>
      </c>
      <c r="D34" s="27" t="s">
        <v>143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22360</f>
        <v>22360.0</v>
      </c>
      <c r="L34" s="34" t="s">
        <v>48</v>
      </c>
      <c r="M34" s="33" t="n">
        <f>24625</f>
        <v>24625.0</v>
      </c>
      <c r="N34" s="34" t="s">
        <v>49</v>
      </c>
      <c r="O34" s="33" t="n">
        <f>21890</f>
        <v>21890.0</v>
      </c>
      <c r="P34" s="34" t="s">
        <v>50</v>
      </c>
      <c r="Q34" s="33" t="n">
        <f>22745</f>
        <v>22745.0</v>
      </c>
      <c r="R34" s="34" t="s">
        <v>51</v>
      </c>
      <c r="S34" s="35" t="n">
        <f>23194.32</f>
        <v>23194.32</v>
      </c>
      <c r="T34" s="32" t="n">
        <f>869271</f>
        <v>869271.0</v>
      </c>
      <c r="U34" s="32" t="n">
        <f>11</f>
        <v>11.0</v>
      </c>
      <c r="V34" s="32" t="n">
        <f>20126599330</f>
        <v>2.012659933E10</v>
      </c>
      <c r="W34" s="32" t="n">
        <f>254235</f>
        <v>254235.0</v>
      </c>
      <c r="X34" s="36" t="n">
        <f>22</f>
        <v>22.0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962</f>
        <v>962.0</v>
      </c>
      <c r="L35" s="34" t="s">
        <v>48</v>
      </c>
      <c r="M35" s="33" t="n">
        <f>980</f>
        <v>980.0</v>
      </c>
      <c r="N35" s="34" t="s">
        <v>50</v>
      </c>
      <c r="O35" s="33" t="n">
        <f>866</f>
        <v>866.0</v>
      </c>
      <c r="P35" s="34" t="s">
        <v>49</v>
      </c>
      <c r="Q35" s="33" t="n">
        <f>934</f>
        <v>934.0</v>
      </c>
      <c r="R35" s="34" t="s">
        <v>51</v>
      </c>
      <c r="S35" s="35" t="n">
        <f>921.18</f>
        <v>921.18</v>
      </c>
      <c r="T35" s="32" t="n">
        <f>26685804</f>
        <v>2.6685804E7</v>
      </c>
      <c r="U35" s="32" t="n">
        <f>2740</f>
        <v>2740.0</v>
      </c>
      <c r="V35" s="32" t="n">
        <f>24574096302</f>
        <v>2.4574096302E10</v>
      </c>
      <c r="W35" s="32" t="n">
        <f>2533940</f>
        <v>2533940.0</v>
      </c>
      <c r="X35" s="36" t="n">
        <f>22</f>
        <v>22.0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18560</f>
        <v>18560.0</v>
      </c>
      <c r="L36" s="34" t="s">
        <v>48</v>
      </c>
      <c r="M36" s="33" t="n">
        <f>19785</f>
        <v>19785.0</v>
      </c>
      <c r="N36" s="34" t="s">
        <v>49</v>
      </c>
      <c r="O36" s="33" t="n">
        <f>18200</f>
        <v>18200.0</v>
      </c>
      <c r="P36" s="34" t="s">
        <v>50</v>
      </c>
      <c r="Q36" s="33" t="n">
        <f>18880</f>
        <v>18880.0</v>
      </c>
      <c r="R36" s="34" t="s">
        <v>51</v>
      </c>
      <c r="S36" s="35" t="n">
        <f>18966.82</f>
        <v>18966.82</v>
      </c>
      <c r="T36" s="32" t="n">
        <f>90273</f>
        <v>90273.0</v>
      </c>
      <c r="U36" s="32" t="str">
        <f>"－"</f>
        <v>－</v>
      </c>
      <c r="V36" s="32" t="n">
        <f>1716086305</f>
        <v>1.716086305E9</v>
      </c>
      <c r="W36" s="32" t="str">
        <f>"－"</f>
        <v>－</v>
      </c>
      <c r="X36" s="36" t="n">
        <f>22</f>
        <v>22.0</v>
      </c>
    </row>
    <row r="37">
      <c r="A37" s="27" t="s">
        <v>42</v>
      </c>
      <c r="B37" s="27" t="s">
        <v>150</v>
      </c>
      <c r="C37" s="27" t="s">
        <v>151</v>
      </c>
      <c r="D37" s="27" t="s">
        <v>152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1405</f>
        <v>1405.0</v>
      </c>
      <c r="L37" s="34" t="s">
        <v>48</v>
      </c>
      <c r="M37" s="33" t="n">
        <f>1428</f>
        <v>1428.0</v>
      </c>
      <c r="N37" s="34" t="s">
        <v>50</v>
      </c>
      <c r="O37" s="33" t="n">
        <f>1309</f>
        <v>1309.0</v>
      </c>
      <c r="P37" s="34" t="s">
        <v>49</v>
      </c>
      <c r="Q37" s="33" t="n">
        <f>1364</f>
        <v>1364.0</v>
      </c>
      <c r="R37" s="34" t="s">
        <v>51</v>
      </c>
      <c r="S37" s="35" t="n">
        <f>1367.09</f>
        <v>1367.09</v>
      </c>
      <c r="T37" s="32" t="n">
        <f>1157095</f>
        <v>1157095.0</v>
      </c>
      <c r="U37" s="32" t="n">
        <f>5550</f>
        <v>5550.0</v>
      </c>
      <c r="V37" s="32" t="n">
        <f>1585940276</f>
        <v>1.585940276E9</v>
      </c>
      <c r="W37" s="32" t="n">
        <f>7525800</f>
        <v>7525800.0</v>
      </c>
      <c r="X37" s="36" t="n">
        <f>22</f>
        <v>22.0</v>
      </c>
    </row>
    <row r="38">
      <c r="A38" s="27" t="s">
        <v>42</v>
      </c>
      <c r="B38" s="27" t="s">
        <v>153</v>
      </c>
      <c r="C38" s="27" t="s">
        <v>154</v>
      </c>
      <c r="D38" s="27" t="s">
        <v>155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27785</f>
        <v>27785.0</v>
      </c>
      <c r="L38" s="34" t="s">
        <v>48</v>
      </c>
      <c r="M38" s="33" t="n">
        <f>29175</f>
        <v>29175.0</v>
      </c>
      <c r="N38" s="34" t="s">
        <v>49</v>
      </c>
      <c r="O38" s="33" t="n">
        <f>27530</f>
        <v>27530.0</v>
      </c>
      <c r="P38" s="34" t="s">
        <v>50</v>
      </c>
      <c r="Q38" s="33" t="n">
        <f>28060</f>
        <v>28060.0</v>
      </c>
      <c r="R38" s="34" t="s">
        <v>51</v>
      </c>
      <c r="S38" s="35" t="n">
        <f>28320.91</f>
        <v>28320.91</v>
      </c>
      <c r="T38" s="32" t="n">
        <f>203145</f>
        <v>203145.0</v>
      </c>
      <c r="U38" s="32" t="n">
        <f>20400</f>
        <v>20400.0</v>
      </c>
      <c r="V38" s="32" t="n">
        <f>5760419485</f>
        <v>5.760419485E9</v>
      </c>
      <c r="W38" s="32" t="n">
        <f>571196400</f>
        <v>5.711964E8</v>
      </c>
      <c r="X38" s="36" t="n">
        <f>22</f>
        <v>22.0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5150</f>
        <v>5150.0</v>
      </c>
      <c r="L39" s="34" t="s">
        <v>48</v>
      </c>
      <c r="M39" s="33" t="n">
        <f>5300</f>
        <v>5300.0</v>
      </c>
      <c r="N39" s="34" t="s">
        <v>140</v>
      </c>
      <c r="O39" s="33" t="n">
        <f>4950</f>
        <v>4950.0</v>
      </c>
      <c r="P39" s="34" t="s">
        <v>69</v>
      </c>
      <c r="Q39" s="33" t="n">
        <f>5080</f>
        <v>5080.0</v>
      </c>
      <c r="R39" s="34" t="s">
        <v>51</v>
      </c>
      <c r="S39" s="35" t="n">
        <f>5150.91</f>
        <v>5150.91</v>
      </c>
      <c r="T39" s="32" t="n">
        <f>5396</f>
        <v>5396.0</v>
      </c>
      <c r="U39" s="32" t="str">
        <f>"－"</f>
        <v>－</v>
      </c>
      <c r="V39" s="32" t="n">
        <f>27684525</f>
        <v>2.7684525E7</v>
      </c>
      <c r="W39" s="32" t="str">
        <f>"－"</f>
        <v>－</v>
      </c>
      <c r="X39" s="36" t="n">
        <f>22</f>
        <v>22.0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9806</f>
        <v>9806.0</v>
      </c>
      <c r="L40" s="34" t="s">
        <v>48</v>
      </c>
      <c r="M40" s="33" t="n">
        <f>9909</f>
        <v>9909.0</v>
      </c>
      <c r="N40" s="34" t="s">
        <v>50</v>
      </c>
      <c r="O40" s="33" t="n">
        <f>9451</f>
        <v>9451.0</v>
      </c>
      <c r="P40" s="34" t="s">
        <v>69</v>
      </c>
      <c r="Q40" s="33" t="n">
        <f>9749</f>
        <v>9749.0</v>
      </c>
      <c r="R40" s="34" t="s">
        <v>51</v>
      </c>
      <c r="S40" s="35" t="n">
        <f>9763.64</f>
        <v>9763.64</v>
      </c>
      <c r="T40" s="32" t="n">
        <f>1464</f>
        <v>1464.0</v>
      </c>
      <c r="U40" s="32" t="str">
        <f>"－"</f>
        <v>－</v>
      </c>
      <c r="V40" s="32" t="n">
        <f>14221659</f>
        <v>1.4221659E7</v>
      </c>
      <c r="W40" s="32" t="str">
        <f>"－"</f>
        <v>－</v>
      </c>
      <c r="X40" s="36" t="n">
        <f>22</f>
        <v>22.0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17755</f>
        <v>17755.0</v>
      </c>
      <c r="L41" s="34" t="s">
        <v>50</v>
      </c>
      <c r="M41" s="33" t="n">
        <f>18475</f>
        <v>18475.0</v>
      </c>
      <c r="N41" s="34" t="s">
        <v>165</v>
      </c>
      <c r="O41" s="33" t="n">
        <f>16990</f>
        <v>16990.0</v>
      </c>
      <c r="P41" s="34" t="s">
        <v>69</v>
      </c>
      <c r="Q41" s="33" t="n">
        <f>17235</f>
        <v>17235.0</v>
      </c>
      <c r="R41" s="34" t="s">
        <v>75</v>
      </c>
      <c r="S41" s="35" t="n">
        <f>17763.93</f>
        <v>17763.93</v>
      </c>
      <c r="T41" s="32" t="n">
        <f>59</f>
        <v>59.0</v>
      </c>
      <c r="U41" s="32" t="str">
        <f>"－"</f>
        <v>－</v>
      </c>
      <c r="V41" s="32" t="n">
        <f>1058710</f>
        <v>1058710.0</v>
      </c>
      <c r="W41" s="32" t="str">
        <f>"－"</f>
        <v>－</v>
      </c>
      <c r="X41" s="36" t="n">
        <f>14</f>
        <v>14.0</v>
      </c>
    </row>
    <row r="42">
      <c r="A42" s="27" t="s">
        <v>42</v>
      </c>
      <c r="B42" s="27" t="s">
        <v>166</v>
      </c>
      <c r="C42" s="27" t="s">
        <v>167</v>
      </c>
      <c r="D42" s="27" t="s">
        <v>168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15025</f>
        <v>15025.0</v>
      </c>
      <c r="L42" s="34" t="s">
        <v>48</v>
      </c>
      <c r="M42" s="33" t="n">
        <f>15835</f>
        <v>15835.0</v>
      </c>
      <c r="N42" s="34" t="s">
        <v>68</v>
      </c>
      <c r="O42" s="33" t="n">
        <f>14500</f>
        <v>14500.0</v>
      </c>
      <c r="P42" s="34" t="s">
        <v>69</v>
      </c>
      <c r="Q42" s="33" t="n">
        <f>14500</f>
        <v>14500.0</v>
      </c>
      <c r="R42" s="34" t="s">
        <v>69</v>
      </c>
      <c r="S42" s="35" t="n">
        <f>15160.71</f>
        <v>15160.71</v>
      </c>
      <c r="T42" s="32" t="n">
        <f>18</f>
        <v>18.0</v>
      </c>
      <c r="U42" s="32" t="str">
        <f>"－"</f>
        <v>－</v>
      </c>
      <c r="V42" s="32" t="n">
        <f>271705</f>
        <v>271705.0</v>
      </c>
      <c r="W42" s="32" t="str">
        <f>"－"</f>
        <v>－</v>
      </c>
      <c r="X42" s="36" t="n">
        <f>7</f>
        <v>7.0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11175</f>
        <v>11175.0</v>
      </c>
      <c r="L43" s="34" t="s">
        <v>48</v>
      </c>
      <c r="M43" s="33" t="n">
        <f>11480</f>
        <v>11480.0</v>
      </c>
      <c r="N43" s="34" t="s">
        <v>49</v>
      </c>
      <c r="O43" s="33" t="n">
        <f>10855</f>
        <v>10855.0</v>
      </c>
      <c r="P43" s="34" t="s">
        <v>50</v>
      </c>
      <c r="Q43" s="33" t="n">
        <f>11165</f>
        <v>11165.0</v>
      </c>
      <c r="R43" s="34" t="s">
        <v>51</v>
      </c>
      <c r="S43" s="35" t="n">
        <f>11167.38</f>
        <v>11167.38</v>
      </c>
      <c r="T43" s="32" t="n">
        <f>875</f>
        <v>875.0</v>
      </c>
      <c r="U43" s="32" t="str">
        <f>"－"</f>
        <v>－</v>
      </c>
      <c r="V43" s="32" t="n">
        <f>9761115</f>
        <v>9761115.0</v>
      </c>
      <c r="W43" s="32" t="str">
        <f>"－"</f>
        <v>－</v>
      </c>
      <c r="X43" s="36" t="n">
        <f>21</f>
        <v>21.0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5590</f>
        <v>5590.0</v>
      </c>
      <c r="L44" s="34" t="s">
        <v>48</v>
      </c>
      <c r="M44" s="33" t="n">
        <f>5840</f>
        <v>5840.0</v>
      </c>
      <c r="N44" s="34" t="s">
        <v>175</v>
      </c>
      <c r="O44" s="33" t="n">
        <f>5490</f>
        <v>5490.0</v>
      </c>
      <c r="P44" s="34" t="s">
        <v>50</v>
      </c>
      <c r="Q44" s="33" t="n">
        <f>5710</f>
        <v>5710.0</v>
      </c>
      <c r="R44" s="34" t="s">
        <v>51</v>
      </c>
      <c r="S44" s="35" t="n">
        <f>5689.09</f>
        <v>5689.09</v>
      </c>
      <c r="T44" s="32" t="n">
        <f>1831</f>
        <v>1831.0</v>
      </c>
      <c r="U44" s="32" t="str">
        <f>"－"</f>
        <v>－</v>
      </c>
      <c r="V44" s="32" t="n">
        <f>10347120</f>
        <v>1.034712E7</v>
      </c>
      <c r="W44" s="32" t="str">
        <f>"－"</f>
        <v>－</v>
      </c>
      <c r="X44" s="36" t="n">
        <f>22</f>
        <v>22.0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3025</f>
        <v>3025.0</v>
      </c>
      <c r="L45" s="34" t="s">
        <v>48</v>
      </c>
      <c r="M45" s="33" t="n">
        <f>3145</f>
        <v>3145.0</v>
      </c>
      <c r="N45" s="34" t="s">
        <v>68</v>
      </c>
      <c r="O45" s="33" t="n">
        <f>2950</f>
        <v>2950.0</v>
      </c>
      <c r="P45" s="34" t="s">
        <v>69</v>
      </c>
      <c r="Q45" s="33" t="n">
        <f>3040</f>
        <v>3040.0</v>
      </c>
      <c r="R45" s="34" t="s">
        <v>51</v>
      </c>
      <c r="S45" s="35" t="n">
        <f>3061.36</f>
        <v>3061.36</v>
      </c>
      <c r="T45" s="32" t="n">
        <f>14734</f>
        <v>14734.0</v>
      </c>
      <c r="U45" s="32" t="str">
        <f>"－"</f>
        <v>－</v>
      </c>
      <c r="V45" s="32" t="n">
        <f>44717197</f>
        <v>4.4717197E7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3030</f>
        <v>3030.0</v>
      </c>
      <c r="L46" s="34" t="s">
        <v>48</v>
      </c>
      <c r="M46" s="33" t="n">
        <f>3140</f>
        <v>3140.0</v>
      </c>
      <c r="N46" s="34" t="s">
        <v>182</v>
      </c>
      <c r="O46" s="33" t="n">
        <f>2980</f>
        <v>2980.0</v>
      </c>
      <c r="P46" s="34" t="s">
        <v>50</v>
      </c>
      <c r="Q46" s="33" t="n">
        <f>3015</f>
        <v>3015.0</v>
      </c>
      <c r="R46" s="34" t="s">
        <v>51</v>
      </c>
      <c r="S46" s="35" t="n">
        <f>3060.68</f>
        <v>3060.68</v>
      </c>
      <c r="T46" s="32" t="n">
        <f>1797</f>
        <v>1797.0</v>
      </c>
      <c r="U46" s="32" t="n">
        <f>81</f>
        <v>81.0</v>
      </c>
      <c r="V46" s="32" t="n">
        <f>5473896</f>
        <v>5473896.0</v>
      </c>
      <c r="W46" s="32" t="n">
        <f>230769</f>
        <v>230769.0</v>
      </c>
      <c r="X46" s="36" t="n">
        <f>22</f>
        <v>22.0</v>
      </c>
    </row>
    <row r="47">
      <c r="A47" s="27" t="s">
        <v>42</v>
      </c>
      <c r="B47" s="27" t="s">
        <v>183</v>
      </c>
      <c r="C47" s="27" t="s">
        <v>184</v>
      </c>
      <c r="D47" s="27" t="s">
        <v>185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53380</f>
        <v>53380.0</v>
      </c>
      <c r="L47" s="34" t="s">
        <v>48</v>
      </c>
      <c r="M47" s="33" t="n">
        <f>56000</f>
        <v>56000.0</v>
      </c>
      <c r="N47" s="34" t="s">
        <v>182</v>
      </c>
      <c r="O47" s="33" t="n">
        <f>51760</f>
        <v>51760.0</v>
      </c>
      <c r="P47" s="34" t="s">
        <v>50</v>
      </c>
      <c r="Q47" s="33" t="n">
        <f>53500</f>
        <v>53500.0</v>
      </c>
      <c r="R47" s="34" t="s">
        <v>51</v>
      </c>
      <c r="S47" s="35" t="n">
        <f>54267.14</f>
        <v>54267.14</v>
      </c>
      <c r="T47" s="32" t="n">
        <f>1400</f>
        <v>1400.0</v>
      </c>
      <c r="U47" s="32" t="str">
        <f>"－"</f>
        <v>－</v>
      </c>
      <c r="V47" s="32" t="n">
        <f>76048030</f>
        <v>7.604803E7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186</v>
      </c>
      <c r="C48" s="27" t="s">
        <v>187</v>
      </c>
      <c r="D48" s="27" t="s">
        <v>188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37030</f>
        <v>37030.0</v>
      </c>
      <c r="L48" s="34" t="s">
        <v>48</v>
      </c>
      <c r="M48" s="33" t="n">
        <f>38680</f>
        <v>38680.0</v>
      </c>
      <c r="N48" s="34" t="s">
        <v>140</v>
      </c>
      <c r="O48" s="33" t="n">
        <f>36890</f>
        <v>36890.0</v>
      </c>
      <c r="P48" s="34" t="s">
        <v>189</v>
      </c>
      <c r="Q48" s="33" t="n">
        <f>36980</f>
        <v>36980.0</v>
      </c>
      <c r="R48" s="34" t="s">
        <v>51</v>
      </c>
      <c r="S48" s="35" t="n">
        <f>37627.27</f>
        <v>37627.27</v>
      </c>
      <c r="T48" s="32" t="n">
        <f>234</f>
        <v>234.0</v>
      </c>
      <c r="U48" s="32" t="str">
        <f>"－"</f>
        <v>－</v>
      </c>
      <c r="V48" s="32" t="n">
        <f>8926480</f>
        <v>8926480.0</v>
      </c>
      <c r="W48" s="32" t="str">
        <f>"－"</f>
        <v>－</v>
      </c>
      <c r="X48" s="36" t="n">
        <f>11</f>
        <v>11.0</v>
      </c>
    </row>
    <row r="49">
      <c r="A49" s="27" t="s">
        <v>42</v>
      </c>
      <c r="B49" s="27" t="s">
        <v>190</v>
      </c>
      <c r="C49" s="27" t="s">
        <v>191</v>
      </c>
      <c r="D49" s="27" t="s">
        <v>192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28000</f>
        <v>28000.0</v>
      </c>
      <c r="L49" s="34" t="s">
        <v>74</v>
      </c>
      <c r="M49" s="33" t="n">
        <f>29500</f>
        <v>29500.0</v>
      </c>
      <c r="N49" s="34" t="s">
        <v>49</v>
      </c>
      <c r="O49" s="33" t="n">
        <f>28000</f>
        <v>28000.0</v>
      </c>
      <c r="P49" s="34" t="s">
        <v>74</v>
      </c>
      <c r="Q49" s="33" t="n">
        <f>28340</f>
        <v>28340.0</v>
      </c>
      <c r="R49" s="34" t="s">
        <v>75</v>
      </c>
      <c r="S49" s="35" t="n">
        <f>28718.06</f>
        <v>28718.06</v>
      </c>
      <c r="T49" s="32" t="n">
        <f>45842</f>
        <v>45842.0</v>
      </c>
      <c r="U49" s="32" t="n">
        <f>25689</f>
        <v>25689.0</v>
      </c>
      <c r="V49" s="32" t="n">
        <f>1326390546</f>
        <v>1.326390546E9</v>
      </c>
      <c r="W49" s="32" t="n">
        <f>742399886</f>
        <v>7.42399886E8</v>
      </c>
      <c r="X49" s="36" t="n">
        <f>18</f>
        <v>18.0</v>
      </c>
    </row>
    <row r="50">
      <c r="A50" s="27" t="s">
        <v>42</v>
      </c>
      <c r="B50" s="27" t="s">
        <v>193</v>
      </c>
      <c r="C50" s="27" t="s">
        <v>194</v>
      </c>
      <c r="D50" s="27" t="s">
        <v>195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2076</f>
        <v>2076.0</v>
      </c>
      <c r="L50" s="34" t="s">
        <v>48</v>
      </c>
      <c r="M50" s="33" t="n">
        <f>2104.5</f>
        <v>2104.5</v>
      </c>
      <c r="N50" s="34" t="s">
        <v>75</v>
      </c>
      <c r="O50" s="33" t="n">
        <f>2060.5</f>
        <v>2060.5</v>
      </c>
      <c r="P50" s="34" t="s">
        <v>99</v>
      </c>
      <c r="Q50" s="33" t="n">
        <f>2093.5</f>
        <v>2093.5</v>
      </c>
      <c r="R50" s="34" t="s">
        <v>51</v>
      </c>
      <c r="S50" s="35" t="n">
        <f>2074.73</f>
        <v>2074.73</v>
      </c>
      <c r="T50" s="32" t="n">
        <f>695520</f>
        <v>695520.0</v>
      </c>
      <c r="U50" s="32" t="n">
        <f>459210</f>
        <v>459210.0</v>
      </c>
      <c r="V50" s="32" t="n">
        <f>1441869305</f>
        <v>1.441869305E9</v>
      </c>
      <c r="W50" s="32" t="n">
        <f>951607150</f>
        <v>9.5160715E8</v>
      </c>
      <c r="X50" s="36" t="n">
        <f>22</f>
        <v>22.0</v>
      </c>
    </row>
    <row r="51">
      <c r="A51" s="27" t="s">
        <v>42</v>
      </c>
      <c r="B51" s="27" t="s">
        <v>196</v>
      </c>
      <c r="C51" s="27" t="s">
        <v>197</v>
      </c>
      <c r="D51" s="27" t="s">
        <v>198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1641</f>
        <v>1641.0</v>
      </c>
      <c r="L51" s="34" t="s">
        <v>48</v>
      </c>
      <c r="M51" s="33" t="n">
        <f>1678.5</f>
        <v>1678.5</v>
      </c>
      <c r="N51" s="34" t="s">
        <v>49</v>
      </c>
      <c r="O51" s="33" t="n">
        <f>1600.5</f>
        <v>1600.5</v>
      </c>
      <c r="P51" s="34" t="s">
        <v>103</v>
      </c>
      <c r="Q51" s="33" t="n">
        <f>1664.5</f>
        <v>1664.5</v>
      </c>
      <c r="R51" s="34" t="s">
        <v>51</v>
      </c>
      <c r="S51" s="35" t="n">
        <f>1649.1</f>
        <v>1649.1</v>
      </c>
      <c r="T51" s="32" t="n">
        <f>1800</f>
        <v>1800.0</v>
      </c>
      <c r="U51" s="32" t="str">
        <f>"－"</f>
        <v>－</v>
      </c>
      <c r="V51" s="32" t="n">
        <f>2970095</f>
        <v>2970095.0</v>
      </c>
      <c r="W51" s="32" t="str">
        <f>"－"</f>
        <v>－</v>
      </c>
      <c r="X51" s="36" t="n">
        <f>21</f>
        <v>21.0</v>
      </c>
    </row>
    <row r="52">
      <c r="A52" s="27" t="s">
        <v>42</v>
      </c>
      <c r="B52" s="27" t="s">
        <v>199</v>
      </c>
      <c r="C52" s="27" t="s">
        <v>200</v>
      </c>
      <c r="D52" s="27" t="s">
        <v>201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4175</f>
        <v>4175.0</v>
      </c>
      <c r="L52" s="34" t="s">
        <v>48</v>
      </c>
      <c r="M52" s="33" t="n">
        <f>4215</f>
        <v>4215.0</v>
      </c>
      <c r="N52" s="34" t="s">
        <v>50</v>
      </c>
      <c r="O52" s="33" t="n">
        <f>3965</f>
        <v>3965.0</v>
      </c>
      <c r="P52" s="34" t="s">
        <v>49</v>
      </c>
      <c r="Q52" s="33" t="n">
        <f>4120</f>
        <v>4120.0</v>
      </c>
      <c r="R52" s="34" t="s">
        <v>51</v>
      </c>
      <c r="S52" s="35" t="n">
        <f>4090.45</f>
        <v>4090.45</v>
      </c>
      <c r="T52" s="32" t="n">
        <f>372010</f>
        <v>372010.0</v>
      </c>
      <c r="U52" s="32" t="n">
        <f>19064</f>
        <v>19064.0</v>
      </c>
      <c r="V52" s="32" t="n">
        <f>1511968950</f>
        <v>1.51196895E9</v>
      </c>
      <c r="W52" s="32" t="n">
        <f>78482015</f>
        <v>7.8482015E7</v>
      </c>
      <c r="X52" s="36" t="n">
        <f>22</f>
        <v>22.0</v>
      </c>
    </row>
    <row r="53">
      <c r="A53" s="27" t="s">
        <v>42</v>
      </c>
      <c r="B53" s="27" t="s">
        <v>202</v>
      </c>
      <c r="C53" s="27" t="s">
        <v>203</v>
      </c>
      <c r="D53" s="27" t="s">
        <v>204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4960</f>
        <v>4960.0</v>
      </c>
      <c r="L53" s="34" t="s">
        <v>48</v>
      </c>
      <c r="M53" s="33" t="n">
        <f>5010</f>
        <v>5010.0</v>
      </c>
      <c r="N53" s="34" t="s">
        <v>50</v>
      </c>
      <c r="O53" s="33" t="n">
        <f>4790</f>
        <v>4790.0</v>
      </c>
      <c r="P53" s="34" t="s">
        <v>49</v>
      </c>
      <c r="Q53" s="33" t="n">
        <f>4900</f>
        <v>4900.0</v>
      </c>
      <c r="R53" s="34" t="s">
        <v>51</v>
      </c>
      <c r="S53" s="35" t="n">
        <f>4897.05</f>
        <v>4897.05</v>
      </c>
      <c r="T53" s="32" t="n">
        <f>415913</f>
        <v>415913.0</v>
      </c>
      <c r="U53" s="32" t="n">
        <f>397282</f>
        <v>397282.0</v>
      </c>
      <c r="V53" s="32" t="n">
        <f>2024120080</f>
        <v>2.02412008E9</v>
      </c>
      <c r="W53" s="32" t="n">
        <f>1932251250</f>
        <v>1.93225125E9</v>
      </c>
      <c r="X53" s="36" t="n">
        <f>22</f>
        <v>22.0</v>
      </c>
    </row>
    <row r="54">
      <c r="A54" s="27" t="s">
        <v>42</v>
      </c>
      <c r="B54" s="27" t="s">
        <v>205</v>
      </c>
      <c r="C54" s="27" t="s">
        <v>206</v>
      </c>
      <c r="D54" s="27" t="s">
        <v>207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16990</f>
        <v>16990.0</v>
      </c>
      <c r="L54" s="34" t="s">
        <v>48</v>
      </c>
      <c r="M54" s="33" t="n">
        <f>18715</f>
        <v>18715.0</v>
      </c>
      <c r="N54" s="34" t="s">
        <v>49</v>
      </c>
      <c r="O54" s="33" t="n">
        <f>16630</f>
        <v>16630.0</v>
      </c>
      <c r="P54" s="34" t="s">
        <v>50</v>
      </c>
      <c r="Q54" s="33" t="n">
        <f>17275</f>
        <v>17275.0</v>
      </c>
      <c r="R54" s="34" t="s">
        <v>51</v>
      </c>
      <c r="S54" s="35" t="n">
        <f>17618.86</f>
        <v>17618.86</v>
      </c>
      <c r="T54" s="32" t="n">
        <f>15349209</f>
        <v>1.5349209E7</v>
      </c>
      <c r="U54" s="32" t="n">
        <f>12500</f>
        <v>12500.0</v>
      </c>
      <c r="V54" s="32" t="n">
        <f>269164291605</f>
        <v>2.69164291605E11</v>
      </c>
      <c r="W54" s="32" t="n">
        <f>223028060</f>
        <v>2.2302806E8</v>
      </c>
      <c r="X54" s="36" t="n">
        <f>22</f>
        <v>22.0</v>
      </c>
    </row>
    <row r="55">
      <c r="A55" s="27" t="s">
        <v>42</v>
      </c>
      <c r="B55" s="27" t="s">
        <v>208</v>
      </c>
      <c r="C55" s="27" t="s">
        <v>209</v>
      </c>
      <c r="D55" s="27" t="s">
        <v>210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1478</f>
        <v>1478.0</v>
      </c>
      <c r="L55" s="34" t="s">
        <v>48</v>
      </c>
      <c r="M55" s="33" t="n">
        <f>1506</f>
        <v>1506.0</v>
      </c>
      <c r="N55" s="34" t="s">
        <v>50</v>
      </c>
      <c r="O55" s="33" t="n">
        <f>1332</f>
        <v>1332.0</v>
      </c>
      <c r="P55" s="34" t="s">
        <v>49</v>
      </c>
      <c r="Q55" s="33" t="n">
        <f>1435</f>
        <v>1435.0</v>
      </c>
      <c r="R55" s="34" t="s">
        <v>51</v>
      </c>
      <c r="S55" s="35" t="n">
        <f>1417.18</f>
        <v>1417.18</v>
      </c>
      <c r="T55" s="32" t="n">
        <f>198700759</f>
        <v>1.98700759E8</v>
      </c>
      <c r="U55" s="32" t="n">
        <f>559602</f>
        <v>559602.0</v>
      </c>
      <c r="V55" s="32" t="n">
        <f>282615895963</f>
        <v>2.82615895963E11</v>
      </c>
      <c r="W55" s="32" t="n">
        <f>770754846</f>
        <v>7.70754846E8</v>
      </c>
      <c r="X55" s="36" t="n">
        <f>22</f>
        <v>22.0</v>
      </c>
    </row>
    <row r="56">
      <c r="A56" s="27" t="s">
        <v>42</v>
      </c>
      <c r="B56" s="27" t="s">
        <v>211</v>
      </c>
      <c r="C56" s="27" t="s">
        <v>212</v>
      </c>
      <c r="D56" s="27" t="s">
        <v>213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14705</f>
        <v>14705.0</v>
      </c>
      <c r="L56" s="34" t="s">
        <v>48</v>
      </c>
      <c r="M56" s="33" t="n">
        <f>15680</f>
        <v>15680.0</v>
      </c>
      <c r="N56" s="34" t="s">
        <v>49</v>
      </c>
      <c r="O56" s="33" t="n">
        <f>14390</f>
        <v>14390.0</v>
      </c>
      <c r="P56" s="34" t="s">
        <v>50</v>
      </c>
      <c r="Q56" s="33" t="n">
        <f>15035</f>
        <v>15035.0</v>
      </c>
      <c r="R56" s="34" t="s">
        <v>51</v>
      </c>
      <c r="S56" s="35" t="n">
        <f>15053.41</f>
        <v>15053.41</v>
      </c>
      <c r="T56" s="32" t="n">
        <f>2255</f>
        <v>2255.0</v>
      </c>
      <c r="U56" s="32" t="str">
        <f>"－"</f>
        <v>－</v>
      </c>
      <c r="V56" s="32" t="n">
        <f>33764580</f>
        <v>3.376458E7</v>
      </c>
      <c r="W56" s="32" t="str">
        <f>"－"</f>
        <v>－</v>
      </c>
      <c r="X56" s="36" t="n">
        <f>22</f>
        <v>22.0</v>
      </c>
    </row>
    <row r="57">
      <c r="A57" s="27" t="s">
        <v>42</v>
      </c>
      <c r="B57" s="27" t="s">
        <v>214</v>
      </c>
      <c r="C57" s="27" t="s">
        <v>215</v>
      </c>
      <c r="D57" s="27" t="s">
        <v>216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4775</f>
        <v>4775.0</v>
      </c>
      <c r="L57" s="34" t="s">
        <v>48</v>
      </c>
      <c r="M57" s="33" t="n">
        <f>4895</f>
        <v>4895.0</v>
      </c>
      <c r="N57" s="34" t="s">
        <v>50</v>
      </c>
      <c r="O57" s="33" t="n">
        <f>4610</f>
        <v>4610.0</v>
      </c>
      <c r="P57" s="34" t="s">
        <v>49</v>
      </c>
      <c r="Q57" s="33" t="n">
        <f>4715</f>
        <v>4715.0</v>
      </c>
      <c r="R57" s="34" t="s">
        <v>51</v>
      </c>
      <c r="S57" s="35" t="n">
        <f>4758.5</f>
        <v>4758.5</v>
      </c>
      <c r="T57" s="32" t="n">
        <f>3120</f>
        <v>3120.0</v>
      </c>
      <c r="U57" s="32" t="str">
        <f>"－"</f>
        <v>－</v>
      </c>
      <c r="V57" s="32" t="n">
        <f>14748290</f>
        <v>1.474829E7</v>
      </c>
      <c r="W57" s="32" t="str">
        <f>"－"</f>
        <v>－</v>
      </c>
      <c r="X57" s="36" t="n">
        <f>20</f>
        <v>20.0</v>
      </c>
    </row>
    <row r="58">
      <c r="A58" s="27" t="s">
        <v>42</v>
      </c>
      <c r="B58" s="27" t="s">
        <v>217</v>
      </c>
      <c r="C58" s="27" t="s">
        <v>218</v>
      </c>
      <c r="D58" s="27" t="s">
        <v>219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1824</f>
        <v>1824.0</v>
      </c>
      <c r="L58" s="34" t="s">
        <v>48</v>
      </c>
      <c r="M58" s="33" t="n">
        <f>1868</f>
        <v>1868.0</v>
      </c>
      <c r="N58" s="34" t="s">
        <v>69</v>
      </c>
      <c r="O58" s="33" t="n">
        <f>1701</f>
        <v>1701.0</v>
      </c>
      <c r="P58" s="34" t="s">
        <v>165</v>
      </c>
      <c r="Q58" s="33" t="n">
        <f>1785</f>
        <v>1785.0</v>
      </c>
      <c r="R58" s="34" t="s">
        <v>51</v>
      </c>
      <c r="S58" s="35" t="n">
        <f>1777.14</f>
        <v>1777.14</v>
      </c>
      <c r="T58" s="32" t="n">
        <f>42599</f>
        <v>42599.0</v>
      </c>
      <c r="U58" s="32" t="str">
        <f>"－"</f>
        <v>－</v>
      </c>
      <c r="V58" s="32" t="n">
        <f>75696826</f>
        <v>7.5696826E7</v>
      </c>
      <c r="W58" s="32" t="str">
        <f>"－"</f>
        <v>－</v>
      </c>
      <c r="X58" s="36" t="n">
        <f>22</f>
        <v>22.0</v>
      </c>
    </row>
    <row r="59">
      <c r="A59" s="27" t="s">
        <v>42</v>
      </c>
      <c r="B59" s="27" t="s">
        <v>220</v>
      </c>
      <c r="C59" s="27" t="s">
        <v>221</v>
      </c>
      <c r="D59" s="27" t="s">
        <v>222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13990</f>
        <v>13990.0</v>
      </c>
      <c r="L59" s="34" t="s">
        <v>48</v>
      </c>
      <c r="M59" s="33" t="n">
        <f>14845</f>
        <v>14845.0</v>
      </c>
      <c r="N59" s="34" t="s">
        <v>182</v>
      </c>
      <c r="O59" s="33" t="n">
        <f>13660</f>
        <v>13660.0</v>
      </c>
      <c r="P59" s="34" t="s">
        <v>50</v>
      </c>
      <c r="Q59" s="33" t="n">
        <f>14140</f>
        <v>14140.0</v>
      </c>
      <c r="R59" s="34" t="s">
        <v>51</v>
      </c>
      <c r="S59" s="35" t="n">
        <f>14146.25</f>
        <v>14146.25</v>
      </c>
      <c r="T59" s="32" t="n">
        <f>2080</f>
        <v>2080.0</v>
      </c>
      <c r="U59" s="32" t="str">
        <f>"－"</f>
        <v>－</v>
      </c>
      <c r="V59" s="32" t="n">
        <f>29755600</f>
        <v>2.97556E7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223</v>
      </c>
      <c r="C60" s="27" t="s">
        <v>224</v>
      </c>
      <c r="D60" s="27" t="s">
        <v>225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4419</f>
        <v>4419.0</v>
      </c>
      <c r="L60" s="34" t="s">
        <v>99</v>
      </c>
      <c r="M60" s="33" t="n">
        <f>4419</f>
        <v>4419.0</v>
      </c>
      <c r="N60" s="34" t="s">
        <v>99</v>
      </c>
      <c r="O60" s="33" t="n">
        <f>4097</f>
        <v>4097.0</v>
      </c>
      <c r="P60" s="34" t="s">
        <v>89</v>
      </c>
      <c r="Q60" s="33" t="n">
        <f>4197</f>
        <v>4197.0</v>
      </c>
      <c r="R60" s="34" t="s">
        <v>51</v>
      </c>
      <c r="S60" s="35" t="n">
        <f>4236.45</f>
        <v>4236.45</v>
      </c>
      <c r="T60" s="32" t="n">
        <f>1320</f>
        <v>1320.0</v>
      </c>
      <c r="U60" s="32" t="str">
        <f>"－"</f>
        <v>－</v>
      </c>
      <c r="V60" s="32" t="n">
        <f>5546870</f>
        <v>5546870.0</v>
      </c>
      <c r="W60" s="32" t="str">
        <f>"－"</f>
        <v>－</v>
      </c>
      <c r="X60" s="36" t="n">
        <f>11</f>
        <v>11.0</v>
      </c>
    </row>
    <row r="61">
      <c r="A61" s="27" t="s">
        <v>42</v>
      </c>
      <c r="B61" s="27" t="s">
        <v>226</v>
      </c>
      <c r="C61" s="27" t="s">
        <v>227</v>
      </c>
      <c r="D61" s="27" t="s">
        <v>228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1786.5</f>
        <v>1786.5</v>
      </c>
      <c r="L61" s="34" t="s">
        <v>48</v>
      </c>
      <c r="M61" s="33" t="n">
        <f>1834.5</f>
        <v>1834.5</v>
      </c>
      <c r="N61" s="34" t="s">
        <v>74</v>
      </c>
      <c r="O61" s="33" t="n">
        <f>1677.5</f>
        <v>1677.5</v>
      </c>
      <c r="P61" s="34" t="s">
        <v>182</v>
      </c>
      <c r="Q61" s="33" t="n">
        <f>1733.5</f>
        <v>1733.5</v>
      </c>
      <c r="R61" s="34" t="s">
        <v>51</v>
      </c>
      <c r="S61" s="35" t="n">
        <f>1750.89</f>
        <v>1750.89</v>
      </c>
      <c r="T61" s="32" t="n">
        <f>75600</f>
        <v>75600.0</v>
      </c>
      <c r="U61" s="32" t="str">
        <f>"－"</f>
        <v>－</v>
      </c>
      <c r="V61" s="32" t="n">
        <f>133074670</f>
        <v>1.3307467E8</v>
      </c>
      <c r="W61" s="32" t="str">
        <f>"－"</f>
        <v>－</v>
      </c>
      <c r="X61" s="36" t="n">
        <f>22</f>
        <v>22.0</v>
      </c>
    </row>
    <row r="62">
      <c r="A62" s="27" t="s">
        <v>42</v>
      </c>
      <c r="B62" s="27" t="s">
        <v>229</v>
      </c>
      <c r="C62" s="27" t="s">
        <v>230</v>
      </c>
      <c r="D62" s="27" t="s">
        <v>231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738</f>
        <v>738.0</v>
      </c>
      <c r="L62" s="34" t="s">
        <v>48</v>
      </c>
      <c r="M62" s="33" t="n">
        <f>756</f>
        <v>756.0</v>
      </c>
      <c r="N62" s="34" t="s">
        <v>99</v>
      </c>
      <c r="O62" s="33" t="n">
        <f>677</f>
        <v>677.0</v>
      </c>
      <c r="P62" s="34" t="s">
        <v>89</v>
      </c>
      <c r="Q62" s="33" t="n">
        <f>706</f>
        <v>706.0</v>
      </c>
      <c r="R62" s="34" t="s">
        <v>51</v>
      </c>
      <c r="S62" s="35" t="n">
        <f>712.45</f>
        <v>712.45</v>
      </c>
      <c r="T62" s="32" t="n">
        <f>58649</f>
        <v>58649.0</v>
      </c>
      <c r="U62" s="32" t="str">
        <f>"－"</f>
        <v>－</v>
      </c>
      <c r="V62" s="32" t="n">
        <f>41472972</f>
        <v>4.1472972E7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232</v>
      </c>
      <c r="C63" s="27" t="s">
        <v>233</v>
      </c>
      <c r="D63" s="27" t="s">
        <v>234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1965.5</f>
        <v>1965.5</v>
      </c>
      <c r="L63" s="34" t="s">
        <v>48</v>
      </c>
      <c r="M63" s="33" t="n">
        <f>2031</f>
        <v>2031.0</v>
      </c>
      <c r="N63" s="34" t="s">
        <v>49</v>
      </c>
      <c r="O63" s="33" t="n">
        <f>1947.5</f>
        <v>1947.5</v>
      </c>
      <c r="P63" s="34" t="s">
        <v>50</v>
      </c>
      <c r="Q63" s="33" t="n">
        <f>1984</f>
        <v>1984.0</v>
      </c>
      <c r="R63" s="34" t="s">
        <v>51</v>
      </c>
      <c r="S63" s="35" t="n">
        <f>1986.61</f>
        <v>1986.61</v>
      </c>
      <c r="T63" s="32" t="n">
        <f>321390</f>
        <v>321390.0</v>
      </c>
      <c r="U63" s="32" t="str">
        <f>"－"</f>
        <v>－</v>
      </c>
      <c r="V63" s="32" t="n">
        <f>647046000</f>
        <v>6.47046E8</v>
      </c>
      <c r="W63" s="32" t="str">
        <f>"－"</f>
        <v>－</v>
      </c>
      <c r="X63" s="36" t="n">
        <f>22</f>
        <v>22.0</v>
      </c>
    </row>
    <row r="64">
      <c r="A64" s="27" t="s">
        <v>42</v>
      </c>
      <c r="B64" s="27" t="s">
        <v>235</v>
      </c>
      <c r="C64" s="27" t="s">
        <v>236</v>
      </c>
      <c r="D64" s="27" t="s">
        <v>237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17745</f>
        <v>17745.0</v>
      </c>
      <c r="L64" s="34" t="s">
        <v>48</v>
      </c>
      <c r="M64" s="33" t="n">
        <f>18200</f>
        <v>18200.0</v>
      </c>
      <c r="N64" s="34" t="s">
        <v>49</v>
      </c>
      <c r="O64" s="33" t="n">
        <f>17460</f>
        <v>17460.0</v>
      </c>
      <c r="P64" s="34" t="s">
        <v>50</v>
      </c>
      <c r="Q64" s="33" t="n">
        <f>17780</f>
        <v>17780.0</v>
      </c>
      <c r="R64" s="34" t="s">
        <v>51</v>
      </c>
      <c r="S64" s="35" t="n">
        <f>17800.23</f>
        <v>17800.23</v>
      </c>
      <c r="T64" s="32" t="n">
        <f>2566</f>
        <v>2566.0</v>
      </c>
      <c r="U64" s="32" t="str">
        <f>"－"</f>
        <v>－</v>
      </c>
      <c r="V64" s="32" t="n">
        <f>45784305</f>
        <v>4.5784305E7</v>
      </c>
      <c r="W64" s="32" t="str">
        <f>"－"</f>
        <v>－</v>
      </c>
      <c r="X64" s="36" t="n">
        <f>22</f>
        <v>22.0</v>
      </c>
    </row>
    <row r="65">
      <c r="A65" s="27" t="s">
        <v>42</v>
      </c>
      <c r="B65" s="27" t="s">
        <v>238</v>
      </c>
      <c r="C65" s="27" t="s">
        <v>239</v>
      </c>
      <c r="D65" s="27" t="s">
        <v>240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2005</f>
        <v>2005.0</v>
      </c>
      <c r="L65" s="34" t="s">
        <v>48</v>
      </c>
      <c r="M65" s="33" t="n">
        <f>2042</f>
        <v>2042.0</v>
      </c>
      <c r="N65" s="34" t="s">
        <v>49</v>
      </c>
      <c r="O65" s="33" t="n">
        <f>1959</f>
        <v>1959.0</v>
      </c>
      <c r="P65" s="34" t="s">
        <v>99</v>
      </c>
      <c r="Q65" s="33" t="n">
        <f>1995</f>
        <v>1995.0</v>
      </c>
      <c r="R65" s="34" t="s">
        <v>51</v>
      </c>
      <c r="S65" s="35" t="n">
        <f>2004.45</f>
        <v>2004.45</v>
      </c>
      <c r="T65" s="32" t="n">
        <f>6916165</f>
        <v>6916165.0</v>
      </c>
      <c r="U65" s="32" t="n">
        <f>613496</f>
        <v>613496.0</v>
      </c>
      <c r="V65" s="32" t="n">
        <f>13784101824</f>
        <v>1.3784101824E10</v>
      </c>
      <c r="W65" s="32" t="n">
        <f>1224669717</f>
        <v>1.224669717E9</v>
      </c>
      <c r="X65" s="36" t="n">
        <f>22</f>
        <v>22.0</v>
      </c>
    </row>
    <row r="66">
      <c r="A66" s="27" t="s">
        <v>42</v>
      </c>
      <c r="B66" s="27" t="s">
        <v>241</v>
      </c>
      <c r="C66" s="27" t="s">
        <v>242</v>
      </c>
      <c r="D66" s="27" t="s">
        <v>243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2098</f>
        <v>2098.0</v>
      </c>
      <c r="L66" s="34" t="s">
        <v>48</v>
      </c>
      <c r="M66" s="33" t="n">
        <f>2109</f>
        <v>2109.0</v>
      </c>
      <c r="N66" s="34" t="s">
        <v>51</v>
      </c>
      <c r="O66" s="33" t="n">
        <f>2058</f>
        <v>2058.0</v>
      </c>
      <c r="P66" s="34" t="s">
        <v>99</v>
      </c>
      <c r="Q66" s="33" t="n">
        <f>2103</f>
        <v>2103.0</v>
      </c>
      <c r="R66" s="34" t="s">
        <v>51</v>
      </c>
      <c r="S66" s="35" t="n">
        <f>2082.73</f>
        <v>2082.73</v>
      </c>
      <c r="T66" s="32" t="n">
        <f>7216157</f>
        <v>7216157.0</v>
      </c>
      <c r="U66" s="32" t="n">
        <f>4163482</f>
        <v>4163482.0</v>
      </c>
      <c r="V66" s="32" t="n">
        <f>14951756283</f>
        <v>1.4951756283E10</v>
      </c>
      <c r="W66" s="32" t="n">
        <f>8615274238</f>
        <v>8.615274238E9</v>
      </c>
      <c r="X66" s="36" t="n">
        <f>22</f>
        <v>22.0</v>
      </c>
    </row>
    <row r="67">
      <c r="A67" s="27" t="s">
        <v>42</v>
      </c>
      <c r="B67" s="27" t="s">
        <v>244</v>
      </c>
      <c r="C67" s="27" t="s">
        <v>245</v>
      </c>
      <c r="D67" s="27" t="s">
        <v>246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1915</f>
        <v>1915.0</v>
      </c>
      <c r="L67" s="34" t="s">
        <v>48</v>
      </c>
      <c r="M67" s="33" t="n">
        <f>1964</f>
        <v>1964.0</v>
      </c>
      <c r="N67" s="34" t="s">
        <v>49</v>
      </c>
      <c r="O67" s="33" t="n">
        <f>1875</f>
        <v>1875.0</v>
      </c>
      <c r="P67" s="34" t="s">
        <v>99</v>
      </c>
      <c r="Q67" s="33" t="n">
        <f>1904</f>
        <v>1904.0</v>
      </c>
      <c r="R67" s="34" t="s">
        <v>51</v>
      </c>
      <c r="S67" s="35" t="n">
        <f>1911.95</f>
        <v>1911.95</v>
      </c>
      <c r="T67" s="32" t="n">
        <f>77348</f>
        <v>77348.0</v>
      </c>
      <c r="U67" s="32" t="n">
        <f>30658</f>
        <v>30658.0</v>
      </c>
      <c r="V67" s="32" t="n">
        <f>147842655</f>
        <v>1.47842655E8</v>
      </c>
      <c r="W67" s="32" t="n">
        <f>58791519</f>
        <v>5.8791519E7</v>
      </c>
      <c r="X67" s="36" t="n">
        <f>22</f>
        <v>22.0</v>
      </c>
    </row>
    <row r="68">
      <c r="A68" s="27" t="s">
        <v>42</v>
      </c>
      <c r="B68" s="27" t="s">
        <v>247</v>
      </c>
      <c r="C68" s="27" t="s">
        <v>248</v>
      </c>
      <c r="D68" s="27" t="s">
        <v>249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2408</f>
        <v>2408.0</v>
      </c>
      <c r="L68" s="34" t="s">
        <v>48</v>
      </c>
      <c r="M68" s="33" t="n">
        <f>2415</f>
        <v>2415.0</v>
      </c>
      <c r="N68" s="34" t="s">
        <v>48</v>
      </c>
      <c r="O68" s="33" t="n">
        <f>2296</f>
        <v>2296.0</v>
      </c>
      <c r="P68" s="34" t="s">
        <v>99</v>
      </c>
      <c r="Q68" s="33" t="n">
        <f>2392</f>
        <v>2392.0</v>
      </c>
      <c r="R68" s="34" t="s">
        <v>51</v>
      </c>
      <c r="S68" s="35" t="n">
        <f>2372.68</f>
        <v>2372.68</v>
      </c>
      <c r="T68" s="32" t="n">
        <f>523559</f>
        <v>523559.0</v>
      </c>
      <c r="U68" s="32" t="n">
        <f>126385</f>
        <v>126385.0</v>
      </c>
      <c r="V68" s="32" t="n">
        <f>1239656232</f>
        <v>1.239656232E9</v>
      </c>
      <c r="W68" s="32" t="n">
        <f>299911605</f>
        <v>2.99911605E8</v>
      </c>
      <c r="X68" s="36" t="n">
        <f>22</f>
        <v>22.0</v>
      </c>
    </row>
    <row r="69">
      <c r="A69" s="27" t="s">
        <v>42</v>
      </c>
      <c r="B69" s="27" t="s">
        <v>250</v>
      </c>
      <c r="C69" s="27" t="s">
        <v>251</v>
      </c>
      <c r="D69" s="27" t="s">
        <v>252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24160</f>
        <v>24160.0</v>
      </c>
      <c r="L69" s="34" t="s">
        <v>48</v>
      </c>
      <c r="M69" s="33" t="n">
        <f>24605</f>
        <v>24605.0</v>
      </c>
      <c r="N69" s="34" t="s">
        <v>68</v>
      </c>
      <c r="O69" s="33" t="n">
        <f>23860</f>
        <v>23860.0</v>
      </c>
      <c r="P69" s="34" t="s">
        <v>69</v>
      </c>
      <c r="Q69" s="33" t="n">
        <f>24340</f>
        <v>24340.0</v>
      </c>
      <c r="R69" s="34" t="s">
        <v>75</v>
      </c>
      <c r="S69" s="35" t="n">
        <f>24282.78</f>
        <v>24282.78</v>
      </c>
      <c r="T69" s="32" t="n">
        <f>567</f>
        <v>567.0</v>
      </c>
      <c r="U69" s="32" t="str">
        <f>"－"</f>
        <v>－</v>
      </c>
      <c r="V69" s="32" t="n">
        <f>13677375</f>
        <v>1.3677375E7</v>
      </c>
      <c r="W69" s="32" t="str">
        <f>"－"</f>
        <v>－</v>
      </c>
      <c r="X69" s="36" t="n">
        <f>9</f>
        <v>9.0</v>
      </c>
    </row>
    <row r="70">
      <c r="A70" s="27" t="s">
        <v>42</v>
      </c>
      <c r="B70" s="27" t="s">
        <v>253</v>
      </c>
      <c r="C70" s="27" t="s">
        <v>254</v>
      </c>
      <c r="D70" s="27" t="s">
        <v>255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19615</f>
        <v>19615.0</v>
      </c>
      <c r="L70" s="34" t="s">
        <v>48</v>
      </c>
      <c r="M70" s="33" t="n">
        <f>20155</f>
        <v>20155.0</v>
      </c>
      <c r="N70" s="34" t="s">
        <v>182</v>
      </c>
      <c r="O70" s="33" t="n">
        <f>19320</f>
        <v>19320.0</v>
      </c>
      <c r="P70" s="34" t="s">
        <v>74</v>
      </c>
      <c r="Q70" s="33" t="n">
        <f>19655</f>
        <v>19655.0</v>
      </c>
      <c r="R70" s="34" t="s">
        <v>75</v>
      </c>
      <c r="S70" s="35" t="n">
        <f>19794.29</f>
        <v>19794.29</v>
      </c>
      <c r="T70" s="32" t="n">
        <f>338</f>
        <v>338.0</v>
      </c>
      <c r="U70" s="32" t="str">
        <f>"－"</f>
        <v>－</v>
      </c>
      <c r="V70" s="32" t="n">
        <f>6655125</f>
        <v>6655125.0</v>
      </c>
      <c r="W70" s="32" t="str">
        <f>"－"</f>
        <v>－</v>
      </c>
      <c r="X70" s="36" t="n">
        <f>7</f>
        <v>7.0</v>
      </c>
    </row>
    <row r="71">
      <c r="A71" s="27" t="s">
        <v>42</v>
      </c>
      <c r="B71" s="27" t="s">
        <v>256</v>
      </c>
      <c r="C71" s="27" t="s">
        <v>257</v>
      </c>
      <c r="D71" s="27" t="s">
        <v>258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2008</f>
        <v>2008.0</v>
      </c>
      <c r="L71" s="34" t="s">
        <v>48</v>
      </c>
      <c r="M71" s="33" t="n">
        <f>2069</f>
        <v>2069.0</v>
      </c>
      <c r="N71" s="34" t="s">
        <v>165</v>
      </c>
      <c r="O71" s="33" t="n">
        <f>1978</f>
        <v>1978.0</v>
      </c>
      <c r="P71" s="34" t="s">
        <v>99</v>
      </c>
      <c r="Q71" s="33" t="n">
        <f>2023</f>
        <v>2023.0</v>
      </c>
      <c r="R71" s="34" t="s">
        <v>51</v>
      </c>
      <c r="S71" s="35" t="n">
        <f>2025.68</f>
        <v>2025.68</v>
      </c>
      <c r="T71" s="32" t="n">
        <f>2155</f>
        <v>2155.0</v>
      </c>
      <c r="U71" s="32" t="str">
        <f>"－"</f>
        <v>－</v>
      </c>
      <c r="V71" s="32" t="n">
        <f>4389263</f>
        <v>4389263.0</v>
      </c>
      <c r="W71" s="32" t="str">
        <f>"－"</f>
        <v>－</v>
      </c>
      <c r="X71" s="36" t="n">
        <f>22</f>
        <v>22.0</v>
      </c>
    </row>
    <row r="72">
      <c r="A72" s="27" t="s">
        <v>42</v>
      </c>
      <c r="B72" s="27" t="s">
        <v>259</v>
      </c>
      <c r="C72" s="27" t="s">
        <v>260</v>
      </c>
      <c r="D72" s="27" t="s">
        <v>261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2108</f>
        <v>2108.0</v>
      </c>
      <c r="L72" s="34" t="s">
        <v>48</v>
      </c>
      <c r="M72" s="33" t="n">
        <f>2129</f>
        <v>2129.0</v>
      </c>
      <c r="N72" s="34" t="s">
        <v>50</v>
      </c>
      <c r="O72" s="33" t="n">
        <f>2025</f>
        <v>2025.0</v>
      </c>
      <c r="P72" s="34" t="s">
        <v>69</v>
      </c>
      <c r="Q72" s="33" t="n">
        <f>2030</f>
        <v>2030.0</v>
      </c>
      <c r="R72" s="34" t="s">
        <v>51</v>
      </c>
      <c r="S72" s="35" t="n">
        <f>2069.05</f>
        <v>2069.05</v>
      </c>
      <c r="T72" s="32" t="n">
        <f>6485801</f>
        <v>6485801.0</v>
      </c>
      <c r="U72" s="32" t="n">
        <f>4876852</f>
        <v>4876852.0</v>
      </c>
      <c r="V72" s="32" t="n">
        <f>13347070146</f>
        <v>1.3347070146E10</v>
      </c>
      <c r="W72" s="32" t="n">
        <f>10005974733</f>
        <v>1.0005974733E10</v>
      </c>
      <c r="X72" s="36" t="n">
        <f>22</f>
        <v>22.0</v>
      </c>
    </row>
    <row r="73">
      <c r="A73" s="27" t="s">
        <v>42</v>
      </c>
      <c r="B73" s="27" t="s">
        <v>262</v>
      </c>
      <c r="C73" s="27" t="s">
        <v>263</v>
      </c>
      <c r="D73" s="27" t="s">
        <v>264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2227</f>
        <v>2227.0</v>
      </c>
      <c r="L73" s="34" t="s">
        <v>48</v>
      </c>
      <c r="M73" s="33" t="n">
        <f>2430</f>
        <v>2430.0</v>
      </c>
      <c r="N73" s="34" t="s">
        <v>103</v>
      </c>
      <c r="O73" s="33" t="n">
        <f>2165</f>
        <v>2165.0</v>
      </c>
      <c r="P73" s="34" t="s">
        <v>175</v>
      </c>
      <c r="Q73" s="33" t="n">
        <f>2245</f>
        <v>2245.0</v>
      </c>
      <c r="R73" s="34" t="s">
        <v>51</v>
      </c>
      <c r="S73" s="35" t="n">
        <f>2265.77</f>
        <v>2265.77</v>
      </c>
      <c r="T73" s="32" t="n">
        <f>5244</f>
        <v>5244.0</v>
      </c>
      <c r="U73" s="32" t="str">
        <f>"－"</f>
        <v>－</v>
      </c>
      <c r="V73" s="32" t="n">
        <f>12001589</f>
        <v>1.2001589E7</v>
      </c>
      <c r="W73" s="32" t="str">
        <f>"－"</f>
        <v>－</v>
      </c>
      <c r="X73" s="36" t="n">
        <f>22</f>
        <v>22.0</v>
      </c>
    </row>
    <row r="74">
      <c r="A74" s="27" t="s">
        <v>42</v>
      </c>
      <c r="B74" s="27" t="s">
        <v>265</v>
      </c>
      <c r="C74" s="27" t="s">
        <v>266</v>
      </c>
      <c r="D74" s="27" t="s">
        <v>267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10.0</v>
      </c>
      <c r="K74" s="33" t="n">
        <f>1980.5</f>
        <v>1980.5</v>
      </c>
      <c r="L74" s="34" t="s">
        <v>48</v>
      </c>
      <c r="M74" s="33" t="n">
        <f>2043.5</f>
        <v>2043.5</v>
      </c>
      <c r="N74" s="34" t="s">
        <v>49</v>
      </c>
      <c r="O74" s="33" t="n">
        <f>1954.5</f>
        <v>1954.5</v>
      </c>
      <c r="P74" s="34" t="s">
        <v>50</v>
      </c>
      <c r="Q74" s="33" t="n">
        <f>1996</f>
        <v>1996.0</v>
      </c>
      <c r="R74" s="34" t="s">
        <v>51</v>
      </c>
      <c r="S74" s="35" t="n">
        <f>1998.84</f>
        <v>1998.84</v>
      </c>
      <c r="T74" s="32" t="n">
        <f>24660</f>
        <v>24660.0</v>
      </c>
      <c r="U74" s="32" t="str">
        <f>"－"</f>
        <v>－</v>
      </c>
      <c r="V74" s="32" t="n">
        <f>49173185</f>
        <v>4.9173185E7</v>
      </c>
      <c r="W74" s="32" t="str">
        <f>"－"</f>
        <v>－</v>
      </c>
      <c r="X74" s="36" t="n">
        <f>22</f>
        <v>22.0</v>
      </c>
    </row>
    <row r="75">
      <c r="A75" s="27" t="s">
        <v>42</v>
      </c>
      <c r="B75" s="27" t="s">
        <v>268</v>
      </c>
      <c r="C75" s="27" t="s">
        <v>269</v>
      </c>
      <c r="D75" s="27" t="s">
        <v>270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30000</f>
        <v>30000.0</v>
      </c>
      <c r="L75" s="34" t="s">
        <v>48</v>
      </c>
      <c r="M75" s="33" t="n">
        <f>31780</f>
        <v>31780.0</v>
      </c>
      <c r="N75" s="34" t="s">
        <v>49</v>
      </c>
      <c r="O75" s="33" t="n">
        <f>29920</f>
        <v>29920.0</v>
      </c>
      <c r="P75" s="34" t="s">
        <v>50</v>
      </c>
      <c r="Q75" s="33" t="n">
        <f>31780</f>
        <v>31780.0</v>
      </c>
      <c r="R75" s="34" t="s">
        <v>49</v>
      </c>
      <c r="S75" s="35" t="n">
        <f>31067.78</f>
        <v>31067.78</v>
      </c>
      <c r="T75" s="32" t="n">
        <f>23</f>
        <v>23.0</v>
      </c>
      <c r="U75" s="32" t="str">
        <f>"－"</f>
        <v>－</v>
      </c>
      <c r="V75" s="32" t="n">
        <f>715960</f>
        <v>715960.0</v>
      </c>
      <c r="W75" s="32" t="str">
        <f>"－"</f>
        <v>－</v>
      </c>
      <c r="X75" s="36" t="n">
        <f>9</f>
        <v>9.0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23130</f>
        <v>23130.0</v>
      </c>
      <c r="L76" s="34" t="s">
        <v>48</v>
      </c>
      <c r="M76" s="33" t="n">
        <f>23435</f>
        <v>23435.0</v>
      </c>
      <c r="N76" s="34" t="s">
        <v>75</v>
      </c>
      <c r="O76" s="33" t="n">
        <f>22750</f>
        <v>22750.0</v>
      </c>
      <c r="P76" s="34" t="s">
        <v>274</v>
      </c>
      <c r="Q76" s="33" t="n">
        <f>23275</f>
        <v>23275.0</v>
      </c>
      <c r="R76" s="34" t="s">
        <v>51</v>
      </c>
      <c r="S76" s="35" t="n">
        <f>23139.09</f>
        <v>23139.09</v>
      </c>
      <c r="T76" s="32" t="n">
        <f>348514</f>
        <v>348514.0</v>
      </c>
      <c r="U76" s="32" t="n">
        <f>116658</f>
        <v>116658.0</v>
      </c>
      <c r="V76" s="32" t="n">
        <f>8039007121</f>
        <v>8.039007121E9</v>
      </c>
      <c r="W76" s="32" t="n">
        <f>2690487746</f>
        <v>2.690487746E9</v>
      </c>
      <c r="X76" s="36" t="n">
        <f>22</f>
        <v>22.0</v>
      </c>
    </row>
    <row r="77">
      <c r="A77" s="27" t="s">
        <v>42</v>
      </c>
      <c r="B77" s="27" t="s">
        <v>275</v>
      </c>
      <c r="C77" s="27" t="s">
        <v>276</v>
      </c>
      <c r="D77" s="27" t="s">
        <v>277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16305</f>
        <v>16305.0</v>
      </c>
      <c r="L77" s="34" t="s">
        <v>48</v>
      </c>
      <c r="M77" s="33" t="n">
        <f>16450</f>
        <v>16450.0</v>
      </c>
      <c r="N77" s="34" t="s">
        <v>50</v>
      </c>
      <c r="O77" s="33" t="n">
        <f>15635</f>
        <v>15635.0</v>
      </c>
      <c r="P77" s="34" t="s">
        <v>51</v>
      </c>
      <c r="Q77" s="33" t="n">
        <f>15655</f>
        <v>15655.0</v>
      </c>
      <c r="R77" s="34" t="s">
        <v>51</v>
      </c>
      <c r="S77" s="35" t="n">
        <f>15990.91</f>
        <v>15990.91</v>
      </c>
      <c r="T77" s="32" t="n">
        <f>623185</f>
        <v>623185.0</v>
      </c>
      <c r="U77" s="32" t="n">
        <f>429985</f>
        <v>429985.0</v>
      </c>
      <c r="V77" s="32" t="n">
        <f>9901443155</f>
        <v>9.901443155E9</v>
      </c>
      <c r="W77" s="32" t="n">
        <f>6837753755</f>
        <v>6.837753755E9</v>
      </c>
      <c r="X77" s="36" t="n">
        <f>22</f>
        <v>22.0</v>
      </c>
    </row>
    <row r="78">
      <c r="A78" s="27" t="s">
        <v>42</v>
      </c>
      <c r="B78" s="27" t="s">
        <v>278</v>
      </c>
      <c r="C78" s="27" t="s">
        <v>279</v>
      </c>
      <c r="D78" s="27" t="s">
        <v>280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10.0</v>
      </c>
      <c r="K78" s="33" t="n">
        <f>2092</f>
        <v>2092.0</v>
      </c>
      <c r="L78" s="34" t="s">
        <v>48</v>
      </c>
      <c r="M78" s="33" t="n">
        <f>2123</f>
        <v>2123.0</v>
      </c>
      <c r="N78" s="34" t="s">
        <v>51</v>
      </c>
      <c r="O78" s="33" t="n">
        <f>2066</f>
        <v>2066.0</v>
      </c>
      <c r="P78" s="34" t="s">
        <v>74</v>
      </c>
      <c r="Q78" s="33" t="n">
        <f>2113.5</f>
        <v>2113.5</v>
      </c>
      <c r="R78" s="34" t="s">
        <v>51</v>
      </c>
      <c r="S78" s="35" t="n">
        <f>2092.36</f>
        <v>2092.36</v>
      </c>
      <c r="T78" s="32" t="n">
        <f>2286400</f>
        <v>2286400.0</v>
      </c>
      <c r="U78" s="32" t="n">
        <f>966980</f>
        <v>966980.0</v>
      </c>
      <c r="V78" s="32" t="n">
        <f>4782212053</f>
        <v>4.782212053E9</v>
      </c>
      <c r="W78" s="32" t="n">
        <f>2020978283</f>
        <v>2.020978283E9</v>
      </c>
      <c r="X78" s="36" t="n">
        <f>22</f>
        <v>22.0</v>
      </c>
    </row>
    <row r="79">
      <c r="A79" s="27" t="s">
        <v>42</v>
      </c>
      <c r="B79" s="27" t="s">
        <v>281</v>
      </c>
      <c r="C79" s="27" t="s">
        <v>282</v>
      </c>
      <c r="D79" s="27" t="s">
        <v>283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41090</f>
        <v>41090.0</v>
      </c>
      <c r="L79" s="34" t="s">
        <v>48</v>
      </c>
      <c r="M79" s="33" t="n">
        <f>42130</f>
        <v>42130.0</v>
      </c>
      <c r="N79" s="34" t="s">
        <v>175</v>
      </c>
      <c r="O79" s="33" t="n">
        <f>40220</f>
        <v>40220.0</v>
      </c>
      <c r="P79" s="34" t="s">
        <v>103</v>
      </c>
      <c r="Q79" s="33" t="n">
        <f>41860</f>
        <v>41860.0</v>
      </c>
      <c r="R79" s="34" t="s">
        <v>51</v>
      </c>
      <c r="S79" s="35" t="n">
        <f>41349.09</f>
        <v>41349.09</v>
      </c>
      <c r="T79" s="32" t="n">
        <f>95913</f>
        <v>95913.0</v>
      </c>
      <c r="U79" s="32" t="n">
        <f>19180</f>
        <v>19180.0</v>
      </c>
      <c r="V79" s="32" t="n">
        <f>3965426244</f>
        <v>3.965426244E9</v>
      </c>
      <c r="W79" s="32" t="n">
        <f>797749554</f>
        <v>7.97749554E8</v>
      </c>
      <c r="X79" s="36" t="n">
        <f>22</f>
        <v>22.0</v>
      </c>
    </row>
    <row r="80">
      <c r="A80" s="27" t="s">
        <v>42</v>
      </c>
      <c r="B80" s="27" t="s">
        <v>284</v>
      </c>
      <c r="C80" s="27" t="s">
        <v>285</v>
      </c>
      <c r="D80" s="27" t="s">
        <v>286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7748</f>
        <v>7748.0</v>
      </c>
      <c r="L80" s="34" t="s">
        <v>79</v>
      </c>
      <c r="M80" s="33" t="n">
        <f>7748</f>
        <v>7748.0</v>
      </c>
      <c r="N80" s="34" t="s">
        <v>79</v>
      </c>
      <c r="O80" s="33" t="n">
        <f>7707</f>
        <v>7707.0</v>
      </c>
      <c r="P80" s="34" t="s">
        <v>79</v>
      </c>
      <c r="Q80" s="33" t="n">
        <f>7737</f>
        <v>7737.0</v>
      </c>
      <c r="R80" s="34" t="s">
        <v>79</v>
      </c>
      <c r="S80" s="35" t="n">
        <f>7737</f>
        <v>7737.0</v>
      </c>
      <c r="T80" s="32" t="n">
        <f>40</f>
        <v>40.0</v>
      </c>
      <c r="U80" s="32" t="str">
        <f>"－"</f>
        <v>－</v>
      </c>
      <c r="V80" s="32" t="n">
        <f>309170</f>
        <v>309170.0</v>
      </c>
      <c r="W80" s="32" t="str">
        <f>"－"</f>
        <v>－</v>
      </c>
      <c r="X80" s="36" t="n">
        <f>1</f>
        <v>1.0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15500</f>
        <v>15500.0</v>
      </c>
      <c r="L81" s="34" t="s">
        <v>48</v>
      </c>
      <c r="M81" s="33" t="n">
        <f>16125</f>
        <v>16125.0</v>
      </c>
      <c r="N81" s="34" t="s">
        <v>175</v>
      </c>
      <c r="O81" s="33" t="n">
        <f>15440</f>
        <v>15440.0</v>
      </c>
      <c r="P81" s="34" t="s">
        <v>50</v>
      </c>
      <c r="Q81" s="33" t="n">
        <f>15845</f>
        <v>15845.0</v>
      </c>
      <c r="R81" s="34" t="s">
        <v>51</v>
      </c>
      <c r="S81" s="35" t="n">
        <f>15771.43</f>
        <v>15771.43</v>
      </c>
      <c r="T81" s="32" t="n">
        <f>486</f>
        <v>486.0</v>
      </c>
      <c r="U81" s="32" t="str">
        <f>"－"</f>
        <v>－</v>
      </c>
      <c r="V81" s="32" t="n">
        <f>7707185</f>
        <v>7707185.0</v>
      </c>
      <c r="W81" s="32" t="str">
        <f>"－"</f>
        <v>－</v>
      </c>
      <c r="X81" s="36" t="n">
        <f>21</f>
        <v>21.0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15455</f>
        <v>15455.0</v>
      </c>
      <c r="L82" s="34" t="s">
        <v>48</v>
      </c>
      <c r="M82" s="33" t="n">
        <f>15895</f>
        <v>15895.0</v>
      </c>
      <c r="N82" s="34" t="s">
        <v>182</v>
      </c>
      <c r="O82" s="33" t="n">
        <f>15280</f>
        <v>15280.0</v>
      </c>
      <c r="P82" s="34" t="s">
        <v>74</v>
      </c>
      <c r="Q82" s="33" t="n">
        <f>15705</f>
        <v>15705.0</v>
      </c>
      <c r="R82" s="34" t="s">
        <v>51</v>
      </c>
      <c r="S82" s="35" t="n">
        <f>15641.59</f>
        <v>15641.59</v>
      </c>
      <c r="T82" s="32" t="n">
        <f>787</f>
        <v>787.0</v>
      </c>
      <c r="U82" s="32" t="str">
        <f>"－"</f>
        <v>－</v>
      </c>
      <c r="V82" s="32" t="n">
        <f>12353020</f>
        <v>1.235302E7</v>
      </c>
      <c r="W82" s="32" t="str">
        <f>"－"</f>
        <v>－</v>
      </c>
      <c r="X82" s="36" t="n">
        <f>22</f>
        <v>22.0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20250</f>
        <v>20250.0</v>
      </c>
      <c r="L83" s="34" t="s">
        <v>48</v>
      </c>
      <c r="M83" s="33" t="n">
        <f>20640</f>
        <v>20640.0</v>
      </c>
      <c r="N83" s="34" t="s">
        <v>175</v>
      </c>
      <c r="O83" s="33" t="n">
        <f>19750</f>
        <v>19750.0</v>
      </c>
      <c r="P83" s="34" t="s">
        <v>99</v>
      </c>
      <c r="Q83" s="33" t="n">
        <f>20445</f>
        <v>20445.0</v>
      </c>
      <c r="R83" s="34" t="s">
        <v>51</v>
      </c>
      <c r="S83" s="35" t="n">
        <f>20244.77</f>
        <v>20244.77</v>
      </c>
      <c r="T83" s="32" t="n">
        <f>4464</f>
        <v>4464.0</v>
      </c>
      <c r="U83" s="32" t="str">
        <f>"－"</f>
        <v>－</v>
      </c>
      <c r="V83" s="32" t="n">
        <f>90456560</f>
        <v>9.045656E7</v>
      </c>
      <c r="W83" s="32" t="str">
        <f>"－"</f>
        <v>－</v>
      </c>
      <c r="X83" s="36" t="n">
        <f>22</f>
        <v>22.0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11630</f>
        <v>11630.0</v>
      </c>
      <c r="L84" s="34" t="s">
        <v>48</v>
      </c>
      <c r="M84" s="33" t="n">
        <f>11830</f>
        <v>11830.0</v>
      </c>
      <c r="N84" s="34" t="s">
        <v>175</v>
      </c>
      <c r="O84" s="33" t="n">
        <f>11180</f>
        <v>11180.0</v>
      </c>
      <c r="P84" s="34" t="s">
        <v>50</v>
      </c>
      <c r="Q84" s="33" t="n">
        <f>11645</f>
        <v>11645.0</v>
      </c>
      <c r="R84" s="34" t="s">
        <v>51</v>
      </c>
      <c r="S84" s="35" t="n">
        <f>11523.41</f>
        <v>11523.41</v>
      </c>
      <c r="T84" s="32" t="n">
        <f>5350</f>
        <v>5350.0</v>
      </c>
      <c r="U84" s="32" t="str">
        <f>"－"</f>
        <v>－</v>
      </c>
      <c r="V84" s="32" t="n">
        <f>61389950</f>
        <v>6.138995E7</v>
      </c>
      <c r="W84" s="32" t="str">
        <f>"－"</f>
        <v>－</v>
      </c>
      <c r="X84" s="36" t="n">
        <f>22</f>
        <v>22.0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2185</f>
        <v>2185.0</v>
      </c>
      <c r="L85" s="34" t="s">
        <v>48</v>
      </c>
      <c r="M85" s="33" t="n">
        <f>2192</f>
        <v>2192.0</v>
      </c>
      <c r="N85" s="34" t="s">
        <v>50</v>
      </c>
      <c r="O85" s="33" t="n">
        <f>2090</f>
        <v>2090.0</v>
      </c>
      <c r="P85" s="34" t="s">
        <v>69</v>
      </c>
      <c r="Q85" s="33" t="n">
        <f>2101</f>
        <v>2101.0</v>
      </c>
      <c r="R85" s="34" t="s">
        <v>51</v>
      </c>
      <c r="S85" s="35" t="n">
        <f>2146.23</f>
        <v>2146.23</v>
      </c>
      <c r="T85" s="32" t="n">
        <f>312221</f>
        <v>312221.0</v>
      </c>
      <c r="U85" s="32" t="n">
        <f>120115</f>
        <v>120115.0</v>
      </c>
      <c r="V85" s="32" t="n">
        <f>672844332</f>
        <v>6.72844332E8</v>
      </c>
      <c r="W85" s="32" t="n">
        <f>261340235</f>
        <v>2.61340235E8</v>
      </c>
      <c r="X85" s="36" t="n">
        <f>22</f>
        <v>22.0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2078</f>
        <v>2078.0</v>
      </c>
      <c r="L86" s="34" t="s">
        <v>48</v>
      </c>
      <c r="M86" s="33" t="n">
        <f>2094</f>
        <v>2094.0</v>
      </c>
      <c r="N86" s="34" t="s">
        <v>68</v>
      </c>
      <c r="O86" s="33" t="n">
        <f>1988</f>
        <v>1988.0</v>
      </c>
      <c r="P86" s="34" t="s">
        <v>51</v>
      </c>
      <c r="Q86" s="33" t="n">
        <f>1993</f>
        <v>1993.0</v>
      </c>
      <c r="R86" s="34" t="s">
        <v>51</v>
      </c>
      <c r="S86" s="35" t="n">
        <f>2055.68</f>
        <v>2055.68</v>
      </c>
      <c r="T86" s="32" t="n">
        <f>343201</f>
        <v>343201.0</v>
      </c>
      <c r="U86" s="32" t="n">
        <f>120122</f>
        <v>120122.0</v>
      </c>
      <c r="V86" s="32" t="n">
        <f>703770291</f>
        <v>7.03770291E8</v>
      </c>
      <c r="W86" s="32" t="n">
        <f>249226736</f>
        <v>2.49226736E8</v>
      </c>
      <c r="X86" s="36" t="n">
        <f>22</f>
        <v>22.0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14830</f>
        <v>14830.0</v>
      </c>
      <c r="L87" s="34" t="s">
        <v>48</v>
      </c>
      <c r="M87" s="33" t="n">
        <f>15285</f>
        <v>15285.0</v>
      </c>
      <c r="N87" s="34" t="s">
        <v>49</v>
      </c>
      <c r="O87" s="33" t="n">
        <f>14630</f>
        <v>14630.0</v>
      </c>
      <c r="P87" s="34" t="s">
        <v>99</v>
      </c>
      <c r="Q87" s="33" t="n">
        <f>14905</f>
        <v>14905.0</v>
      </c>
      <c r="R87" s="34" t="s">
        <v>51</v>
      </c>
      <c r="S87" s="35" t="n">
        <f>14942.95</f>
        <v>14942.95</v>
      </c>
      <c r="T87" s="32" t="n">
        <f>39522</f>
        <v>39522.0</v>
      </c>
      <c r="U87" s="32" t="n">
        <f>20010</f>
        <v>20010.0</v>
      </c>
      <c r="V87" s="32" t="n">
        <f>590483920</f>
        <v>5.9048392E8</v>
      </c>
      <c r="W87" s="32" t="n">
        <f>300170010</f>
        <v>3.0017001E8</v>
      </c>
      <c r="X87" s="36" t="n">
        <f>22</f>
        <v>22.0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8931</f>
        <v>8931.0</v>
      </c>
      <c r="L88" s="34" t="s">
        <v>48</v>
      </c>
      <c r="M88" s="33" t="n">
        <f>9025</f>
        <v>9025.0</v>
      </c>
      <c r="N88" s="34" t="s">
        <v>103</v>
      </c>
      <c r="O88" s="33" t="n">
        <f>8800</f>
        <v>8800.0</v>
      </c>
      <c r="P88" s="34" t="s">
        <v>103</v>
      </c>
      <c r="Q88" s="33" t="n">
        <f>8901</f>
        <v>8901.0</v>
      </c>
      <c r="R88" s="34" t="s">
        <v>51</v>
      </c>
      <c r="S88" s="35" t="n">
        <f>8909</f>
        <v>8909.0</v>
      </c>
      <c r="T88" s="32" t="n">
        <f>1597</f>
        <v>1597.0</v>
      </c>
      <c r="U88" s="32" t="n">
        <f>5</f>
        <v>5.0</v>
      </c>
      <c r="V88" s="32" t="n">
        <f>14191539</f>
        <v>1.4191539E7</v>
      </c>
      <c r="W88" s="32" t="n">
        <f>44482</f>
        <v>44482.0</v>
      </c>
      <c r="X88" s="36" t="n">
        <f>22</f>
        <v>22.0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7185</f>
        <v>7185.0</v>
      </c>
      <c r="L89" s="34" t="s">
        <v>48</v>
      </c>
      <c r="M89" s="33" t="n">
        <f>7413</f>
        <v>7413.0</v>
      </c>
      <c r="N89" s="34" t="s">
        <v>99</v>
      </c>
      <c r="O89" s="33" t="n">
        <f>7073</f>
        <v>7073.0</v>
      </c>
      <c r="P89" s="34" t="s">
        <v>50</v>
      </c>
      <c r="Q89" s="33" t="n">
        <f>7291</f>
        <v>7291.0</v>
      </c>
      <c r="R89" s="34" t="s">
        <v>51</v>
      </c>
      <c r="S89" s="35" t="n">
        <f>7287.82</f>
        <v>7287.82</v>
      </c>
      <c r="T89" s="32" t="n">
        <f>1999014</f>
        <v>1999014.0</v>
      </c>
      <c r="U89" s="32" t="n">
        <f>301345</f>
        <v>301345.0</v>
      </c>
      <c r="V89" s="32" t="n">
        <f>14508767964</f>
        <v>1.4508767964E10</v>
      </c>
      <c r="W89" s="32" t="n">
        <f>2173865060</f>
        <v>2.17386506E9</v>
      </c>
      <c r="X89" s="36" t="n">
        <f>22</f>
        <v>22.0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3640</f>
        <v>3640.0</v>
      </c>
      <c r="L90" s="34" t="s">
        <v>48</v>
      </c>
      <c r="M90" s="33" t="n">
        <f>3790</f>
        <v>3790.0</v>
      </c>
      <c r="N90" s="34" t="s">
        <v>68</v>
      </c>
      <c r="O90" s="33" t="n">
        <f>3550</f>
        <v>3550.0</v>
      </c>
      <c r="P90" s="34" t="s">
        <v>51</v>
      </c>
      <c r="Q90" s="33" t="n">
        <f>3590</f>
        <v>3590.0</v>
      </c>
      <c r="R90" s="34" t="s">
        <v>51</v>
      </c>
      <c r="S90" s="35" t="n">
        <f>3665.23</f>
        <v>3665.23</v>
      </c>
      <c r="T90" s="32" t="n">
        <f>536130</f>
        <v>536130.0</v>
      </c>
      <c r="U90" s="32" t="str">
        <f>"－"</f>
        <v>－</v>
      </c>
      <c r="V90" s="32" t="n">
        <f>1974663815</f>
        <v>1.974663815E9</v>
      </c>
      <c r="W90" s="32" t="str">
        <f>"－"</f>
        <v>－</v>
      </c>
      <c r="X90" s="36" t="n">
        <f>22</f>
        <v>22.0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8130</f>
        <v>8130.0</v>
      </c>
      <c r="L91" s="34" t="s">
        <v>48</v>
      </c>
      <c r="M91" s="33" t="n">
        <f>8376</f>
        <v>8376.0</v>
      </c>
      <c r="N91" s="34" t="s">
        <v>73</v>
      </c>
      <c r="O91" s="33" t="n">
        <f>7675</f>
        <v>7675.0</v>
      </c>
      <c r="P91" s="34" t="s">
        <v>51</v>
      </c>
      <c r="Q91" s="33" t="n">
        <f>7715</f>
        <v>7715.0</v>
      </c>
      <c r="R91" s="34" t="s">
        <v>51</v>
      </c>
      <c r="S91" s="35" t="n">
        <f>7990.05</f>
        <v>7990.05</v>
      </c>
      <c r="T91" s="32" t="n">
        <f>142958</f>
        <v>142958.0</v>
      </c>
      <c r="U91" s="32" t="str">
        <f>"－"</f>
        <v>－</v>
      </c>
      <c r="V91" s="32" t="n">
        <f>1144549599</f>
        <v>1.144549599E9</v>
      </c>
      <c r="W91" s="32" t="str">
        <f>"－"</f>
        <v>－</v>
      </c>
      <c r="X91" s="36" t="n">
        <f>22</f>
        <v>22.0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81820</f>
        <v>81820.0</v>
      </c>
      <c r="L92" s="34" t="s">
        <v>48</v>
      </c>
      <c r="M92" s="33" t="n">
        <f>86530</f>
        <v>86530.0</v>
      </c>
      <c r="N92" s="34" t="s">
        <v>73</v>
      </c>
      <c r="O92" s="33" t="n">
        <f>77800</f>
        <v>77800.0</v>
      </c>
      <c r="P92" s="34" t="s">
        <v>189</v>
      </c>
      <c r="Q92" s="33" t="n">
        <f>83470</f>
        <v>83470.0</v>
      </c>
      <c r="R92" s="34" t="s">
        <v>51</v>
      </c>
      <c r="S92" s="35" t="n">
        <f>82426.82</f>
        <v>82426.82</v>
      </c>
      <c r="T92" s="32" t="n">
        <f>7772</f>
        <v>7772.0</v>
      </c>
      <c r="U92" s="32" t="n">
        <f>3</f>
        <v>3.0</v>
      </c>
      <c r="V92" s="32" t="n">
        <f>641183490</f>
        <v>6.4118349E8</v>
      </c>
      <c r="W92" s="32" t="n">
        <f>253200</f>
        <v>253200.0</v>
      </c>
      <c r="X92" s="36" t="n">
        <f>22</f>
        <v>22.0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17470</f>
        <v>17470.0</v>
      </c>
      <c r="L93" s="34" t="s">
        <v>48</v>
      </c>
      <c r="M93" s="33" t="n">
        <f>18605</f>
        <v>18605.0</v>
      </c>
      <c r="N93" s="34" t="s">
        <v>182</v>
      </c>
      <c r="O93" s="33" t="n">
        <f>17055</f>
        <v>17055.0</v>
      </c>
      <c r="P93" s="34" t="s">
        <v>50</v>
      </c>
      <c r="Q93" s="33" t="n">
        <f>17445</f>
        <v>17445.0</v>
      </c>
      <c r="R93" s="34" t="s">
        <v>51</v>
      </c>
      <c r="S93" s="35" t="n">
        <f>17927.95</f>
        <v>17927.95</v>
      </c>
      <c r="T93" s="32" t="n">
        <f>2087942</f>
        <v>2087942.0</v>
      </c>
      <c r="U93" s="32" t="n">
        <f>263432</f>
        <v>263432.0</v>
      </c>
      <c r="V93" s="32" t="n">
        <f>37439531767</f>
        <v>3.7439531767E10</v>
      </c>
      <c r="W93" s="32" t="n">
        <f>4785830207</f>
        <v>4.785830207E9</v>
      </c>
      <c r="X93" s="36" t="n">
        <f>22</f>
        <v>22.0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43030</f>
        <v>43030.0</v>
      </c>
      <c r="L94" s="34" t="s">
        <v>48</v>
      </c>
      <c r="M94" s="33" t="n">
        <f>44910</f>
        <v>44910.0</v>
      </c>
      <c r="N94" s="34" t="s">
        <v>182</v>
      </c>
      <c r="O94" s="33" t="n">
        <f>42010</f>
        <v>42010.0</v>
      </c>
      <c r="P94" s="34" t="s">
        <v>50</v>
      </c>
      <c r="Q94" s="33" t="n">
        <f>42970</f>
        <v>42970.0</v>
      </c>
      <c r="R94" s="34" t="s">
        <v>51</v>
      </c>
      <c r="S94" s="35" t="n">
        <f>43503.64</f>
        <v>43503.64</v>
      </c>
      <c r="T94" s="32" t="n">
        <f>194623</f>
        <v>194623.0</v>
      </c>
      <c r="U94" s="32" t="n">
        <f>72230</f>
        <v>72230.0</v>
      </c>
      <c r="V94" s="32" t="n">
        <f>8448281583</f>
        <v>8.448281583E9</v>
      </c>
      <c r="W94" s="32" t="n">
        <f>3127370553</f>
        <v>3.127370553E9</v>
      </c>
      <c r="X94" s="36" t="n">
        <f>22</f>
        <v>22.0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5985</f>
        <v>5985.0</v>
      </c>
      <c r="L95" s="34" t="s">
        <v>48</v>
      </c>
      <c r="M95" s="33" t="n">
        <f>6365</f>
        <v>6365.0</v>
      </c>
      <c r="N95" s="34" t="s">
        <v>182</v>
      </c>
      <c r="O95" s="33" t="n">
        <f>5830</f>
        <v>5830.0</v>
      </c>
      <c r="P95" s="34" t="s">
        <v>50</v>
      </c>
      <c r="Q95" s="33" t="n">
        <f>6061</f>
        <v>6061.0</v>
      </c>
      <c r="R95" s="34" t="s">
        <v>51</v>
      </c>
      <c r="S95" s="35" t="n">
        <f>6137.5</f>
        <v>6137.5</v>
      </c>
      <c r="T95" s="32" t="n">
        <f>2170710</f>
        <v>2170710.0</v>
      </c>
      <c r="U95" s="32" t="n">
        <f>616740</f>
        <v>616740.0</v>
      </c>
      <c r="V95" s="32" t="n">
        <f>13298919356</f>
        <v>1.3298919356E10</v>
      </c>
      <c r="W95" s="32" t="n">
        <f>3769926536</f>
        <v>3.769926536E9</v>
      </c>
      <c r="X95" s="36" t="n">
        <f>22</f>
        <v>22.0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3770</f>
        <v>3770.0</v>
      </c>
      <c r="L96" s="34" t="s">
        <v>48</v>
      </c>
      <c r="M96" s="33" t="n">
        <f>3965</f>
        <v>3965.0</v>
      </c>
      <c r="N96" s="34" t="s">
        <v>182</v>
      </c>
      <c r="O96" s="33" t="n">
        <f>3680</f>
        <v>3680.0</v>
      </c>
      <c r="P96" s="34" t="s">
        <v>50</v>
      </c>
      <c r="Q96" s="33" t="n">
        <f>3810</f>
        <v>3810.0</v>
      </c>
      <c r="R96" s="34" t="s">
        <v>51</v>
      </c>
      <c r="S96" s="35" t="n">
        <f>3847.86</f>
        <v>3847.86</v>
      </c>
      <c r="T96" s="32" t="n">
        <f>102350</f>
        <v>102350.0</v>
      </c>
      <c r="U96" s="32" t="str">
        <f>"－"</f>
        <v>－</v>
      </c>
      <c r="V96" s="32" t="n">
        <f>393767620</f>
        <v>3.9376762E8</v>
      </c>
      <c r="W96" s="32" t="str">
        <f>"－"</f>
        <v>－</v>
      </c>
      <c r="X96" s="36" t="n">
        <f>22</f>
        <v>22.0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4332</f>
        <v>4332.0</v>
      </c>
      <c r="L97" s="34" t="s">
        <v>48</v>
      </c>
      <c r="M97" s="33" t="n">
        <f>4550</f>
        <v>4550.0</v>
      </c>
      <c r="N97" s="34" t="s">
        <v>49</v>
      </c>
      <c r="O97" s="33" t="n">
        <f>4301</f>
        <v>4301.0</v>
      </c>
      <c r="P97" s="34" t="s">
        <v>48</v>
      </c>
      <c r="Q97" s="33" t="n">
        <f>4476</f>
        <v>4476.0</v>
      </c>
      <c r="R97" s="34" t="s">
        <v>51</v>
      </c>
      <c r="S97" s="35" t="n">
        <f>4454.05</f>
        <v>4454.05</v>
      </c>
      <c r="T97" s="32" t="n">
        <f>8640</f>
        <v>8640.0</v>
      </c>
      <c r="U97" s="32" t="str">
        <f>"－"</f>
        <v>－</v>
      </c>
      <c r="V97" s="32" t="n">
        <f>38422370</f>
        <v>3.842237E7</v>
      </c>
      <c r="W97" s="32" t="str">
        <f>"－"</f>
        <v>－</v>
      </c>
      <c r="X97" s="36" t="n">
        <f>22</f>
        <v>22.0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 t="s">
        <v>341</v>
      </c>
      <c r="I98" s="31" t="s">
        <v>47</v>
      </c>
      <c r="J98" s="32" t="n">
        <v>1.0</v>
      </c>
      <c r="K98" s="33" t="n">
        <f>1928</f>
        <v>1928.0</v>
      </c>
      <c r="L98" s="34" t="s">
        <v>48</v>
      </c>
      <c r="M98" s="33" t="n">
        <f>2068</f>
        <v>2068.0</v>
      </c>
      <c r="N98" s="34" t="s">
        <v>69</v>
      </c>
      <c r="O98" s="33" t="n">
        <f>1734</f>
        <v>1734.0</v>
      </c>
      <c r="P98" s="34" t="s">
        <v>140</v>
      </c>
      <c r="Q98" s="33" t="n">
        <f>1986</f>
        <v>1986.0</v>
      </c>
      <c r="R98" s="34" t="s">
        <v>51</v>
      </c>
      <c r="S98" s="35" t="n">
        <f>1885.73</f>
        <v>1885.73</v>
      </c>
      <c r="T98" s="32" t="n">
        <f>37293348</f>
        <v>3.7293348E7</v>
      </c>
      <c r="U98" s="32" t="n">
        <f>101558</f>
        <v>101558.0</v>
      </c>
      <c r="V98" s="32" t="n">
        <f>71188516304</f>
        <v>7.1188516304E10</v>
      </c>
      <c r="W98" s="32" t="n">
        <f>200264647</f>
        <v>2.00264647E8</v>
      </c>
      <c r="X98" s="36" t="n">
        <f>22</f>
        <v>22.0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3195</f>
        <v>3195.0</v>
      </c>
      <c r="L99" s="34" t="s">
        <v>48</v>
      </c>
      <c r="M99" s="33" t="n">
        <f>3360</f>
        <v>3360.0</v>
      </c>
      <c r="N99" s="34" t="s">
        <v>182</v>
      </c>
      <c r="O99" s="33" t="n">
        <f>3109</f>
        <v>3109.0</v>
      </c>
      <c r="P99" s="34" t="s">
        <v>50</v>
      </c>
      <c r="Q99" s="33" t="n">
        <f>3238</f>
        <v>3238.0</v>
      </c>
      <c r="R99" s="34" t="s">
        <v>51</v>
      </c>
      <c r="S99" s="35" t="n">
        <f>3260.59</f>
        <v>3260.59</v>
      </c>
      <c r="T99" s="32" t="n">
        <f>92160</f>
        <v>92160.0</v>
      </c>
      <c r="U99" s="32" t="str">
        <f>"－"</f>
        <v>－</v>
      </c>
      <c r="V99" s="32" t="n">
        <f>300541920</f>
        <v>3.0054192E8</v>
      </c>
      <c r="W99" s="32" t="str">
        <f>"－"</f>
        <v>－</v>
      </c>
      <c r="X99" s="36" t="n">
        <f>22</f>
        <v>22.0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1820</f>
        <v>1820.0</v>
      </c>
      <c r="L100" s="34" t="s">
        <v>48</v>
      </c>
      <c r="M100" s="33" t="n">
        <f>1832</f>
        <v>1832.0</v>
      </c>
      <c r="N100" s="34" t="s">
        <v>68</v>
      </c>
      <c r="O100" s="33" t="n">
        <f>1731.5</f>
        <v>1731.5</v>
      </c>
      <c r="P100" s="34" t="s">
        <v>348</v>
      </c>
      <c r="Q100" s="33" t="n">
        <f>1779</f>
        <v>1779.0</v>
      </c>
      <c r="R100" s="34" t="s">
        <v>51</v>
      </c>
      <c r="S100" s="35" t="n">
        <f>1782.75</f>
        <v>1782.75</v>
      </c>
      <c r="T100" s="32" t="n">
        <f>131990</f>
        <v>131990.0</v>
      </c>
      <c r="U100" s="32" t="n">
        <f>20</f>
        <v>20.0</v>
      </c>
      <c r="V100" s="32" t="n">
        <f>235244570</f>
        <v>2.3524457E8</v>
      </c>
      <c r="W100" s="32" t="n">
        <f>36040</f>
        <v>36040.0</v>
      </c>
      <c r="X100" s="36" t="n">
        <f>22</f>
        <v>22.0</v>
      </c>
    </row>
    <row r="101">
      <c r="A101" s="27" t="s">
        <v>42</v>
      </c>
      <c r="B101" s="27" t="s">
        <v>349</v>
      </c>
      <c r="C101" s="27" t="s">
        <v>350</v>
      </c>
      <c r="D101" s="27" t="s">
        <v>351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54730</f>
        <v>54730.0</v>
      </c>
      <c r="L101" s="34" t="s">
        <v>48</v>
      </c>
      <c r="M101" s="33" t="n">
        <f>58250</f>
        <v>58250.0</v>
      </c>
      <c r="N101" s="34" t="s">
        <v>182</v>
      </c>
      <c r="O101" s="33" t="n">
        <f>53350</f>
        <v>53350.0</v>
      </c>
      <c r="P101" s="34" t="s">
        <v>50</v>
      </c>
      <c r="Q101" s="33" t="n">
        <f>55500</f>
        <v>55500.0</v>
      </c>
      <c r="R101" s="34" t="s">
        <v>51</v>
      </c>
      <c r="S101" s="35" t="n">
        <f>56162.27</f>
        <v>56162.27</v>
      </c>
      <c r="T101" s="32" t="n">
        <f>101603</f>
        <v>101603.0</v>
      </c>
      <c r="U101" s="32" t="str">
        <f>"－"</f>
        <v>－</v>
      </c>
      <c r="V101" s="32" t="n">
        <f>5696654040</f>
        <v>5.69665404E9</v>
      </c>
      <c r="W101" s="32" t="str">
        <f>"－"</f>
        <v>－</v>
      </c>
      <c r="X101" s="36" t="n">
        <f>22</f>
        <v>22.0</v>
      </c>
    </row>
    <row r="102">
      <c r="A102" s="27" t="s">
        <v>42</v>
      </c>
      <c r="B102" s="27" t="s">
        <v>352</v>
      </c>
      <c r="C102" s="27" t="s">
        <v>353</v>
      </c>
      <c r="D102" s="27" t="s">
        <v>354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3290</f>
        <v>3290.0</v>
      </c>
      <c r="L102" s="34" t="s">
        <v>48</v>
      </c>
      <c r="M102" s="33" t="n">
        <f>3330</f>
        <v>3330.0</v>
      </c>
      <c r="N102" s="34" t="s">
        <v>48</v>
      </c>
      <c r="O102" s="33" t="n">
        <f>3225</f>
        <v>3225.0</v>
      </c>
      <c r="P102" s="34" t="s">
        <v>50</v>
      </c>
      <c r="Q102" s="33" t="n">
        <f>3310</f>
        <v>3310.0</v>
      </c>
      <c r="R102" s="34" t="s">
        <v>51</v>
      </c>
      <c r="S102" s="35" t="n">
        <f>3301.36</f>
        <v>3301.36</v>
      </c>
      <c r="T102" s="32" t="n">
        <f>9935</f>
        <v>9935.0</v>
      </c>
      <c r="U102" s="32" t="str">
        <f>"－"</f>
        <v>－</v>
      </c>
      <c r="V102" s="32" t="n">
        <f>32684685</f>
        <v>3.2684685E7</v>
      </c>
      <c r="W102" s="32" t="str">
        <f>"－"</f>
        <v>－</v>
      </c>
      <c r="X102" s="36" t="n">
        <f>22</f>
        <v>22.0</v>
      </c>
    </row>
    <row r="103">
      <c r="A103" s="27" t="s">
        <v>42</v>
      </c>
      <c r="B103" s="27" t="s">
        <v>355</v>
      </c>
      <c r="C103" s="27" t="s">
        <v>356</v>
      </c>
      <c r="D103" s="27" t="s">
        <v>357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4480</f>
        <v>4480.0</v>
      </c>
      <c r="L103" s="34" t="s">
        <v>48</v>
      </c>
      <c r="M103" s="33" t="n">
        <f>4510</f>
        <v>4510.0</v>
      </c>
      <c r="N103" s="34" t="s">
        <v>103</v>
      </c>
      <c r="O103" s="33" t="n">
        <f>4250</f>
        <v>4250.0</v>
      </c>
      <c r="P103" s="34" t="s">
        <v>274</v>
      </c>
      <c r="Q103" s="33" t="n">
        <f>4340</f>
        <v>4340.0</v>
      </c>
      <c r="R103" s="34" t="s">
        <v>51</v>
      </c>
      <c r="S103" s="35" t="n">
        <f>4370</f>
        <v>4370.0</v>
      </c>
      <c r="T103" s="32" t="n">
        <f>4481</f>
        <v>4481.0</v>
      </c>
      <c r="U103" s="32" t="str">
        <f>"－"</f>
        <v>－</v>
      </c>
      <c r="V103" s="32" t="n">
        <f>19618955</f>
        <v>1.9618955E7</v>
      </c>
      <c r="W103" s="32" t="str">
        <f>"－"</f>
        <v>－</v>
      </c>
      <c r="X103" s="36" t="n">
        <f>22</f>
        <v>22.0</v>
      </c>
    </row>
    <row r="104">
      <c r="A104" s="27" t="s">
        <v>42</v>
      </c>
      <c r="B104" s="27" t="s">
        <v>358</v>
      </c>
      <c r="C104" s="27" t="s">
        <v>359</v>
      </c>
      <c r="D104" s="27" t="s">
        <v>360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2449</f>
        <v>2449.0</v>
      </c>
      <c r="L104" s="34" t="s">
        <v>48</v>
      </c>
      <c r="M104" s="33" t="n">
        <f>2760</f>
        <v>2760.0</v>
      </c>
      <c r="N104" s="34" t="s">
        <v>49</v>
      </c>
      <c r="O104" s="33" t="n">
        <f>2407</f>
        <v>2407.0</v>
      </c>
      <c r="P104" s="34" t="s">
        <v>69</v>
      </c>
      <c r="Q104" s="33" t="n">
        <f>2480</f>
        <v>2480.0</v>
      </c>
      <c r="R104" s="34" t="s">
        <v>51</v>
      </c>
      <c r="S104" s="35" t="n">
        <f>2581.95</f>
        <v>2581.95</v>
      </c>
      <c r="T104" s="32" t="n">
        <f>1442559</f>
        <v>1442559.0</v>
      </c>
      <c r="U104" s="32" t="str">
        <f>"－"</f>
        <v>－</v>
      </c>
      <c r="V104" s="32" t="n">
        <f>3746209310</f>
        <v>3.74620931E9</v>
      </c>
      <c r="W104" s="32" t="str">
        <f>"－"</f>
        <v>－</v>
      </c>
      <c r="X104" s="36" t="n">
        <f>22</f>
        <v>22.0</v>
      </c>
    </row>
    <row r="105">
      <c r="A105" s="27" t="s">
        <v>42</v>
      </c>
      <c r="B105" s="27" t="s">
        <v>361</v>
      </c>
      <c r="C105" s="27" t="s">
        <v>362</v>
      </c>
      <c r="D105" s="27" t="s">
        <v>363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42750</f>
        <v>42750.0</v>
      </c>
      <c r="L105" s="34" t="s">
        <v>48</v>
      </c>
      <c r="M105" s="33" t="n">
        <f>44180</f>
        <v>44180.0</v>
      </c>
      <c r="N105" s="34" t="s">
        <v>75</v>
      </c>
      <c r="O105" s="33" t="n">
        <f>42130</f>
        <v>42130.0</v>
      </c>
      <c r="P105" s="34" t="s">
        <v>50</v>
      </c>
      <c r="Q105" s="33" t="n">
        <f>43960</f>
        <v>43960.0</v>
      </c>
      <c r="R105" s="34" t="s">
        <v>51</v>
      </c>
      <c r="S105" s="35" t="n">
        <f>43483.64</f>
        <v>43483.64</v>
      </c>
      <c r="T105" s="32" t="n">
        <f>13986</f>
        <v>13986.0</v>
      </c>
      <c r="U105" s="32" t="n">
        <f>2702</f>
        <v>2702.0</v>
      </c>
      <c r="V105" s="32" t="n">
        <f>606559820</f>
        <v>6.0655982E8</v>
      </c>
      <c r="W105" s="32" t="n">
        <f>116010510</f>
        <v>1.1601051E8</v>
      </c>
      <c r="X105" s="36" t="n">
        <f>22</f>
        <v>22.0</v>
      </c>
    </row>
    <row r="106">
      <c r="A106" s="27" t="s">
        <v>42</v>
      </c>
      <c r="B106" s="27" t="s">
        <v>364</v>
      </c>
      <c r="C106" s="27" t="s">
        <v>365</v>
      </c>
      <c r="D106" s="27" t="s">
        <v>366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23880</f>
        <v>23880.0</v>
      </c>
      <c r="L106" s="34" t="s">
        <v>48</v>
      </c>
      <c r="M106" s="33" t="n">
        <f>25495</f>
        <v>25495.0</v>
      </c>
      <c r="N106" s="34" t="s">
        <v>49</v>
      </c>
      <c r="O106" s="33" t="n">
        <f>23425</f>
        <v>23425.0</v>
      </c>
      <c r="P106" s="34" t="s">
        <v>50</v>
      </c>
      <c r="Q106" s="33" t="n">
        <f>24340</f>
        <v>24340.0</v>
      </c>
      <c r="R106" s="34" t="s">
        <v>51</v>
      </c>
      <c r="S106" s="35" t="n">
        <f>24419.55</f>
        <v>24419.55</v>
      </c>
      <c r="T106" s="32" t="n">
        <f>2432360</f>
        <v>2432360.0</v>
      </c>
      <c r="U106" s="32" t="n">
        <f>480</f>
        <v>480.0</v>
      </c>
      <c r="V106" s="32" t="n">
        <f>59696612650</f>
        <v>5.969661265E10</v>
      </c>
      <c r="W106" s="32" t="n">
        <f>11589600</f>
        <v>1.15896E7</v>
      </c>
      <c r="X106" s="36" t="n">
        <f>22</f>
        <v>22.0</v>
      </c>
    </row>
    <row r="107">
      <c r="A107" s="27" t="s">
        <v>42</v>
      </c>
      <c r="B107" s="27" t="s">
        <v>367</v>
      </c>
      <c r="C107" s="27" t="s">
        <v>368</v>
      </c>
      <c r="D107" s="27" t="s">
        <v>369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2076</f>
        <v>2076.0</v>
      </c>
      <c r="L107" s="34" t="s">
        <v>48</v>
      </c>
      <c r="M107" s="33" t="n">
        <f>2093.5</f>
        <v>2093.5</v>
      </c>
      <c r="N107" s="34" t="s">
        <v>50</v>
      </c>
      <c r="O107" s="33" t="n">
        <f>2004.5</f>
        <v>2004.5</v>
      </c>
      <c r="P107" s="34" t="s">
        <v>49</v>
      </c>
      <c r="Q107" s="33" t="n">
        <f>2048</f>
        <v>2048.0</v>
      </c>
      <c r="R107" s="34" t="s">
        <v>51</v>
      </c>
      <c r="S107" s="35" t="n">
        <f>2048.64</f>
        <v>2048.64</v>
      </c>
      <c r="T107" s="32" t="n">
        <f>386800</f>
        <v>386800.0</v>
      </c>
      <c r="U107" s="32" t="n">
        <f>5290</f>
        <v>5290.0</v>
      </c>
      <c r="V107" s="32" t="n">
        <f>792894080</f>
        <v>7.9289408E8</v>
      </c>
      <c r="W107" s="32" t="n">
        <f>10826890</f>
        <v>1.082689E7</v>
      </c>
      <c r="X107" s="36" t="n">
        <f>22</f>
        <v>22.0</v>
      </c>
    </row>
    <row r="108">
      <c r="A108" s="27" t="s">
        <v>42</v>
      </c>
      <c r="B108" s="27" t="s">
        <v>370</v>
      </c>
      <c r="C108" s="27" t="s">
        <v>371</v>
      </c>
      <c r="D108" s="27" t="s">
        <v>372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14475</f>
        <v>14475.0</v>
      </c>
      <c r="L108" s="34" t="s">
        <v>48</v>
      </c>
      <c r="M108" s="33" t="n">
        <f>15935</f>
        <v>15935.0</v>
      </c>
      <c r="N108" s="34" t="s">
        <v>49</v>
      </c>
      <c r="O108" s="33" t="n">
        <f>14165</f>
        <v>14165.0</v>
      </c>
      <c r="P108" s="34" t="s">
        <v>50</v>
      </c>
      <c r="Q108" s="33" t="n">
        <f>14715</f>
        <v>14715.0</v>
      </c>
      <c r="R108" s="34" t="s">
        <v>51</v>
      </c>
      <c r="S108" s="35" t="n">
        <f>15006.36</f>
        <v>15006.36</v>
      </c>
      <c r="T108" s="32" t="n">
        <f>160594782</f>
        <v>1.60594782E8</v>
      </c>
      <c r="U108" s="32" t="n">
        <f>828244</f>
        <v>828244.0</v>
      </c>
      <c r="V108" s="32" t="n">
        <f>2402170913963</f>
        <v>2.402170913963E12</v>
      </c>
      <c r="W108" s="32" t="n">
        <f>12389835018</f>
        <v>1.2389835018E10</v>
      </c>
      <c r="X108" s="36" t="n">
        <f>22</f>
        <v>22.0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973</f>
        <v>973.0</v>
      </c>
      <c r="L109" s="34" t="s">
        <v>48</v>
      </c>
      <c r="M109" s="33" t="n">
        <f>982</f>
        <v>982.0</v>
      </c>
      <c r="N109" s="34" t="s">
        <v>50</v>
      </c>
      <c r="O109" s="33" t="n">
        <f>923</f>
        <v>923.0</v>
      </c>
      <c r="P109" s="34" t="s">
        <v>49</v>
      </c>
      <c r="Q109" s="33" t="n">
        <f>959</f>
        <v>959.0</v>
      </c>
      <c r="R109" s="34" t="s">
        <v>51</v>
      </c>
      <c r="S109" s="35" t="n">
        <f>952.73</f>
        <v>952.73</v>
      </c>
      <c r="T109" s="32" t="n">
        <f>41614516</f>
        <v>4.1614516E7</v>
      </c>
      <c r="U109" s="32" t="n">
        <f>1363646</f>
        <v>1363646.0</v>
      </c>
      <c r="V109" s="32" t="n">
        <f>39668954464</f>
        <v>3.9668954464E10</v>
      </c>
      <c r="W109" s="32" t="n">
        <f>1298992345</f>
        <v>1.298992345E9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5306</f>
        <v>5306.0</v>
      </c>
      <c r="L110" s="34" t="s">
        <v>48</v>
      </c>
      <c r="M110" s="33" t="n">
        <f>5587</f>
        <v>5587.0</v>
      </c>
      <c r="N110" s="34" t="s">
        <v>51</v>
      </c>
      <c r="O110" s="33" t="n">
        <f>4942</f>
        <v>4942.0</v>
      </c>
      <c r="P110" s="34" t="s">
        <v>50</v>
      </c>
      <c r="Q110" s="33" t="n">
        <f>5541</f>
        <v>5541.0</v>
      </c>
      <c r="R110" s="34" t="s">
        <v>51</v>
      </c>
      <c r="S110" s="35" t="n">
        <f>5296.5</f>
        <v>5296.5</v>
      </c>
      <c r="T110" s="32" t="n">
        <f>159130</f>
        <v>159130.0</v>
      </c>
      <c r="U110" s="32" t="str">
        <f>"－"</f>
        <v>－</v>
      </c>
      <c r="V110" s="32" t="n">
        <f>839521380</f>
        <v>8.3952138E8</v>
      </c>
      <c r="W110" s="32" t="str">
        <f>"－"</f>
        <v>－</v>
      </c>
      <c r="X110" s="36" t="n">
        <f>22</f>
        <v>22.0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10700</f>
        <v>10700.0</v>
      </c>
      <c r="L111" s="34" t="s">
        <v>48</v>
      </c>
      <c r="M111" s="33" t="n">
        <f>11475</f>
        <v>11475.0</v>
      </c>
      <c r="N111" s="34" t="s">
        <v>348</v>
      </c>
      <c r="O111" s="33" t="n">
        <f>10345</f>
        <v>10345.0</v>
      </c>
      <c r="P111" s="34" t="s">
        <v>50</v>
      </c>
      <c r="Q111" s="33" t="n">
        <f>10950</f>
        <v>10950.0</v>
      </c>
      <c r="R111" s="34" t="s">
        <v>51</v>
      </c>
      <c r="S111" s="35" t="n">
        <f>10918.41</f>
        <v>10918.41</v>
      </c>
      <c r="T111" s="32" t="n">
        <f>10570</f>
        <v>10570.0</v>
      </c>
      <c r="U111" s="32" t="str">
        <f>"－"</f>
        <v>－</v>
      </c>
      <c r="V111" s="32" t="n">
        <f>115914400</f>
        <v>1.159144E8</v>
      </c>
      <c r="W111" s="32" t="str">
        <f>"－"</f>
        <v>－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 t="s">
        <v>341</v>
      </c>
      <c r="I112" s="31" t="s">
        <v>47</v>
      </c>
      <c r="J112" s="32" t="n">
        <v>10.0</v>
      </c>
      <c r="K112" s="33" t="n">
        <f>787</f>
        <v>787.0</v>
      </c>
      <c r="L112" s="34" t="s">
        <v>48</v>
      </c>
      <c r="M112" s="33" t="n">
        <f>811</f>
        <v>811.0</v>
      </c>
      <c r="N112" s="34" t="s">
        <v>48</v>
      </c>
      <c r="O112" s="33" t="n">
        <f>762</f>
        <v>762.0</v>
      </c>
      <c r="P112" s="34" t="s">
        <v>50</v>
      </c>
      <c r="Q112" s="33" t="n">
        <f>796</f>
        <v>796.0</v>
      </c>
      <c r="R112" s="34" t="s">
        <v>51</v>
      </c>
      <c r="S112" s="35" t="n">
        <f>787.42</f>
        <v>787.42</v>
      </c>
      <c r="T112" s="32" t="n">
        <f>15990</f>
        <v>15990.0</v>
      </c>
      <c r="U112" s="32" t="str">
        <f>"－"</f>
        <v>－</v>
      </c>
      <c r="V112" s="32" t="n">
        <f>12629570</f>
        <v>1.262957E7</v>
      </c>
      <c r="W112" s="32" t="str">
        <f>"－"</f>
        <v>－</v>
      </c>
      <c r="X112" s="36" t="n">
        <f>21</f>
        <v>21.0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24370</f>
        <v>24370.0</v>
      </c>
      <c r="L113" s="34" t="s">
        <v>48</v>
      </c>
      <c r="M113" s="33" t="n">
        <f>24980</f>
        <v>24980.0</v>
      </c>
      <c r="N113" s="34" t="s">
        <v>75</v>
      </c>
      <c r="O113" s="33" t="n">
        <f>23725</f>
        <v>23725.0</v>
      </c>
      <c r="P113" s="34" t="s">
        <v>103</v>
      </c>
      <c r="Q113" s="33" t="n">
        <f>24850</f>
        <v>24850.0</v>
      </c>
      <c r="R113" s="34" t="s">
        <v>51</v>
      </c>
      <c r="S113" s="35" t="n">
        <f>24472.73</f>
        <v>24472.73</v>
      </c>
      <c r="T113" s="32" t="n">
        <f>59739</f>
        <v>59739.0</v>
      </c>
      <c r="U113" s="32" t="n">
        <f>23809</f>
        <v>23809.0</v>
      </c>
      <c r="V113" s="32" t="n">
        <f>1457292905</f>
        <v>1.457292905E9</v>
      </c>
      <c r="W113" s="32" t="n">
        <f>580923500</f>
        <v>5.809235E8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2218</f>
        <v>2218.0</v>
      </c>
      <c r="L114" s="34" t="s">
        <v>48</v>
      </c>
      <c r="M114" s="33" t="n">
        <f>2329</f>
        <v>2329.0</v>
      </c>
      <c r="N114" s="34" t="s">
        <v>49</v>
      </c>
      <c r="O114" s="33" t="n">
        <f>2195</f>
        <v>2195.0</v>
      </c>
      <c r="P114" s="34" t="s">
        <v>50</v>
      </c>
      <c r="Q114" s="33" t="n">
        <f>2239</f>
        <v>2239.0</v>
      </c>
      <c r="R114" s="34" t="s">
        <v>51</v>
      </c>
      <c r="S114" s="35" t="n">
        <f>2258.27</f>
        <v>2258.27</v>
      </c>
      <c r="T114" s="32" t="n">
        <f>60154</f>
        <v>60154.0</v>
      </c>
      <c r="U114" s="32" t="str">
        <f>"－"</f>
        <v>－</v>
      </c>
      <c r="V114" s="32" t="n">
        <f>136202251</f>
        <v>1.36202251E8</v>
      </c>
      <c r="W114" s="32" t="str">
        <f>"－"</f>
        <v>－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10.0</v>
      </c>
      <c r="K115" s="33" t="n">
        <f>15465</f>
        <v>15465.0</v>
      </c>
      <c r="L115" s="34" t="s">
        <v>48</v>
      </c>
      <c r="M115" s="33" t="n">
        <f>17055</f>
        <v>17055.0</v>
      </c>
      <c r="N115" s="34" t="s">
        <v>49</v>
      </c>
      <c r="O115" s="33" t="n">
        <f>15160</f>
        <v>15160.0</v>
      </c>
      <c r="P115" s="34" t="s">
        <v>50</v>
      </c>
      <c r="Q115" s="33" t="n">
        <f>15750</f>
        <v>15750.0</v>
      </c>
      <c r="R115" s="34" t="s">
        <v>51</v>
      </c>
      <c r="S115" s="35" t="n">
        <f>16057.27</f>
        <v>16057.27</v>
      </c>
      <c r="T115" s="32" t="n">
        <f>16846080</f>
        <v>1.684608E7</v>
      </c>
      <c r="U115" s="32" t="n">
        <f>150</f>
        <v>150.0</v>
      </c>
      <c r="V115" s="32" t="n">
        <f>269568160950</f>
        <v>2.6956816095E11</v>
      </c>
      <c r="W115" s="32" t="n">
        <f>2331200</f>
        <v>2331200.0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2583</f>
        <v>2583.0</v>
      </c>
      <c r="L116" s="34" t="s">
        <v>48</v>
      </c>
      <c r="M116" s="33" t="n">
        <f>2607</f>
        <v>2607.0</v>
      </c>
      <c r="N116" s="34" t="s">
        <v>50</v>
      </c>
      <c r="O116" s="33" t="n">
        <f>2452.5</f>
        <v>2452.5</v>
      </c>
      <c r="P116" s="34" t="s">
        <v>49</v>
      </c>
      <c r="Q116" s="33" t="n">
        <f>2549</f>
        <v>2549.0</v>
      </c>
      <c r="R116" s="34" t="s">
        <v>51</v>
      </c>
      <c r="S116" s="35" t="n">
        <f>2529.64</f>
        <v>2529.64</v>
      </c>
      <c r="T116" s="32" t="n">
        <f>1495780</f>
        <v>1495780.0</v>
      </c>
      <c r="U116" s="32" t="n">
        <f>504700</f>
        <v>504700.0</v>
      </c>
      <c r="V116" s="32" t="n">
        <f>3776148338</f>
        <v>3.776148338E9</v>
      </c>
      <c r="W116" s="32" t="n">
        <f>1256425868</f>
        <v>1.256425868E9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900</f>
        <v>900.0</v>
      </c>
      <c r="L117" s="34" t="s">
        <v>50</v>
      </c>
      <c r="M117" s="33" t="n">
        <f>965</f>
        <v>965.0</v>
      </c>
      <c r="N117" s="34" t="s">
        <v>49</v>
      </c>
      <c r="O117" s="33" t="n">
        <f>840.1</f>
        <v>840.1</v>
      </c>
      <c r="P117" s="34" t="s">
        <v>140</v>
      </c>
      <c r="Q117" s="33" t="n">
        <f>849.1</f>
        <v>849.1</v>
      </c>
      <c r="R117" s="34" t="s">
        <v>51</v>
      </c>
      <c r="S117" s="35" t="n">
        <f>898.33</f>
        <v>898.33</v>
      </c>
      <c r="T117" s="32" t="n">
        <f>540</f>
        <v>540.0</v>
      </c>
      <c r="U117" s="32" t="str">
        <f>"－"</f>
        <v>－</v>
      </c>
      <c r="V117" s="32" t="n">
        <f>491978</f>
        <v>491978.0</v>
      </c>
      <c r="W117" s="32" t="str">
        <f>"－"</f>
        <v>－</v>
      </c>
      <c r="X117" s="36" t="n">
        <f>12</f>
        <v>12.0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1526</f>
        <v>1526.0</v>
      </c>
      <c r="L118" s="34" t="s">
        <v>48</v>
      </c>
      <c r="M118" s="33" t="n">
        <f>1577</f>
        <v>1577.0</v>
      </c>
      <c r="N118" s="34" t="s">
        <v>49</v>
      </c>
      <c r="O118" s="33" t="n">
        <f>1513.5</f>
        <v>1513.5</v>
      </c>
      <c r="P118" s="34" t="s">
        <v>74</v>
      </c>
      <c r="Q118" s="33" t="n">
        <f>1541.5</f>
        <v>1541.5</v>
      </c>
      <c r="R118" s="34" t="s">
        <v>51</v>
      </c>
      <c r="S118" s="35" t="n">
        <f>1545.65</f>
        <v>1545.65</v>
      </c>
      <c r="T118" s="32" t="n">
        <f>742290</f>
        <v>742290.0</v>
      </c>
      <c r="U118" s="32" t="n">
        <f>741460</f>
        <v>741460.0</v>
      </c>
      <c r="V118" s="32" t="n">
        <f>1155084666</f>
        <v>1.155084666E9</v>
      </c>
      <c r="W118" s="32" t="n">
        <f>1153796031</f>
        <v>1.153796031E9</v>
      </c>
      <c r="X118" s="36" t="n">
        <f>10</f>
        <v>10.0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1639</f>
        <v>1639.0</v>
      </c>
      <c r="L119" s="34" t="s">
        <v>48</v>
      </c>
      <c r="M119" s="33" t="n">
        <f>1693</f>
        <v>1693.0</v>
      </c>
      <c r="N119" s="34" t="s">
        <v>182</v>
      </c>
      <c r="O119" s="33" t="n">
        <f>1594</f>
        <v>1594.0</v>
      </c>
      <c r="P119" s="34" t="s">
        <v>189</v>
      </c>
      <c r="Q119" s="33" t="n">
        <f>1653</f>
        <v>1653.0</v>
      </c>
      <c r="R119" s="34" t="s">
        <v>51</v>
      </c>
      <c r="S119" s="35" t="n">
        <f>1648.73</f>
        <v>1648.73</v>
      </c>
      <c r="T119" s="32" t="n">
        <f>10825</f>
        <v>10825.0</v>
      </c>
      <c r="U119" s="32" t="str">
        <f>"－"</f>
        <v>－</v>
      </c>
      <c r="V119" s="32" t="n">
        <f>17803709</f>
        <v>1.7803709E7</v>
      </c>
      <c r="W119" s="32" t="str">
        <f>"－"</f>
        <v>－</v>
      </c>
      <c r="X119" s="36" t="n">
        <f>22</f>
        <v>22.0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17565</f>
        <v>17565.0</v>
      </c>
      <c r="L120" s="34" t="s">
        <v>48</v>
      </c>
      <c r="M120" s="33" t="n">
        <f>18140</f>
        <v>18140.0</v>
      </c>
      <c r="N120" s="34" t="s">
        <v>49</v>
      </c>
      <c r="O120" s="33" t="n">
        <f>17360</f>
        <v>17360.0</v>
      </c>
      <c r="P120" s="34" t="s">
        <v>50</v>
      </c>
      <c r="Q120" s="33" t="n">
        <f>17750</f>
        <v>17750.0</v>
      </c>
      <c r="R120" s="34" t="s">
        <v>51</v>
      </c>
      <c r="S120" s="35" t="n">
        <f>17745.23</f>
        <v>17745.23</v>
      </c>
      <c r="T120" s="32" t="n">
        <f>155316</f>
        <v>155316.0</v>
      </c>
      <c r="U120" s="32" t="n">
        <f>15271</f>
        <v>15271.0</v>
      </c>
      <c r="V120" s="32" t="n">
        <f>2778046610</f>
        <v>2.77804661E9</v>
      </c>
      <c r="W120" s="32" t="n">
        <f>270927480</f>
        <v>2.7092748E8</v>
      </c>
      <c r="X120" s="36" t="n">
        <f>22</f>
        <v>22.0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1605</f>
        <v>1605.0</v>
      </c>
      <c r="L121" s="34" t="s">
        <v>48</v>
      </c>
      <c r="M121" s="33" t="n">
        <f>1653</f>
        <v>1653.0</v>
      </c>
      <c r="N121" s="34" t="s">
        <v>49</v>
      </c>
      <c r="O121" s="33" t="n">
        <f>1582</f>
        <v>1582.0</v>
      </c>
      <c r="P121" s="34" t="s">
        <v>74</v>
      </c>
      <c r="Q121" s="33" t="n">
        <f>1615</f>
        <v>1615.0</v>
      </c>
      <c r="R121" s="34" t="s">
        <v>51</v>
      </c>
      <c r="S121" s="35" t="n">
        <f>1617.91</f>
        <v>1617.91</v>
      </c>
      <c r="T121" s="32" t="n">
        <f>37676</f>
        <v>37676.0</v>
      </c>
      <c r="U121" s="32" t="str">
        <f>"－"</f>
        <v>－</v>
      </c>
      <c r="V121" s="32" t="n">
        <f>61160169</f>
        <v>6.1160169E7</v>
      </c>
      <c r="W121" s="32" t="str">
        <f>"－"</f>
        <v>－</v>
      </c>
      <c r="X121" s="36" t="n">
        <f>22</f>
        <v>22.0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17860</f>
        <v>17860.0</v>
      </c>
      <c r="L122" s="34" t="s">
        <v>48</v>
      </c>
      <c r="M122" s="33" t="n">
        <f>18475</f>
        <v>18475.0</v>
      </c>
      <c r="N122" s="34" t="s">
        <v>49</v>
      </c>
      <c r="O122" s="33" t="n">
        <f>17660</f>
        <v>17660.0</v>
      </c>
      <c r="P122" s="34" t="s">
        <v>50</v>
      </c>
      <c r="Q122" s="33" t="n">
        <f>18030</f>
        <v>18030.0</v>
      </c>
      <c r="R122" s="34" t="s">
        <v>51</v>
      </c>
      <c r="S122" s="35" t="n">
        <f>18057.95</f>
        <v>18057.95</v>
      </c>
      <c r="T122" s="32" t="n">
        <f>11356</f>
        <v>11356.0</v>
      </c>
      <c r="U122" s="32" t="n">
        <f>1580</f>
        <v>1580.0</v>
      </c>
      <c r="V122" s="32" t="n">
        <f>206621049</f>
        <v>2.06621049E8</v>
      </c>
      <c r="W122" s="32" t="n">
        <f>28989504</f>
        <v>2.8989504E7</v>
      </c>
      <c r="X122" s="36" t="n">
        <f>22</f>
        <v>22.0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2064</f>
        <v>2064.0</v>
      </c>
      <c r="L123" s="34" t="s">
        <v>48</v>
      </c>
      <c r="M123" s="33" t="n">
        <f>2088.5</f>
        <v>2088.5</v>
      </c>
      <c r="N123" s="34" t="s">
        <v>51</v>
      </c>
      <c r="O123" s="33" t="n">
        <f>2036.5</f>
        <v>2036.5</v>
      </c>
      <c r="P123" s="34" t="s">
        <v>74</v>
      </c>
      <c r="Q123" s="33" t="n">
        <f>2081.5</f>
        <v>2081.5</v>
      </c>
      <c r="R123" s="34" t="s">
        <v>51</v>
      </c>
      <c r="S123" s="35" t="n">
        <f>2058.8</f>
        <v>2058.8</v>
      </c>
      <c r="T123" s="32" t="n">
        <f>940030</f>
        <v>940030.0</v>
      </c>
      <c r="U123" s="32" t="n">
        <f>503990</f>
        <v>503990.0</v>
      </c>
      <c r="V123" s="32" t="n">
        <f>1938794920</f>
        <v>1.93879492E9</v>
      </c>
      <c r="W123" s="32" t="n">
        <f>1042568325</f>
        <v>1.042568325E9</v>
      </c>
      <c r="X123" s="36" t="n">
        <f>22</f>
        <v>22.0</v>
      </c>
    </row>
    <row r="124">
      <c r="A124" s="27" t="s">
        <v>42</v>
      </c>
      <c r="B124" s="27" t="s">
        <v>418</v>
      </c>
      <c r="C124" s="27" t="s">
        <v>419</v>
      </c>
      <c r="D124" s="27" t="s">
        <v>420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1683</f>
        <v>1683.0</v>
      </c>
      <c r="L124" s="34" t="s">
        <v>48</v>
      </c>
      <c r="M124" s="33" t="n">
        <f>1722</f>
        <v>1722.0</v>
      </c>
      <c r="N124" s="34" t="s">
        <v>140</v>
      </c>
      <c r="O124" s="33" t="n">
        <f>1683</f>
        <v>1683.0</v>
      </c>
      <c r="P124" s="34" t="s">
        <v>48</v>
      </c>
      <c r="Q124" s="33" t="n">
        <f>1687</f>
        <v>1687.0</v>
      </c>
      <c r="R124" s="34" t="s">
        <v>69</v>
      </c>
      <c r="S124" s="35" t="n">
        <f>1701.5</f>
        <v>1701.5</v>
      </c>
      <c r="T124" s="32" t="n">
        <f>1100</f>
        <v>1100.0</v>
      </c>
      <c r="U124" s="32" t="str">
        <f>"－"</f>
        <v>－</v>
      </c>
      <c r="V124" s="32" t="n">
        <f>1880100</f>
        <v>1880100.0</v>
      </c>
      <c r="W124" s="32" t="str">
        <f>"－"</f>
        <v>－</v>
      </c>
      <c r="X124" s="36" t="n">
        <f>4</f>
        <v>4.0</v>
      </c>
    </row>
    <row r="125">
      <c r="A125" s="27" t="s">
        <v>42</v>
      </c>
      <c r="B125" s="27" t="s">
        <v>421</v>
      </c>
      <c r="C125" s="27" t="s">
        <v>422</v>
      </c>
      <c r="D125" s="27" t="s">
        <v>423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2081.5</f>
        <v>2081.5</v>
      </c>
      <c r="L125" s="34" t="s">
        <v>48</v>
      </c>
      <c r="M125" s="33" t="n">
        <f>2111.5</f>
        <v>2111.5</v>
      </c>
      <c r="N125" s="34" t="s">
        <v>51</v>
      </c>
      <c r="O125" s="33" t="n">
        <f>2055.5</f>
        <v>2055.5</v>
      </c>
      <c r="P125" s="34" t="s">
        <v>74</v>
      </c>
      <c r="Q125" s="33" t="n">
        <f>2101.5</f>
        <v>2101.5</v>
      </c>
      <c r="R125" s="34" t="s">
        <v>51</v>
      </c>
      <c r="S125" s="35" t="n">
        <f>2081.16</f>
        <v>2081.16</v>
      </c>
      <c r="T125" s="32" t="n">
        <f>2230570</f>
        <v>2230570.0</v>
      </c>
      <c r="U125" s="32" t="n">
        <f>1707600</f>
        <v>1707600.0</v>
      </c>
      <c r="V125" s="32" t="n">
        <f>4660078437</f>
        <v>4.660078437E9</v>
      </c>
      <c r="W125" s="32" t="n">
        <f>3570134662</f>
        <v>3.570134662E9</v>
      </c>
      <c r="X125" s="36" t="n">
        <f>22</f>
        <v>22.0</v>
      </c>
    </row>
    <row r="126">
      <c r="A126" s="27" t="s">
        <v>42</v>
      </c>
      <c r="B126" s="27" t="s">
        <v>424</v>
      </c>
      <c r="C126" s="27" t="s">
        <v>425</v>
      </c>
      <c r="D126" s="27" t="s">
        <v>426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17750</f>
        <v>17750.0</v>
      </c>
      <c r="L126" s="34" t="s">
        <v>48</v>
      </c>
      <c r="M126" s="33" t="n">
        <f>18185</f>
        <v>18185.0</v>
      </c>
      <c r="N126" s="34" t="s">
        <v>182</v>
      </c>
      <c r="O126" s="33" t="n">
        <f>17490</f>
        <v>17490.0</v>
      </c>
      <c r="P126" s="34" t="s">
        <v>74</v>
      </c>
      <c r="Q126" s="33" t="n">
        <f>17555</f>
        <v>17555.0</v>
      </c>
      <c r="R126" s="34" t="s">
        <v>69</v>
      </c>
      <c r="S126" s="35" t="n">
        <f>17880.42</f>
        <v>17880.42</v>
      </c>
      <c r="T126" s="32" t="n">
        <f>17673</f>
        <v>17673.0</v>
      </c>
      <c r="U126" s="32" t="n">
        <f>17200</f>
        <v>17200.0</v>
      </c>
      <c r="V126" s="32" t="n">
        <f>321427997</f>
        <v>3.21427997E8</v>
      </c>
      <c r="W126" s="32" t="n">
        <f>312941272</f>
        <v>3.12941272E8</v>
      </c>
      <c r="X126" s="36" t="n">
        <f>12</f>
        <v>12.0</v>
      </c>
    </row>
    <row r="127">
      <c r="A127" s="27" t="s">
        <v>42</v>
      </c>
      <c r="B127" s="27" t="s">
        <v>427</v>
      </c>
      <c r="C127" s="27" t="s">
        <v>428</v>
      </c>
      <c r="D127" s="27" t="s">
        <v>429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100.0</v>
      </c>
      <c r="K127" s="33" t="n">
        <f>165.9</f>
        <v>165.9</v>
      </c>
      <c r="L127" s="34" t="s">
        <v>48</v>
      </c>
      <c r="M127" s="33" t="n">
        <f>166.9</f>
        <v>166.9</v>
      </c>
      <c r="N127" s="34" t="s">
        <v>48</v>
      </c>
      <c r="O127" s="33" t="n">
        <f>159.7</f>
        <v>159.7</v>
      </c>
      <c r="P127" s="34" t="s">
        <v>103</v>
      </c>
      <c r="Q127" s="33" t="n">
        <f>164.7</f>
        <v>164.7</v>
      </c>
      <c r="R127" s="34" t="s">
        <v>51</v>
      </c>
      <c r="S127" s="35" t="n">
        <f>163.84</f>
        <v>163.84</v>
      </c>
      <c r="T127" s="32" t="n">
        <f>15788700</f>
        <v>1.57887E7</v>
      </c>
      <c r="U127" s="32" t="n">
        <f>31800</f>
        <v>31800.0</v>
      </c>
      <c r="V127" s="32" t="n">
        <f>2590483995</f>
        <v>2.590483995E9</v>
      </c>
      <c r="W127" s="32" t="n">
        <f>5165955</f>
        <v>5165955.0</v>
      </c>
      <c r="X127" s="36" t="n">
        <f>22</f>
        <v>22.0</v>
      </c>
    </row>
    <row r="128">
      <c r="A128" s="27" t="s">
        <v>42</v>
      </c>
      <c r="B128" s="27" t="s">
        <v>430</v>
      </c>
      <c r="C128" s="27" t="s">
        <v>431</v>
      </c>
      <c r="D128" s="27" t="s">
        <v>432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29100</f>
        <v>29100.0</v>
      </c>
      <c r="L128" s="34" t="s">
        <v>48</v>
      </c>
      <c r="M128" s="33" t="n">
        <f>29750</f>
        <v>29750.0</v>
      </c>
      <c r="N128" s="34" t="s">
        <v>274</v>
      </c>
      <c r="O128" s="33" t="n">
        <f>28650</f>
        <v>28650.0</v>
      </c>
      <c r="P128" s="34" t="s">
        <v>189</v>
      </c>
      <c r="Q128" s="33" t="n">
        <f>29335</f>
        <v>29335.0</v>
      </c>
      <c r="R128" s="34" t="s">
        <v>51</v>
      </c>
      <c r="S128" s="35" t="n">
        <f>29333.41</f>
        <v>29333.41</v>
      </c>
      <c r="T128" s="32" t="n">
        <f>1104</f>
        <v>1104.0</v>
      </c>
      <c r="U128" s="32" t="str">
        <f>"－"</f>
        <v>－</v>
      </c>
      <c r="V128" s="32" t="n">
        <f>32438040</f>
        <v>3.243804E7</v>
      </c>
      <c r="W128" s="32" t="str">
        <f>"－"</f>
        <v>－</v>
      </c>
      <c r="X128" s="36" t="n">
        <f>22</f>
        <v>22.0</v>
      </c>
    </row>
    <row r="129">
      <c r="A129" s="27" t="s">
        <v>42</v>
      </c>
      <c r="B129" s="27" t="s">
        <v>433</v>
      </c>
      <c r="C129" s="27" t="s">
        <v>434</v>
      </c>
      <c r="D129" s="27" t="s">
        <v>435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13835</f>
        <v>13835.0</v>
      </c>
      <c r="L129" s="34" t="s">
        <v>48</v>
      </c>
      <c r="M129" s="33" t="n">
        <f>14980</f>
        <v>14980.0</v>
      </c>
      <c r="N129" s="34" t="s">
        <v>75</v>
      </c>
      <c r="O129" s="33" t="n">
        <f>12775</f>
        <v>12775.0</v>
      </c>
      <c r="P129" s="34" t="s">
        <v>103</v>
      </c>
      <c r="Q129" s="33" t="n">
        <f>14495</f>
        <v>14495.0</v>
      </c>
      <c r="R129" s="34" t="s">
        <v>51</v>
      </c>
      <c r="S129" s="35" t="n">
        <f>13919.32</f>
        <v>13919.32</v>
      </c>
      <c r="T129" s="32" t="n">
        <f>20470</f>
        <v>20470.0</v>
      </c>
      <c r="U129" s="32" t="str">
        <f>"－"</f>
        <v>－</v>
      </c>
      <c r="V129" s="32" t="n">
        <f>285624455</f>
        <v>2.85624455E8</v>
      </c>
      <c r="W129" s="32" t="str">
        <f>"－"</f>
        <v>－</v>
      </c>
      <c r="X129" s="36" t="n">
        <f>22</f>
        <v>22.0</v>
      </c>
    </row>
    <row r="130">
      <c r="A130" s="27" t="s">
        <v>42</v>
      </c>
      <c r="B130" s="27" t="s">
        <v>436</v>
      </c>
      <c r="C130" s="27" t="s">
        <v>437</v>
      </c>
      <c r="D130" s="27" t="s">
        <v>438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21140</f>
        <v>21140.0</v>
      </c>
      <c r="L130" s="34" t="s">
        <v>48</v>
      </c>
      <c r="M130" s="33" t="n">
        <f>21735</f>
        <v>21735.0</v>
      </c>
      <c r="N130" s="34" t="s">
        <v>175</v>
      </c>
      <c r="O130" s="33" t="n">
        <f>20670</f>
        <v>20670.0</v>
      </c>
      <c r="P130" s="34" t="s">
        <v>99</v>
      </c>
      <c r="Q130" s="33" t="n">
        <f>21260</f>
        <v>21260.0</v>
      </c>
      <c r="R130" s="34" t="s">
        <v>51</v>
      </c>
      <c r="S130" s="35" t="n">
        <f>21266.14</f>
        <v>21266.14</v>
      </c>
      <c r="T130" s="32" t="n">
        <f>689</f>
        <v>689.0</v>
      </c>
      <c r="U130" s="32" t="str">
        <f>"－"</f>
        <v>－</v>
      </c>
      <c r="V130" s="32" t="n">
        <f>14597695</f>
        <v>1.4597695E7</v>
      </c>
      <c r="W130" s="32" t="str">
        <f>"－"</f>
        <v>－</v>
      </c>
      <c r="X130" s="36" t="n">
        <f>22</f>
        <v>22.0</v>
      </c>
    </row>
    <row r="131">
      <c r="A131" s="27" t="s">
        <v>42</v>
      </c>
      <c r="B131" s="27" t="s">
        <v>439</v>
      </c>
      <c r="C131" s="27" t="s">
        <v>440</v>
      </c>
      <c r="D131" s="27" t="s">
        <v>441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24395</f>
        <v>24395.0</v>
      </c>
      <c r="L131" s="34" t="s">
        <v>48</v>
      </c>
      <c r="M131" s="33" t="n">
        <f>25350</f>
        <v>25350.0</v>
      </c>
      <c r="N131" s="34" t="s">
        <v>49</v>
      </c>
      <c r="O131" s="33" t="n">
        <f>24175</f>
        <v>24175.0</v>
      </c>
      <c r="P131" s="34" t="s">
        <v>103</v>
      </c>
      <c r="Q131" s="33" t="n">
        <f>24455</f>
        <v>24455.0</v>
      </c>
      <c r="R131" s="34" t="s">
        <v>51</v>
      </c>
      <c r="S131" s="35" t="n">
        <f>24712.73</f>
        <v>24712.73</v>
      </c>
      <c r="T131" s="32" t="n">
        <f>1050</f>
        <v>1050.0</v>
      </c>
      <c r="U131" s="32" t="str">
        <f>"－"</f>
        <v>－</v>
      </c>
      <c r="V131" s="32" t="n">
        <f>25908530</f>
        <v>2.590853E7</v>
      </c>
      <c r="W131" s="32" t="str">
        <f>"－"</f>
        <v>－</v>
      </c>
      <c r="X131" s="36" t="n">
        <f>22</f>
        <v>22.0</v>
      </c>
    </row>
    <row r="132">
      <c r="A132" s="27" t="s">
        <v>42</v>
      </c>
      <c r="B132" s="27" t="s">
        <v>442</v>
      </c>
      <c r="C132" s="27" t="s">
        <v>443</v>
      </c>
      <c r="D132" s="27" t="s">
        <v>444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24320</f>
        <v>24320.0</v>
      </c>
      <c r="L132" s="34" t="s">
        <v>48</v>
      </c>
      <c r="M132" s="33" t="n">
        <f>25170</f>
        <v>25170.0</v>
      </c>
      <c r="N132" s="34" t="s">
        <v>68</v>
      </c>
      <c r="O132" s="33" t="n">
        <f>23135</f>
        <v>23135.0</v>
      </c>
      <c r="P132" s="34" t="s">
        <v>74</v>
      </c>
      <c r="Q132" s="33" t="n">
        <f>24640</f>
        <v>24640.0</v>
      </c>
      <c r="R132" s="34" t="s">
        <v>51</v>
      </c>
      <c r="S132" s="35" t="n">
        <f>24312.5</f>
        <v>24312.5</v>
      </c>
      <c r="T132" s="32" t="n">
        <f>5587</f>
        <v>5587.0</v>
      </c>
      <c r="U132" s="32" t="str">
        <f>"－"</f>
        <v>－</v>
      </c>
      <c r="V132" s="32" t="n">
        <f>134895260</f>
        <v>1.3489526E8</v>
      </c>
      <c r="W132" s="32" t="str">
        <f>"－"</f>
        <v>－</v>
      </c>
      <c r="X132" s="36" t="n">
        <f>22</f>
        <v>22.0</v>
      </c>
    </row>
    <row r="133">
      <c r="A133" s="27" t="s">
        <v>42</v>
      </c>
      <c r="B133" s="27" t="s">
        <v>445</v>
      </c>
      <c r="C133" s="27" t="s">
        <v>446</v>
      </c>
      <c r="D133" s="27" t="s">
        <v>447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23750</f>
        <v>23750.0</v>
      </c>
      <c r="L133" s="34" t="s">
        <v>48</v>
      </c>
      <c r="M133" s="33" t="n">
        <f>25045</f>
        <v>25045.0</v>
      </c>
      <c r="N133" s="34" t="s">
        <v>49</v>
      </c>
      <c r="O133" s="33" t="n">
        <f>23520</f>
        <v>23520.0</v>
      </c>
      <c r="P133" s="34" t="s">
        <v>103</v>
      </c>
      <c r="Q133" s="33" t="n">
        <f>24550</f>
        <v>24550.0</v>
      </c>
      <c r="R133" s="34" t="s">
        <v>51</v>
      </c>
      <c r="S133" s="35" t="n">
        <f>24374.32</f>
        <v>24374.32</v>
      </c>
      <c r="T133" s="32" t="n">
        <f>6307</f>
        <v>6307.0</v>
      </c>
      <c r="U133" s="32" t="n">
        <f>3000</f>
        <v>3000.0</v>
      </c>
      <c r="V133" s="32" t="n">
        <f>153857165</f>
        <v>1.53857165E8</v>
      </c>
      <c r="W133" s="32" t="n">
        <f>73329000</f>
        <v>7.3329E7</v>
      </c>
      <c r="X133" s="36" t="n">
        <f>22</f>
        <v>22.0</v>
      </c>
    </row>
    <row r="134">
      <c r="A134" s="27" t="s">
        <v>42</v>
      </c>
      <c r="B134" s="27" t="s">
        <v>448</v>
      </c>
      <c r="C134" s="27" t="s">
        <v>449</v>
      </c>
      <c r="D134" s="27" t="s">
        <v>450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16015</f>
        <v>16015.0</v>
      </c>
      <c r="L134" s="34" t="s">
        <v>48</v>
      </c>
      <c r="M134" s="33" t="n">
        <f>17185</f>
        <v>17185.0</v>
      </c>
      <c r="N134" s="34" t="s">
        <v>75</v>
      </c>
      <c r="O134" s="33" t="n">
        <f>15620</f>
        <v>15620.0</v>
      </c>
      <c r="P134" s="34" t="s">
        <v>189</v>
      </c>
      <c r="Q134" s="33" t="n">
        <f>17080</f>
        <v>17080.0</v>
      </c>
      <c r="R134" s="34" t="s">
        <v>51</v>
      </c>
      <c r="S134" s="35" t="n">
        <f>16618.86</f>
        <v>16618.86</v>
      </c>
      <c r="T134" s="32" t="n">
        <f>1912</f>
        <v>1912.0</v>
      </c>
      <c r="U134" s="32" t="str">
        <f>"－"</f>
        <v>－</v>
      </c>
      <c r="V134" s="32" t="n">
        <f>31619045</f>
        <v>3.1619045E7</v>
      </c>
      <c r="W134" s="32" t="str">
        <f>"－"</f>
        <v>－</v>
      </c>
      <c r="X134" s="36" t="n">
        <f>22</f>
        <v>22.0</v>
      </c>
    </row>
    <row r="135">
      <c r="A135" s="27" t="s">
        <v>42</v>
      </c>
      <c r="B135" s="27" t="s">
        <v>451</v>
      </c>
      <c r="C135" s="27" t="s">
        <v>452</v>
      </c>
      <c r="D135" s="27" t="s">
        <v>453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38570</f>
        <v>38570.0</v>
      </c>
      <c r="L135" s="34" t="s">
        <v>48</v>
      </c>
      <c r="M135" s="33" t="n">
        <f>40200</f>
        <v>40200.0</v>
      </c>
      <c r="N135" s="34" t="s">
        <v>182</v>
      </c>
      <c r="O135" s="33" t="n">
        <f>38120</f>
        <v>38120.0</v>
      </c>
      <c r="P135" s="34" t="s">
        <v>50</v>
      </c>
      <c r="Q135" s="33" t="n">
        <f>39340</f>
        <v>39340.0</v>
      </c>
      <c r="R135" s="34" t="s">
        <v>51</v>
      </c>
      <c r="S135" s="35" t="n">
        <f>39196.36</f>
        <v>39196.36</v>
      </c>
      <c r="T135" s="32" t="n">
        <f>579</f>
        <v>579.0</v>
      </c>
      <c r="U135" s="32" t="str">
        <f>"－"</f>
        <v>－</v>
      </c>
      <c r="V135" s="32" t="n">
        <f>22665950</f>
        <v>2.266595E7</v>
      </c>
      <c r="W135" s="32" t="str">
        <f>"－"</f>
        <v>－</v>
      </c>
      <c r="X135" s="36" t="n">
        <f>22</f>
        <v>22.0</v>
      </c>
    </row>
    <row r="136">
      <c r="A136" s="27" t="s">
        <v>42</v>
      </c>
      <c r="B136" s="27" t="s">
        <v>454</v>
      </c>
      <c r="C136" s="27" t="s">
        <v>455</v>
      </c>
      <c r="D136" s="27" t="s">
        <v>456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27000</f>
        <v>27000.0</v>
      </c>
      <c r="L136" s="34" t="s">
        <v>48</v>
      </c>
      <c r="M136" s="33" t="n">
        <f>28500</f>
        <v>28500.0</v>
      </c>
      <c r="N136" s="34" t="s">
        <v>182</v>
      </c>
      <c r="O136" s="33" t="n">
        <f>26815</f>
        <v>26815.0</v>
      </c>
      <c r="P136" s="34" t="s">
        <v>50</v>
      </c>
      <c r="Q136" s="33" t="n">
        <f>27300</f>
        <v>27300.0</v>
      </c>
      <c r="R136" s="34" t="s">
        <v>51</v>
      </c>
      <c r="S136" s="35" t="n">
        <f>27688.86</f>
        <v>27688.86</v>
      </c>
      <c r="T136" s="32" t="n">
        <f>4775</f>
        <v>4775.0</v>
      </c>
      <c r="U136" s="32" t="n">
        <f>2000</f>
        <v>2000.0</v>
      </c>
      <c r="V136" s="32" t="n">
        <f>132148675</f>
        <v>1.32148675E8</v>
      </c>
      <c r="W136" s="32" t="n">
        <f>55734800</f>
        <v>5.57348E7</v>
      </c>
      <c r="X136" s="36" t="n">
        <f>22</f>
        <v>22.0</v>
      </c>
    </row>
    <row r="137">
      <c r="A137" s="27" t="s">
        <v>42</v>
      </c>
      <c r="B137" s="27" t="s">
        <v>457</v>
      </c>
      <c r="C137" s="27" t="s">
        <v>458</v>
      </c>
      <c r="D137" s="27" t="s">
        <v>459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28550</f>
        <v>28550.0</v>
      </c>
      <c r="L137" s="34" t="s">
        <v>48</v>
      </c>
      <c r="M137" s="33" t="n">
        <f>29135</f>
        <v>29135.0</v>
      </c>
      <c r="N137" s="34" t="s">
        <v>182</v>
      </c>
      <c r="O137" s="33" t="n">
        <f>27655</f>
        <v>27655.0</v>
      </c>
      <c r="P137" s="34" t="s">
        <v>69</v>
      </c>
      <c r="Q137" s="33" t="n">
        <f>27960</f>
        <v>27960.0</v>
      </c>
      <c r="R137" s="34" t="s">
        <v>51</v>
      </c>
      <c r="S137" s="35" t="n">
        <f>28460</f>
        <v>28460.0</v>
      </c>
      <c r="T137" s="32" t="n">
        <f>799</f>
        <v>799.0</v>
      </c>
      <c r="U137" s="32" t="str">
        <f>"－"</f>
        <v>－</v>
      </c>
      <c r="V137" s="32" t="n">
        <f>22594935</f>
        <v>2.2594935E7</v>
      </c>
      <c r="W137" s="32" t="str">
        <f>"－"</f>
        <v>－</v>
      </c>
      <c r="X137" s="36" t="n">
        <f>22</f>
        <v>22.0</v>
      </c>
    </row>
    <row r="138">
      <c r="A138" s="27" t="s">
        <v>42</v>
      </c>
      <c r="B138" s="27" t="s">
        <v>460</v>
      </c>
      <c r="C138" s="27" t="s">
        <v>461</v>
      </c>
      <c r="D138" s="27" t="s">
        <v>462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6469</f>
        <v>6469.0</v>
      </c>
      <c r="L138" s="34" t="s">
        <v>48</v>
      </c>
      <c r="M138" s="33" t="n">
        <f>6590</f>
        <v>6590.0</v>
      </c>
      <c r="N138" s="34" t="s">
        <v>348</v>
      </c>
      <c r="O138" s="33" t="n">
        <f>6102</f>
        <v>6102.0</v>
      </c>
      <c r="P138" s="34" t="s">
        <v>103</v>
      </c>
      <c r="Q138" s="33" t="n">
        <f>6506</f>
        <v>6506.0</v>
      </c>
      <c r="R138" s="34" t="s">
        <v>51</v>
      </c>
      <c r="S138" s="35" t="n">
        <f>6369.68</f>
        <v>6369.68</v>
      </c>
      <c r="T138" s="32" t="n">
        <f>41291</f>
        <v>41291.0</v>
      </c>
      <c r="U138" s="32" t="n">
        <f>20000</f>
        <v>20000.0</v>
      </c>
      <c r="V138" s="32" t="n">
        <f>264090867</f>
        <v>2.64090867E8</v>
      </c>
      <c r="W138" s="32" t="n">
        <f>128104000</f>
        <v>1.28104E8</v>
      </c>
      <c r="X138" s="36" t="n">
        <f>22</f>
        <v>22.0</v>
      </c>
    </row>
    <row r="139">
      <c r="A139" s="27" t="s">
        <v>42</v>
      </c>
      <c r="B139" s="27" t="s">
        <v>463</v>
      </c>
      <c r="C139" s="27" t="s">
        <v>464</v>
      </c>
      <c r="D139" s="27" t="s">
        <v>465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15560</f>
        <v>15560.0</v>
      </c>
      <c r="L139" s="34" t="s">
        <v>48</v>
      </c>
      <c r="M139" s="33" t="n">
        <f>16175</f>
        <v>16175.0</v>
      </c>
      <c r="N139" s="34" t="s">
        <v>51</v>
      </c>
      <c r="O139" s="33" t="n">
        <f>15545</f>
        <v>15545.0</v>
      </c>
      <c r="P139" s="34" t="s">
        <v>48</v>
      </c>
      <c r="Q139" s="33" t="n">
        <f>16140</f>
        <v>16140.0</v>
      </c>
      <c r="R139" s="34" t="s">
        <v>51</v>
      </c>
      <c r="S139" s="35" t="n">
        <f>15912.73</f>
        <v>15912.73</v>
      </c>
      <c r="T139" s="32" t="n">
        <f>18330</f>
        <v>18330.0</v>
      </c>
      <c r="U139" s="32" t="n">
        <f>6401</f>
        <v>6401.0</v>
      </c>
      <c r="V139" s="32" t="n">
        <f>290780615</f>
        <v>2.90780615E8</v>
      </c>
      <c r="W139" s="32" t="n">
        <f>100825740</f>
        <v>1.0082574E8</v>
      </c>
      <c r="X139" s="36" t="n">
        <f>22</f>
        <v>22.0</v>
      </c>
    </row>
    <row r="140">
      <c r="A140" s="27" t="s">
        <v>42</v>
      </c>
      <c r="B140" s="27" t="s">
        <v>466</v>
      </c>
      <c r="C140" s="27" t="s">
        <v>467</v>
      </c>
      <c r="D140" s="27" t="s">
        <v>468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44180</f>
        <v>44180.0</v>
      </c>
      <c r="L140" s="34" t="s">
        <v>48</v>
      </c>
      <c r="M140" s="33" t="n">
        <f>47610</f>
        <v>47610.0</v>
      </c>
      <c r="N140" s="34" t="s">
        <v>75</v>
      </c>
      <c r="O140" s="33" t="n">
        <f>43680</f>
        <v>43680.0</v>
      </c>
      <c r="P140" s="34" t="s">
        <v>50</v>
      </c>
      <c r="Q140" s="33" t="n">
        <f>47030</f>
        <v>47030.0</v>
      </c>
      <c r="R140" s="34" t="s">
        <v>51</v>
      </c>
      <c r="S140" s="35" t="n">
        <f>45699.55</f>
        <v>45699.55</v>
      </c>
      <c r="T140" s="32" t="n">
        <f>12523</f>
        <v>12523.0</v>
      </c>
      <c r="U140" s="32" t="str">
        <f>"－"</f>
        <v>－</v>
      </c>
      <c r="V140" s="32" t="n">
        <f>559426430</f>
        <v>5.5942643E8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469</v>
      </c>
      <c r="C141" s="27" t="s">
        <v>470</v>
      </c>
      <c r="D141" s="27" t="s">
        <v>471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21875</f>
        <v>21875.0</v>
      </c>
      <c r="L141" s="34" t="s">
        <v>48</v>
      </c>
      <c r="M141" s="33" t="n">
        <f>22835</f>
        <v>22835.0</v>
      </c>
      <c r="N141" s="34" t="s">
        <v>49</v>
      </c>
      <c r="O141" s="33" t="n">
        <f>21545</f>
        <v>21545.0</v>
      </c>
      <c r="P141" s="34" t="s">
        <v>50</v>
      </c>
      <c r="Q141" s="33" t="n">
        <f>22415</f>
        <v>22415.0</v>
      </c>
      <c r="R141" s="34" t="s">
        <v>75</v>
      </c>
      <c r="S141" s="35" t="n">
        <f>22246.67</f>
        <v>22246.67</v>
      </c>
      <c r="T141" s="32" t="n">
        <f>815</f>
        <v>815.0</v>
      </c>
      <c r="U141" s="32" t="str">
        <f>"－"</f>
        <v>－</v>
      </c>
      <c r="V141" s="32" t="n">
        <f>18166000</f>
        <v>1.8166E7</v>
      </c>
      <c r="W141" s="32" t="str">
        <f>"－"</f>
        <v>－</v>
      </c>
      <c r="X141" s="36" t="n">
        <f>21</f>
        <v>21.0</v>
      </c>
    </row>
    <row r="142">
      <c r="A142" s="27" t="s">
        <v>42</v>
      </c>
      <c r="B142" s="27" t="s">
        <v>472</v>
      </c>
      <c r="C142" s="27" t="s">
        <v>473</v>
      </c>
      <c r="D142" s="27" t="s">
        <v>474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8579</f>
        <v>8579.0</v>
      </c>
      <c r="L142" s="34" t="s">
        <v>48</v>
      </c>
      <c r="M142" s="33" t="n">
        <f>8640</f>
        <v>8640.0</v>
      </c>
      <c r="N142" s="34" t="s">
        <v>175</v>
      </c>
      <c r="O142" s="33" t="n">
        <f>8266</f>
        <v>8266.0</v>
      </c>
      <c r="P142" s="34" t="s">
        <v>103</v>
      </c>
      <c r="Q142" s="33" t="n">
        <f>8550</f>
        <v>8550.0</v>
      </c>
      <c r="R142" s="34" t="s">
        <v>51</v>
      </c>
      <c r="S142" s="35" t="n">
        <f>8488.95</f>
        <v>8488.95</v>
      </c>
      <c r="T142" s="32" t="n">
        <f>6986</f>
        <v>6986.0</v>
      </c>
      <c r="U142" s="32" t="str">
        <f>"－"</f>
        <v>－</v>
      </c>
      <c r="V142" s="32" t="n">
        <f>59114105</f>
        <v>5.9114105E7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475</v>
      </c>
      <c r="C143" s="27" t="s">
        <v>476</v>
      </c>
      <c r="D143" s="27" t="s">
        <v>477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14765</f>
        <v>14765.0</v>
      </c>
      <c r="L143" s="34" t="s">
        <v>48</v>
      </c>
      <c r="M143" s="33" t="n">
        <f>14905</f>
        <v>14905.0</v>
      </c>
      <c r="N143" s="34" t="s">
        <v>48</v>
      </c>
      <c r="O143" s="33" t="n">
        <f>14230</f>
        <v>14230.0</v>
      </c>
      <c r="P143" s="34" t="s">
        <v>79</v>
      </c>
      <c r="Q143" s="33" t="n">
        <f>14775</f>
        <v>14775.0</v>
      </c>
      <c r="R143" s="34" t="s">
        <v>51</v>
      </c>
      <c r="S143" s="35" t="n">
        <f>14636.59</f>
        <v>14636.59</v>
      </c>
      <c r="T143" s="32" t="n">
        <f>8931</f>
        <v>8931.0</v>
      </c>
      <c r="U143" s="32" t="n">
        <f>7500</f>
        <v>7500.0</v>
      </c>
      <c r="V143" s="32" t="n">
        <f>131806300</f>
        <v>1.318063E8</v>
      </c>
      <c r="W143" s="32" t="n">
        <f>110932500</f>
        <v>1.109325E8</v>
      </c>
      <c r="X143" s="36" t="n">
        <f>22</f>
        <v>22.0</v>
      </c>
    </row>
    <row r="144">
      <c r="A144" s="27" t="s">
        <v>42</v>
      </c>
      <c r="B144" s="27" t="s">
        <v>478</v>
      </c>
      <c r="C144" s="27" t="s">
        <v>479</v>
      </c>
      <c r="D144" s="27" t="s">
        <v>480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30900</f>
        <v>30900.0</v>
      </c>
      <c r="L144" s="34" t="s">
        <v>48</v>
      </c>
      <c r="M144" s="33" t="n">
        <f>31060</f>
        <v>31060.0</v>
      </c>
      <c r="N144" s="34" t="s">
        <v>48</v>
      </c>
      <c r="O144" s="33" t="n">
        <f>29870</f>
        <v>29870.0</v>
      </c>
      <c r="P144" s="34" t="s">
        <v>99</v>
      </c>
      <c r="Q144" s="33" t="n">
        <f>30210</f>
        <v>30210.0</v>
      </c>
      <c r="R144" s="34" t="s">
        <v>51</v>
      </c>
      <c r="S144" s="35" t="n">
        <f>30427.95</f>
        <v>30427.95</v>
      </c>
      <c r="T144" s="32" t="n">
        <f>750</f>
        <v>750.0</v>
      </c>
      <c r="U144" s="32" t="str">
        <f>"－"</f>
        <v>－</v>
      </c>
      <c r="V144" s="32" t="n">
        <f>22848905</f>
        <v>2.2848905E7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481</v>
      </c>
      <c r="C145" s="27" t="s">
        <v>482</v>
      </c>
      <c r="D145" s="27" t="s">
        <v>483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1222.5</f>
        <v>1222.5</v>
      </c>
      <c r="L145" s="34" t="s">
        <v>48</v>
      </c>
      <c r="M145" s="33" t="n">
        <f>1252</f>
        <v>1252.0</v>
      </c>
      <c r="N145" s="34" t="s">
        <v>75</v>
      </c>
      <c r="O145" s="33" t="n">
        <f>1194</f>
        <v>1194.0</v>
      </c>
      <c r="P145" s="34" t="s">
        <v>103</v>
      </c>
      <c r="Q145" s="33" t="n">
        <f>1237</f>
        <v>1237.0</v>
      </c>
      <c r="R145" s="34" t="s">
        <v>51</v>
      </c>
      <c r="S145" s="35" t="n">
        <f>1224.5</f>
        <v>1224.5</v>
      </c>
      <c r="T145" s="32" t="n">
        <f>1016310</f>
        <v>1016310.0</v>
      </c>
      <c r="U145" s="32" t="n">
        <f>692160</f>
        <v>692160.0</v>
      </c>
      <c r="V145" s="32" t="n">
        <f>1243508138</f>
        <v>1.243508138E9</v>
      </c>
      <c r="W145" s="32" t="n">
        <f>846427968</f>
        <v>8.46427968E8</v>
      </c>
      <c r="X145" s="36" t="n">
        <f>22</f>
        <v>22.0</v>
      </c>
    </row>
    <row r="146">
      <c r="A146" s="27" t="s">
        <v>42</v>
      </c>
      <c r="B146" s="27" t="s">
        <v>484</v>
      </c>
      <c r="C146" s="27" t="s">
        <v>485</v>
      </c>
      <c r="D146" s="27" t="s">
        <v>486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2302.5</f>
        <v>2302.5</v>
      </c>
      <c r="L146" s="34" t="s">
        <v>103</v>
      </c>
      <c r="M146" s="33" t="n">
        <f>2386.5</f>
        <v>2386.5</v>
      </c>
      <c r="N146" s="34" t="s">
        <v>182</v>
      </c>
      <c r="O146" s="33" t="n">
        <f>2302.5</f>
        <v>2302.5</v>
      </c>
      <c r="P146" s="34" t="s">
        <v>103</v>
      </c>
      <c r="Q146" s="33" t="n">
        <f>2331.5</f>
        <v>2331.5</v>
      </c>
      <c r="R146" s="34" t="s">
        <v>75</v>
      </c>
      <c r="S146" s="35" t="n">
        <f>2348</f>
        <v>2348.0</v>
      </c>
      <c r="T146" s="32" t="n">
        <f>2150</f>
        <v>2150.0</v>
      </c>
      <c r="U146" s="32" t="str">
        <f>"－"</f>
        <v>－</v>
      </c>
      <c r="V146" s="32" t="n">
        <f>5041715</f>
        <v>5041715.0</v>
      </c>
      <c r="W146" s="32" t="str">
        <f>"－"</f>
        <v>－</v>
      </c>
      <c r="X146" s="36" t="n">
        <f>11</f>
        <v>11.0</v>
      </c>
    </row>
    <row r="147">
      <c r="A147" s="27" t="s">
        <v>42</v>
      </c>
      <c r="B147" s="27" t="s">
        <v>487</v>
      </c>
      <c r="C147" s="27" t="s">
        <v>488</v>
      </c>
      <c r="D147" s="27" t="s">
        <v>489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2511</f>
        <v>2511.0</v>
      </c>
      <c r="L147" s="34" t="s">
        <v>48</v>
      </c>
      <c r="M147" s="33" t="n">
        <f>2555.5</f>
        <v>2555.5</v>
      </c>
      <c r="N147" s="34" t="s">
        <v>49</v>
      </c>
      <c r="O147" s="33" t="n">
        <f>2449</f>
        <v>2449.0</v>
      </c>
      <c r="P147" s="34" t="s">
        <v>69</v>
      </c>
      <c r="Q147" s="33" t="n">
        <f>2480.5</f>
        <v>2480.5</v>
      </c>
      <c r="R147" s="34" t="s">
        <v>51</v>
      </c>
      <c r="S147" s="35" t="n">
        <f>2508.83</f>
        <v>2508.83</v>
      </c>
      <c r="T147" s="32" t="n">
        <f>326410</f>
        <v>326410.0</v>
      </c>
      <c r="U147" s="32" t="n">
        <f>84000</f>
        <v>84000.0</v>
      </c>
      <c r="V147" s="32" t="n">
        <f>817877895</f>
        <v>8.17877895E8</v>
      </c>
      <c r="W147" s="32" t="n">
        <f>214967340</f>
        <v>2.1496734E8</v>
      </c>
      <c r="X147" s="36" t="n">
        <f>21</f>
        <v>21.0</v>
      </c>
    </row>
    <row r="148">
      <c r="A148" s="27" t="s">
        <v>42</v>
      </c>
      <c r="B148" s="27" t="s">
        <v>490</v>
      </c>
      <c r="C148" s="27" t="s">
        <v>491</v>
      </c>
      <c r="D148" s="27" t="s">
        <v>492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1537.5</f>
        <v>1537.5</v>
      </c>
      <c r="L148" s="34" t="s">
        <v>50</v>
      </c>
      <c r="M148" s="33" t="n">
        <f>1578</f>
        <v>1578.0</v>
      </c>
      <c r="N148" s="34" t="s">
        <v>165</v>
      </c>
      <c r="O148" s="33" t="n">
        <f>1525</f>
        <v>1525.0</v>
      </c>
      <c r="P148" s="34" t="s">
        <v>189</v>
      </c>
      <c r="Q148" s="33" t="n">
        <f>1551</f>
        <v>1551.0</v>
      </c>
      <c r="R148" s="34" t="s">
        <v>75</v>
      </c>
      <c r="S148" s="35" t="n">
        <f>1554.33</f>
        <v>1554.33</v>
      </c>
      <c r="T148" s="32" t="n">
        <f>4850</f>
        <v>4850.0</v>
      </c>
      <c r="U148" s="32" t="str">
        <f>"－"</f>
        <v>－</v>
      </c>
      <c r="V148" s="32" t="n">
        <f>7523100</f>
        <v>7523100.0</v>
      </c>
      <c r="W148" s="32" t="str">
        <f>"－"</f>
        <v>－</v>
      </c>
      <c r="X148" s="36" t="n">
        <f>12</f>
        <v>12.0</v>
      </c>
    </row>
    <row r="149">
      <c r="A149" s="27" t="s">
        <v>42</v>
      </c>
      <c r="B149" s="27" t="s">
        <v>493</v>
      </c>
      <c r="C149" s="27" t="s">
        <v>494</v>
      </c>
      <c r="D149" s="27" t="s">
        <v>495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396.1</f>
        <v>396.1</v>
      </c>
      <c r="L149" s="34" t="s">
        <v>48</v>
      </c>
      <c r="M149" s="33" t="n">
        <f>418.9</f>
        <v>418.9</v>
      </c>
      <c r="N149" s="34" t="s">
        <v>182</v>
      </c>
      <c r="O149" s="33" t="n">
        <f>385.9</f>
        <v>385.9</v>
      </c>
      <c r="P149" s="34" t="s">
        <v>50</v>
      </c>
      <c r="Q149" s="33" t="n">
        <f>398.8</f>
        <v>398.8</v>
      </c>
      <c r="R149" s="34" t="s">
        <v>51</v>
      </c>
      <c r="S149" s="35" t="n">
        <f>404.38</f>
        <v>404.38</v>
      </c>
      <c r="T149" s="32" t="n">
        <f>92085290</f>
        <v>9.208529E7</v>
      </c>
      <c r="U149" s="32" t="n">
        <f>43420370</f>
        <v>4.342037E7</v>
      </c>
      <c r="V149" s="32" t="n">
        <f>37219944878</f>
        <v>3.7219944878E10</v>
      </c>
      <c r="W149" s="32" t="n">
        <f>17515636541</f>
        <v>1.7515636541E10</v>
      </c>
      <c r="X149" s="36" t="n">
        <f>22</f>
        <v>22.0</v>
      </c>
    </row>
    <row r="150">
      <c r="A150" s="27" t="s">
        <v>42</v>
      </c>
      <c r="B150" s="27" t="s">
        <v>496</v>
      </c>
      <c r="C150" s="27" t="s">
        <v>497</v>
      </c>
      <c r="D150" s="27" t="s">
        <v>498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2882</f>
        <v>2882.0</v>
      </c>
      <c r="L150" s="34" t="s">
        <v>48</v>
      </c>
      <c r="M150" s="33" t="n">
        <f>2911</f>
        <v>2911.0</v>
      </c>
      <c r="N150" s="34" t="s">
        <v>51</v>
      </c>
      <c r="O150" s="33" t="n">
        <f>2830</f>
        <v>2830.0</v>
      </c>
      <c r="P150" s="34" t="s">
        <v>274</v>
      </c>
      <c r="Q150" s="33" t="n">
        <f>2895</f>
        <v>2895.0</v>
      </c>
      <c r="R150" s="34" t="s">
        <v>51</v>
      </c>
      <c r="S150" s="35" t="n">
        <f>2878.91</f>
        <v>2878.91</v>
      </c>
      <c r="T150" s="32" t="n">
        <f>1736386</f>
        <v>1736386.0</v>
      </c>
      <c r="U150" s="32" t="n">
        <f>995266</f>
        <v>995266.0</v>
      </c>
      <c r="V150" s="32" t="n">
        <f>4984881767</f>
        <v>4.984881767E9</v>
      </c>
      <c r="W150" s="32" t="n">
        <f>2855674942</f>
        <v>2.855674942E9</v>
      </c>
      <c r="X150" s="36" t="n">
        <f>22</f>
        <v>22.0</v>
      </c>
    </row>
    <row r="151">
      <c r="A151" s="27" t="s">
        <v>42</v>
      </c>
      <c r="B151" s="27" t="s">
        <v>499</v>
      </c>
      <c r="C151" s="27" t="s">
        <v>500</v>
      </c>
      <c r="D151" s="27" t="s">
        <v>501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3425</f>
        <v>3425.0</v>
      </c>
      <c r="L151" s="34" t="s">
        <v>48</v>
      </c>
      <c r="M151" s="33" t="n">
        <f>3565</f>
        <v>3565.0</v>
      </c>
      <c r="N151" s="34" t="s">
        <v>182</v>
      </c>
      <c r="O151" s="33" t="n">
        <f>3330</f>
        <v>3330.0</v>
      </c>
      <c r="P151" s="34" t="s">
        <v>50</v>
      </c>
      <c r="Q151" s="33" t="n">
        <f>3420</f>
        <v>3420.0</v>
      </c>
      <c r="R151" s="34" t="s">
        <v>51</v>
      </c>
      <c r="S151" s="35" t="n">
        <f>3462.27</f>
        <v>3462.27</v>
      </c>
      <c r="T151" s="32" t="n">
        <f>75729</f>
        <v>75729.0</v>
      </c>
      <c r="U151" s="32" t="n">
        <f>7897</f>
        <v>7897.0</v>
      </c>
      <c r="V151" s="32" t="n">
        <f>260974154</f>
        <v>2.60974154E8</v>
      </c>
      <c r="W151" s="32" t="n">
        <f>26928754</f>
        <v>2.6928754E7</v>
      </c>
      <c r="X151" s="36" t="n">
        <f>22</f>
        <v>22.0</v>
      </c>
    </row>
    <row r="152">
      <c r="A152" s="27" t="s">
        <v>42</v>
      </c>
      <c r="B152" s="27" t="s">
        <v>502</v>
      </c>
      <c r="C152" s="27" t="s">
        <v>503</v>
      </c>
      <c r="D152" s="27" t="s">
        <v>504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2208</f>
        <v>2208.0</v>
      </c>
      <c r="L152" s="34" t="s">
        <v>48</v>
      </c>
      <c r="M152" s="33" t="n">
        <f>2286</f>
        <v>2286.0</v>
      </c>
      <c r="N152" s="34" t="s">
        <v>175</v>
      </c>
      <c r="O152" s="33" t="n">
        <f>2127</f>
        <v>2127.0</v>
      </c>
      <c r="P152" s="34" t="s">
        <v>50</v>
      </c>
      <c r="Q152" s="33" t="n">
        <f>2275</f>
        <v>2275.0</v>
      </c>
      <c r="R152" s="34" t="s">
        <v>51</v>
      </c>
      <c r="S152" s="35" t="n">
        <f>2234.23</f>
        <v>2234.23</v>
      </c>
      <c r="T152" s="32" t="n">
        <f>81366</f>
        <v>81366.0</v>
      </c>
      <c r="U152" s="32" t="n">
        <f>1</f>
        <v>1.0</v>
      </c>
      <c r="V152" s="32" t="n">
        <f>182503515</f>
        <v>1.82503515E8</v>
      </c>
      <c r="W152" s="32" t="n">
        <f>2270</f>
        <v>2270.0</v>
      </c>
      <c r="X152" s="36" t="n">
        <f>22</f>
        <v>22.0</v>
      </c>
    </row>
    <row r="153">
      <c r="A153" s="27" t="s">
        <v>42</v>
      </c>
      <c r="B153" s="27" t="s">
        <v>505</v>
      </c>
      <c r="C153" s="27" t="s">
        <v>506</v>
      </c>
      <c r="D153" s="27" t="s">
        <v>507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2889</f>
        <v>2889.0</v>
      </c>
      <c r="L153" s="34" t="s">
        <v>48</v>
      </c>
      <c r="M153" s="33" t="n">
        <f>2986</f>
        <v>2986.0</v>
      </c>
      <c r="N153" s="34" t="s">
        <v>49</v>
      </c>
      <c r="O153" s="33" t="n">
        <f>2789</f>
        <v>2789.0</v>
      </c>
      <c r="P153" s="34" t="s">
        <v>50</v>
      </c>
      <c r="Q153" s="33" t="n">
        <f>2841</f>
        <v>2841.0</v>
      </c>
      <c r="R153" s="34" t="s">
        <v>51</v>
      </c>
      <c r="S153" s="35" t="n">
        <f>2893.68</f>
        <v>2893.68</v>
      </c>
      <c r="T153" s="32" t="n">
        <f>118591</f>
        <v>118591.0</v>
      </c>
      <c r="U153" s="32" t="n">
        <f>35</f>
        <v>35.0</v>
      </c>
      <c r="V153" s="32" t="n">
        <f>343106772</f>
        <v>3.43106772E8</v>
      </c>
      <c r="W153" s="32" t="n">
        <f>107675</f>
        <v>107675.0</v>
      </c>
      <c r="X153" s="36" t="n">
        <f>22</f>
        <v>22.0</v>
      </c>
    </row>
    <row r="154">
      <c r="A154" s="27" t="s">
        <v>42</v>
      </c>
      <c r="B154" s="27" t="s">
        <v>508</v>
      </c>
      <c r="C154" s="27" t="s">
        <v>509</v>
      </c>
      <c r="D154" s="27" t="s">
        <v>510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11395</f>
        <v>11395.0</v>
      </c>
      <c r="L154" s="34" t="s">
        <v>48</v>
      </c>
      <c r="M154" s="33" t="n">
        <f>11590</f>
        <v>11590.0</v>
      </c>
      <c r="N154" s="34" t="s">
        <v>75</v>
      </c>
      <c r="O154" s="33" t="n">
        <f>11245</f>
        <v>11245.0</v>
      </c>
      <c r="P154" s="34" t="s">
        <v>74</v>
      </c>
      <c r="Q154" s="33" t="n">
        <f>11560</f>
        <v>11560.0</v>
      </c>
      <c r="R154" s="34" t="s">
        <v>51</v>
      </c>
      <c r="S154" s="35" t="n">
        <f>11392.95</f>
        <v>11392.95</v>
      </c>
      <c r="T154" s="32" t="n">
        <f>10165</f>
        <v>10165.0</v>
      </c>
      <c r="U154" s="32" t="n">
        <f>8</f>
        <v>8.0</v>
      </c>
      <c r="V154" s="32" t="n">
        <f>115706185</f>
        <v>1.15706185E8</v>
      </c>
      <c r="W154" s="32" t="n">
        <f>84600</f>
        <v>84600.0</v>
      </c>
      <c r="X154" s="36" t="n">
        <f>22</f>
        <v>22.0</v>
      </c>
    </row>
    <row r="155">
      <c r="A155" s="27" t="s">
        <v>42</v>
      </c>
      <c r="B155" s="27" t="s">
        <v>511</v>
      </c>
      <c r="C155" s="27" t="s">
        <v>512</v>
      </c>
      <c r="D155" s="27" t="s">
        <v>513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2970</f>
        <v>2970.0</v>
      </c>
      <c r="L155" s="34" t="s">
        <v>48</v>
      </c>
      <c r="M155" s="33" t="n">
        <f>3105</f>
        <v>3105.0</v>
      </c>
      <c r="N155" s="34" t="s">
        <v>75</v>
      </c>
      <c r="O155" s="33" t="n">
        <f>2684</f>
        <v>2684.0</v>
      </c>
      <c r="P155" s="34" t="s">
        <v>49</v>
      </c>
      <c r="Q155" s="33" t="n">
        <f>2973</f>
        <v>2973.0</v>
      </c>
      <c r="R155" s="34" t="s">
        <v>51</v>
      </c>
      <c r="S155" s="35" t="n">
        <f>2866.18</f>
        <v>2866.18</v>
      </c>
      <c r="T155" s="32" t="n">
        <f>13381041</f>
        <v>1.3381041E7</v>
      </c>
      <c r="U155" s="32" t="n">
        <f>3910</f>
        <v>3910.0</v>
      </c>
      <c r="V155" s="32" t="n">
        <f>38302781504</f>
        <v>3.8302781504E10</v>
      </c>
      <c r="W155" s="32" t="n">
        <f>12089181</f>
        <v>1.2089181E7</v>
      </c>
      <c r="X155" s="36" t="n">
        <f>22</f>
        <v>22.0</v>
      </c>
    </row>
    <row r="156">
      <c r="A156" s="27" t="s">
        <v>42</v>
      </c>
      <c r="B156" s="27" t="s">
        <v>514</v>
      </c>
      <c r="C156" s="27" t="s">
        <v>515</v>
      </c>
      <c r="D156" s="27" t="s">
        <v>516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22160</f>
        <v>22160.0</v>
      </c>
      <c r="L156" s="34" t="s">
        <v>48</v>
      </c>
      <c r="M156" s="33" t="n">
        <f>22840</f>
        <v>22840.0</v>
      </c>
      <c r="N156" s="34" t="s">
        <v>99</v>
      </c>
      <c r="O156" s="33" t="n">
        <f>21835</f>
        <v>21835.0</v>
      </c>
      <c r="P156" s="34" t="s">
        <v>50</v>
      </c>
      <c r="Q156" s="33" t="n">
        <f>22515</f>
        <v>22515.0</v>
      </c>
      <c r="R156" s="34" t="s">
        <v>51</v>
      </c>
      <c r="S156" s="35" t="n">
        <f>22484.09</f>
        <v>22484.09</v>
      </c>
      <c r="T156" s="32" t="n">
        <f>2266</f>
        <v>2266.0</v>
      </c>
      <c r="U156" s="32" t="str">
        <f>"－"</f>
        <v>－</v>
      </c>
      <c r="V156" s="32" t="n">
        <f>50779755</f>
        <v>5.0779755E7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517</v>
      </c>
      <c r="C157" s="27" t="s">
        <v>518</v>
      </c>
      <c r="D157" s="27" t="s">
        <v>519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2511.5</f>
        <v>2511.5</v>
      </c>
      <c r="L157" s="34" t="s">
        <v>48</v>
      </c>
      <c r="M157" s="33" t="n">
        <f>2597</f>
        <v>2597.0</v>
      </c>
      <c r="N157" s="34" t="s">
        <v>99</v>
      </c>
      <c r="O157" s="33" t="n">
        <f>2360</f>
        <v>2360.0</v>
      </c>
      <c r="P157" s="34" t="s">
        <v>51</v>
      </c>
      <c r="Q157" s="33" t="n">
        <f>2384.5</f>
        <v>2384.5</v>
      </c>
      <c r="R157" s="34" t="s">
        <v>51</v>
      </c>
      <c r="S157" s="35" t="n">
        <f>2473.25</f>
        <v>2473.25</v>
      </c>
      <c r="T157" s="32" t="n">
        <f>29320</f>
        <v>29320.0</v>
      </c>
      <c r="U157" s="32" t="str">
        <f>"－"</f>
        <v>－</v>
      </c>
      <c r="V157" s="32" t="n">
        <f>72719650</f>
        <v>7.271965E7</v>
      </c>
      <c r="W157" s="32" t="str">
        <f>"－"</f>
        <v>－</v>
      </c>
      <c r="X157" s="36" t="n">
        <f>22</f>
        <v>22.0</v>
      </c>
    </row>
    <row r="158">
      <c r="A158" s="27" t="s">
        <v>42</v>
      </c>
      <c r="B158" s="27" t="s">
        <v>520</v>
      </c>
      <c r="C158" s="27" t="s">
        <v>521</v>
      </c>
      <c r="D158" s="27" t="s">
        <v>522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11205</f>
        <v>11205.0</v>
      </c>
      <c r="L158" s="34" t="s">
        <v>48</v>
      </c>
      <c r="M158" s="33" t="n">
        <f>11900</f>
        <v>11900.0</v>
      </c>
      <c r="N158" s="34" t="s">
        <v>68</v>
      </c>
      <c r="O158" s="33" t="n">
        <f>10970</f>
        <v>10970.0</v>
      </c>
      <c r="P158" s="34" t="s">
        <v>51</v>
      </c>
      <c r="Q158" s="33" t="n">
        <f>11050</f>
        <v>11050.0</v>
      </c>
      <c r="R158" s="34" t="s">
        <v>51</v>
      </c>
      <c r="S158" s="35" t="n">
        <f>11379.05</f>
        <v>11379.05</v>
      </c>
      <c r="T158" s="32" t="n">
        <f>3537</f>
        <v>3537.0</v>
      </c>
      <c r="U158" s="32" t="str">
        <f>"－"</f>
        <v>－</v>
      </c>
      <c r="V158" s="32" t="n">
        <f>40447325</f>
        <v>4.0447325E7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523</v>
      </c>
      <c r="C159" s="27" t="s">
        <v>524</v>
      </c>
      <c r="D159" s="27" t="s">
        <v>525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25780</f>
        <v>25780.0</v>
      </c>
      <c r="L159" s="34" t="s">
        <v>48</v>
      </c>
      <c r="M159" s="33" t="n">
        <f>27885</f>
        <v>27885.0</v>
      </c>
      <c r="N159" s="34" t="s">
        <v>274</v>
      </c>
      <c r="O159" s="33" t="n">
        <f>24820</f>
        <v>24820.0</v>
      </c>
      <c r="P159" s="34" t="s">
        <v>189</v>
      </c>
      <c r="Q159" s="33" t="n">
        <f>26950</f>
        <v>26950.0</v>
      </c>
      <c r="R159" s="34" t="s">
        <v>51</v>
      </c>
      <c r="S159" s="35" t="n">
        <f>26452.05</f>
        <v>26452.05</v>
      </c>
      <c r="T159" s="32" t="n">
        <f>2427</f>
        <v>2427.0</v>
      </c>
      <c r="U159" s="32" t="str">
        <f>"－"</f>
        <v>－</v>
      </c>
      <c r="V159" s="32" t="n">
        <f>65070510</f>
        <v>6.507051E7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526</v>
      </c>
      <c r="C160" s="27" t="s">
        <v>527</v>
      </c>
      <c r="D160" s="27" t="s">
        <v>528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18875</f>
        <v>18875.0</v>
      </c>
      <c r="L160" s="34" t="s">
        <v>48</v>
      </c>
      <c r="M160" s="33" t="n">
        <f>19190</f>
        <v>19190.0</v>
      </c>
      <c r="N160" s="34" t="s">
        <v>68</v>
      </c>
      <c r="O160" s="33" t="n">
        <f>17945</f>
        <v>17945.0</v>
      </c>
      <c r="P160" s="34" t="s">
        <v>64</v>
      </c>
      <c r="Q160" s="33" t="n">
        <f>18550</f>
        <v>18550.0</v>
      </c>
      <c r="R160" s="34" t="s">
        <v>69</v>
      </c>
      <c r="S160" s="35" t="n">
        <f>18746.33</f>
        <v>18746.33</v>
      </c>
      <c r="T160" s="32" t="n">
        <f>231</f>
        <v>231.0</v>
      </c>
      <c r="U160" s="32" t="str">
        <f>"－"</f>
        <v>－</v>
      </c>
      <c r="V160" s="32" t="n">
        <f>4330880</f>
        <v>4330880.0</v>
      </c>
      <c r="W160" s="32" t="str">
        <f>"－"</f>
        <v>－</v>
      </c>
      <c r="X160" s="36" t="n">
        <f>15</f>
        <v>15.0</v>
      </c>
    </row>
    <row r="161">
      <c r="A161" s="27" t="s">
        <v>42</v>
      </c>
      <c r="B161" s="27" t="s">
        <v>529</v>
      </c>
      <c r="C161" s="27" t="s">
        <v>530</v>
      </c>
      <c r="D161" s="27" t="s">
        <v>531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52070</f>
        <v>52070.0</v>
      </c>
      <c r="L161" s="34" t="s">
        <v>48</v>
      </c>
      <c r="M161" s="33" t="n">
        <f>52450</f>
        <v>52450.0</v>
      </c>
      <c r="N161" s="34" t="s">
        <v>79</v>
      </c>
      <c r="O161" s="33" t="n">
        <f>51210</f>
        <v>51210.0</v>
      </c>
      <c r="P161" s="34" t="s">
        <v>348</v>
      </c>
      <c r="Q161" s="33" t="n">
        <f>51680</f>
        <v>51680.0</v>
      </c>
      <c r="R161" s="34" t="s">
        <v>51</v>
      </c>
      <c r="S161" s="35" t="n">
        <f>51892.27</f>
        <v>51892.27</v>
      </c>
      <c r="T161" s="32" t="n">
        <f>5890</f>
        <v>5890.0</v>
      </c>
      <c r="U161" s="32" t="n">
        <f>2150</f>
        <v>2150.0</v>
      </c>
      <c r="V161" s="32" t="n">
        <f>305481548</f>
        <v>3.05481548E8</v>
      </c>
      <c r="W161" s="32" t="n">
        <f>111278548</f>
        <v>1.11278548E8</v>
      </c>
      <c r="X161" s="36" t="n">
        <f>22</f>
        <v>22.0</v>
      </c>
    </row>
    <row r="162">
      <c r="A162" s="27" t="s">
        <v>42</v>
      </c>
      <c r="B162" s="27" t="s">
        <v>532</v>
      </c>
      <c r="C162" s="27" t="s">
        <v>533</v>
      </c>
      <c r="D162" s="27" t="s">
        <v>534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257.5</f>
        <v>257.5</v>
      </c>
      <c r="L162" s="34" t="s">
        <v>48</v>
      </c>
      <c r="M162" s="33" t="n">
        <f>273.6</f>
        <v>273.6</v>
      </c>
      <c r="N162" s="34" t="s">
        <v>182</v>
      </c>
      <c r="O162" s="33" t="n">
        <f>253</f>
        <v>253.0</v>
      </c>
      <c r="P162" s="34" t="s">
        <v>50</v>
      </c>
      <c r="Q162" s="33" t="n">
        <f>271.7</f>
        <v>271.7</v>
      </c>
      <c r="R162" s="34" t="s">
        <v>51</v>
      </c>
      <c r="S162" s="35" t="n">
        <f>265.11</f>
        <v>265.11</v>
      </c>
      <c r="T162" s="32" t="n">
        <f>9476100</f>
        <v>9476100.0</v>
      </c>
      <c r="U162" s="32" t="str">
        <f>"－"</f>
        <v>－</v>
      </c>
      <c r="V162" s="32" t="n">
        <f>2509174260</f>
        <v>2.50917426E9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535</v>
      </c>
      <c r="C163" s="27" t="s">
        <v>536</v>
      </c>
      <c r="D163" s="27" t="s">
        <v>537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37810</f>
        <v>37810.0</v>
      </c>
      <c r="L163" s="34" t="s">
        <v>48</v>
      </c>
      <c r="M163" s="33" t="n">
        <f>40150</f>
        <v>40150.0</v>
      </c>
      <c r="N163" s="34" t="s">
        <v>182</v>
      </c>
      <c r="O163" s="33" t="n">
        <f>37000</f>
        <v>37000.0</v>
      </c>
      <c r="P163" s="34" t="s">
        <v>50</v>
      </c>
      <c r="Q163" s="33" t="n">
        <f>38410</f>
        <v>38410.0</v>
      </c>
      <c r="R163" s="34" t="s">
        <v>51</v>
      </c>
      <c r="S163" s="35" t="n">
        <f>38725.45</f>
        <v>38725.45</v>
      </c>
      <c r="T163" s="32" t="n">
        <f>25310</f>
        <v>25310.0</v>
      </c>
      <c r="U163" s="32" t="n">
        <f>12030</f>
        <v>12030.0</v>
      </c>
      <c r="V163" s="32" t="n">
        <f>981176424</f>
        <v>9.81176424E8</v>
      </c>
      <c r="W163" s="32" t="n">
        <f>460316624</f>
        <v>4.60316624E8</v>
      </c>
      <c r="X163" s="36" t="n">
        <f>22</f>
        <v>22.0</v>
      </c>
    </row>
    <row r="164">
      <c r="A164" s="27" t="s">
        <v>42</v>
      </c>
      <c r="B164" s="27" t="s">
        <v>538</v>
      </c>
      <c r="C164" s="27" t="s">
        <v>539</v>
      </c>
      <c r="D164" s="27" t="s">
        <v>540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3890</f>
        <v>3890.0</v>
      </c>
      <c r="L164" s="34" t="s">
        <v>48</v>
      </c>
      <c r="M164" s="33" t="n">
        <f>4097</f>
        <v>4097.0</v>
      </c>
      <c r="N164" s="34" t="s">
        <v>182</v>
      </c>
      <c r="O164" s="33" t="n">
        <f>3797</f>
        <v>3797.0</v>
      </c>
      <c r="P164" s="34" t="s">
        <v>50</v>
      </c>
      <c r="Q164" s="33" t="n">
        <f>3925</f>
        <v>3925.0</v>
      </c>
      <c r="R164" s="34" t="s">
        <v>51</v>
      </c>
      <c r="S164" s="35" t="n">
        <f>3971.68</f>
        <v>3971.68</v>
      </c>
      <c r="T164" s="32" t="n">
        <f>105080</f>
        <v>105080.0</v>
      </c>
      <c r="U164" s="32" t="str">
        <f>"－"</f>
        <v>－</v>
      </c>
      <c r="V164" s="32" t="n">
        <f>417096570</f>
        <v>4.1709657E8</v>
      </c>
      <c r="W164" s="32" t="str">
        <f>"－"</f>
        <v>－</v>
      </c>
      <c r="X164" s="36" t="n">
        <f>22</f>
        <v>22.0</v>
      </c>
    </row>
    <row r="165">
      <c r="A165" s="27" t="s">
        <v>42</v>
      </c>
      <c r="B165" s="27" t="s">
        <v>541</v>
      </c>
      <c r="C165" s="27" t="s">
        <v>542</v>
      </c>
      <c r="D165" s="27" t="s">
        <v>543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1687</f>
        <v>1687.0</v>
      </c>
      <c r="L165" s="34" t="s">
        <v>48</v>
      </c>
      <c r="M165" s="33" t="n">
        <f>1767</f>
        <v>1767.0</v>
      </c>
      <c r="N165" s="34" t="s">
        <v>175</v>
      </c>
      <c r="O165" s="33" t="n">
        <f>1627</f>
        <v>1627.0</v>
      </c>
      <c r="P165" s="34" t="s">
        <v>50</v>
      </c>
      <c r="Q165" s="33" t="n">
        <f>1754</f>
        <v>1754.0</v>
      </c>
      <c r="R165" s="34" t="s">
        <v>51</v>
      </c>
      <c r="S165" s="35" t="n">
        <f>1718.8</f>
        <v>1718.8</v>
      </c>
      <c r="T165" s="32" t="n">
        <f>141470</f>
        <v>141470.0</v>
      </c>
      <c r="U165" s="32" t="str">
        <f>"－"</f>
        <v>－</v>
      </c>
      <c r="V165" s="32" t="n">
        <f>244134430</f>
        <v>2.4413443E8</v>
      </c>
      <c r="W165" s="32" t="str">
        <f>"－"</f>
        <v>－</v>
      </c>
      <c r="X165" s="36" t="n">
        <f>22</f>
        <v>22.0</v>
      </c>
    </row>
    <row r="166">
      <c r="A166" s="27" t="s">
        <v>42</v>
      </c>
      <c r="B166" s="27" t="s">
        <v>544</v>
      </c>
      <c r="C166" s="27" t="s">
        <v>545</v>
      </c>
      <c r="D166" s="27" t="s">
        <v>546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204.8</f>
        <v>204.8</v>
      </c>
      <c r="L166" s="34" t="s">
        <v>48</v>
      </c>
      <c r="M166" s="33" t="n">
        <f>214</f>
        <v>214.0</v>
      </c>
      <c r="N166" s="34" t="s">
        <v>68</v>
      </c>
      <c r="O166" s="33" t="n">
        <f>200.2</f>
        <v>200.2</v>
      </c>
      <c r="P166" s="34" t="s">
        <v>48</v>
      </c>
      <c r="Q166" s="33" t="n">
        <f>203.9</f>
        <v>203.9</v>
      </c>
      <c r="R166" s="34" t="s">
        <v>51</v>
      </c>
      <c r="S166" s="35" t="n">
        <f>207.24</f>
        <v>207.24</v>
      </c>
      <c r="T166" s="32" t="n">
        <f>170500</f>
        <v>170500.0</v>
      </c>
      <c r="U166" s="32" t="str">
        <f>"－"</f>
        <v>－</v>
      </c>
      <c r="V166" s="32" t="n">
        <f>35542930</f>
        <v>3.554293E7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547</v>
      </c>
      <c r="C167" s="27" t="s">
        <v>548</v>
      </c>
      <c r="D167" s="27" t="s">
        <v>549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1683.5</f>
        <v>1683.5</v>
      </c>
      <c r="L167" s="34" t="s">
        <v>48</v>
      </c>
      <c r="M167" s="33" t="n">
        <f>1800</f>
        <v>1800.0</v>
      </c>
      <c r="N167" s="34" t="s">
        <v>75</v>
      </c>
      <c r="O167" s="33" t="n">
        <f>1586.5</f>
        <v>1586.5</v>
      </c>
      <c r="P167" s="34" t="s">
        <v>103</v>
      </c>
      <c r="Q167" s="33" t="n">
        <f>1755</f>
        <v>1755.0</v>
      </c>
      <c r="R167" s="34" t="s">
        <v>51</v>
      </c>
      <c r="S167" s="35" t="n">
        <f>1685.89</f>
        <v>1685.89</v>
      </c>
      <c r="T167" s="32" t="n">
        <f>6740</f>
        <v>6740.0</v>
      </c>
      <c r="U167" s="32" t="str">
        <f>"－"</f>
        <v>－</v>
      </c>
      <c r="V167" s="32" t="n">
        <f>11548570</f>
        <v>1.154857E7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550</v>
      </c>
      <c r="C168" s="27" t="s">
        <v>551</v>
      </c>
      <c r="D168" s="27" t="s">
        <v>552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750.1</f>
        <v>750.1</v>
      </c>
      <c r="L168" s="34" t="s">
        <v>48</v>
      </c>
      <c r="M168" s="33" t="n">
        <f>845.4</f>
        <v>845.4</v>
      </c>
      <c r="N168" s="34" t="s">
        <v>75</v>
      </c>
      <c r="O168" s="33" t="n">
        <f>709.4</f>
        <v>709.4</v>
      </c>
      <c r="P168" s="34" t="s">
        <v>103</v>
      </c>
      <c r="Q168" s="33" t="n">
        <f>817.7</f>
        <v>817.7</v>
      </c>
      <c r="R168" s="34" t="s">
        <v>51</v>
      </c>
      <c r="S168" s="35" t="n">
        <f>771.86</f>
        <v>771.86</v>
      </c>
      <c r="T168" s="32" t="n">
        <f>74780</f>
        <v>74780.0</v>
      </c>
      <c r="U168" s="32" t="str">
        <f>"－"</f>
        <v>－</v>
      </c>
      <c r="V168" s="32" t="n">
        <f>58967189</f>
        <v>5.8967189E7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553</v>
      </c>
      <c r="C169" s="27" t="s">
        <v>554</v>
      </c>
      <c r="D169" s="27" t="s">
        <v>555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2055.5</f>
        <v>2055.5</v>
      </c>
      <c r="L169" s="34" t="s">
        <v>48</v>
      </c>
      <c r="M169" s="33" t="n">
        <f>2176</f>
        <v>2176.0</v>
      </c>
      <c r="N169" s="34" t="s">
        <v>274</v>
      </c>
      <c r="O169" s="33" t="n">
        <f>1980</f>
        <v>1980.0</v>
      </c>
      <c r="P169" s="34" t="s">
        <v>50</v>
      </c>
      <c r="Q169" s="33" t="n">
        <f>2100.5</f>
        <v>2100.5</v>
      </c>
      <c r="R169" s="34" t="s">
        <v>51</v>
      </c>
      <c r="S169" s="35" t="n">
        <f>2065.59</f>
        <v>2065.59</v>
      </c>
      <c r="T169" s="32" t="n">
        <f>5340</f>
        <v>5340.0</v>
      </c>
      <c r="U169" s="32" t="str">
        <f>"－"</f>
        <v>－</v>
      </c>
      <c r="V169" s="32" t="n">
        <f>11102510</f>
        <v>1.110251E7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556</v>
      </c>
      <c r="C170" s="27" t="s">
        <v>557</v>
      </c>
      <c r="D170" s="27" t="s">
        <v>558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863.7</f>
        <v>863.7</v>
      </c>
      <c r="L170" s="34" t="s">
        <v>48</v>
      </c>
      <c r="M170" s="33" t="n">
        <f>946.8</f>
        <v>946.8</v>
      </c>
      <c r="N170" s="34" t="s">
        <v>75</v>
      </c>
      <c r="O170" s="33" t="n">
        <f>819</f>
        <v>819.0</v>
      </c>
      <c r="P170" s="34" t="s">
        <v>50</v>
      </c>
      <c r="Q170" s="33" t="n">
        <f>937.9</f>
        <v>937.9</v>
      </c>
      <c r="R170" s="34" t="s">
        <v>51</v>
      </c>
      <c r="S170" s="35" t="n">
        <f>879.4</f>
        <v>879.4</v>
      </c>
      <c r="T170" s="32" t="n">
        <f>143270</f>
        <v>143270.0</v>
      </c>
      <c r="U170" s="32" t="str">
        <f>"－"</f>
        <v>－</v>
      </c>
      <c r="V170" s="32" t="n">
        <f>127957145</f>
        <v>1.27957145E8</v>
      </c>
      <c r="W170" s="32" t="str">
        <f>"－"</f>
        <v>－</v>
      </c>
      <c r="X170" s="36" t="n">
        <f>22</f>
        <v>22.0</v>
      </c>
    </row>
    <row r="171">
      <c r="A171" s="27" t="s">
        <v>42</v>
      </c>
      <c r="B171" s="27" t="s">
        <v>559</v>
      </c>
      <c r="C171" s="27" t="s">
        <v>560</v>
      </c>
      <c r="D171" s="27" t="s">
        <v>561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629.2</f>
        <v>629.2</v>
      </c>
      <c r="L171" s="34" t="s">
        <v>48</v>
      </c>
      <c r="M171" s="33" t="n">
        <f>683.4</f>
        <v>683.4</v>
      </c>
      <c r="N171" s="34" t="s">
        <v>75</v>
      </c>
      <c r="O171" s="33" t="n">
        <f>594.2</f>
        <v>594.2</v>
      </c>
      <c r="P171" s="34" t="s">
        <v>50</v>
      </c>
      <c r="Q171" s="33" t="n">
        <f>673</f>
        <v>673.0</v>
      </c>
      <c r="R171" s="34" t="s">
        <v>51</v>
      </c>
      <c r="S171" s="35" t="n">
        <f>633.87</f>
        <v>633.87</v>
      </c>
      <c r="T171" s="32" t="n">
        <f>437880</f>
        <v>437880.0</v>
      </c>
      <c r="U171" s="32" t="str">
        <f>"－"</f>
        <v>－</v>
      </c>
      <c r="V171" s="32" t="n">
        <f>279366450</f>
        <v>2.7936645E8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562</v>
      </c>
      <c r="C172" s="27" t="s">
        <v>563</v>
      </c>
      <c r="D172" s="27" t="s">
        <v>564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100.0</v>
      </c>
      <c r="K172" s="33" t="n">
        <f>4.3</f>
        <v>4.3</v>
      </c>
      <c r="L172" s="34" t="s">
        <v>48</v>
      </c>
      <c r="M172" s="33" t="n">
        <f>5.6</f>
        <v>5.6</v>
      </c>
      <c r="N172" s="34" t="s">
        <v>89</v>
      </c>
      <c r="O172" s="33" t="n">
        <f>4.2</f>
        <v>4.2</v>
      </c>
      <c r="P172" s="34" t="s">
        <v>74</v>
      </c>
      <c r="Q172" s="33" t="n">
        <f>5.3</f>
        <v>5.3</v>
      </c>
      <c r="R172" s="34" t="s">
        <v>51</v>
      </c>
      <c r="S172" s="35" t="n">
        <f>4.88</f>
        <v>4.88</v>
      </c>
      <c r="T172" s="32" t="n">
        <f>560281500</f>
        <v>5.602815E8</v>
      </c>
      <c r="U172" s="32" t="n">
        <f>150000</f>
        <v>150000.0</v>
      </c>
      <c r="V172" s="32" t="n">
        <f>2776436870</f>
        <v>2.77643687E9</v>
      </c>
      <c r="W172" s="32" t="n">
        <f>825000</f>
        <v>825000.0</v>
      </c>
      <c r="X172" s="36" t="n">
        <f>22</f>
        <v>22.0</v>
      </c>
    </row>
    <row r="173">
      <c r="A173" s="27" t="s">
        <v>42</v>
      </c>
      <c r="B173" s="27" t="s">
        <v>565</v>
      </c>
      <c r="C173" s="27" t="s">
        <v>566</v>
      </c>
      <c r="D173" s="27" t="s">
        <v>567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1385</f>
        <v>1385.0</v>
      </c>
      <c r="L173" s="34" t="s">
        <v>48</v>
      </c>
      <c r="M173" s="33" t="n">
        <f>1451</f>
        <v>1451.0</v>
      </c>
      <c r="N173" s="34" t="s">
        <v>75</v>
      </c>
      <c r="O173" s="33" t="n">
        <f>1254.5</f>
        <v>1254.5</v>
      </c>
      <c r="P173" s="34" t="s">
        <v>103</v>
      </c>
      <c r="Q173" s="33" t="n">
        <f>1392</f>
        <v>1392.0</v>
      </c>
      <c r="R173" s="34" t="s">
        <v>51</v>
      </c>
      <c r="S173" s="35" t="n">
        <f>1340.59</f>
        <v>1340.59</v>
      </c>
      <c r="T173" s="32" t="n">
        <f>335960</f>
        <v>335960.0</v>
      </c>
      <c r="U173" s="32" t="str">
        <f>"－"</f>
        <v>－</v>
      </c>
      <c r="V173" s="32" t="n">
        <f>447878275</f>
        <v>4.47878275E8</v>
      </c>
      <c r="W173" s="32" t="str">
        <f>"－"</f>
        <v>－</v>
      </c>
      <c r="X173" s="36" t="n">
        <f>22</f>
        <v>22.0</v>
      </c>
    </row>
    <row r="174">
      <c r="A174" s="27" t="s">
        <v>42</v>
      </c>
      <c r="B174" s="27" t="s">
        <v>568</v>
      </c>
      <c r="C174" s="27" t="s">
        <v>569</v>
      </c>
      <c r="D174" s="27" t="s">
        <v>570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6379</f>
        <v>6379.0</v>
      </c>
      <c r="L174" s="34" t="s">
        <v>48</v>
      </c>
      <c r="M174" s="33" t="n">
        <f>6478</f>
        <v>6478.0</v>
      </c>
      <c r="N174" s="34" t="s">
        <v>69</v>
      </c>
      <c r="O174" s="33" t="n">
        <f>5617</f>
        <v>5617.0</v>
      </c>
      <c r="P174" s="34" t="s">
        <v>103</v>
      </c>
      <c r="Q174" s="33" t="n">
        <f>6105</f>
        <v>6105.0</v>
      </c>
      <c r="R174" s="34" t="s">
        <v>51</v>
      </c>
      <c r="S174" s="35" t="n">
        <f>6166.45</f>
        <v>6166.45</v>
      </c>
      <c r="T174" s="32" t="n">
        <f>3902</f>
        <v>3902.0</v>
      </c>
      <c r="U174" s="32" t="str">
        <f>"－"</f>
        <v>－</v>
      </c>
      <c r="V174" s="32" t="n">
        <f>24122375</f>
        <v>2.4122375E7</v>
      </c>
      <c r="W174" s="32" t="str">
        <f>"－"</f>
        <v>－</v>
      </c>
      <c r="X174" s="36" t="n">
        <f>22</f>
        <v>22.0</v>
      </c>
    </row>
    <row r="175">
      <c r="A175" s="27" t="s">
        <v>42</v>
      </c>
      <c r="B175" s="27" t="s">
        <v>571</v>
      </c>
      <c r="C175" s="27" t="s">
        <v>572</v>
      </c>
      <c r="D175" s="27" t="s">
        <v>573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100.0</v>
      </c>
      <c r="K175" s="33" t="n">
        <f>455.3</f>
        <v>455.3</v>
      </c>
      <c r="L175" s="34" t="s">
        <v>48</v>
      </c>
      <c r="M175" s="33" t="n">
        <f>479.8</f>
        <v>479.8</v>
      </c>
      <c r="N175" s="34" t="s">
        <v>75</v>
      </c>
      <c r="O175" s="33" t="n">
        <f>437.3</f>
        <v>437.3</v>
      </c>
      <c r="P175" s="34" t="s">
        <v>50</v>
      </c>
      <c r="Q175" s="33" t="n">
        <f>463</f>
        <v>463.0</v>
      </c>
      <c r="R175" s="34" t="s">
        <v>51</v>
      </c>
      <c r="S175" s="35" t="n">
        <f>454.85</f>
        <v>454.85</v>
      </c>
      <c r="T175" s="32" t="n">
        <f>145100</f>
        <v>145100.0</v>
      </c>
      <c r="U175" s="32" t="str">
        <f>"－"</f>
        <v>－</v>
      </c>
      <c r="V175" s="32" t="n">
        <f>66459870</f>
        <v>6.645987E7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574</v>
      </c>
      <c r="C176" s="27" t="s">
        <v>575</v>
      </c>
      <c r="D176" s="27" t="s">
        <v>576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4188</f>
        <v>4188.0</v>
      </c>
      <c r="L176" s="34" t="s">
        <v>48</v>
      </c>
      <c r="M176" s="33" t="n">
        <f>4496</f>
        <v>4496.0</v>
      </c>
      <c r="N176" s="34" t="s">
        <v>69</v>
      </c>
      <c r="O176" s="33" t="n">
        <f>4041</f>
        <v>4041.0</v>
      </c>
      <c r="P176" s="34" t="s">
        <v>50</v>
      </c>
      <c r="Q176" s="33" t="n">
        <f>4318</f>
        <v>4318.0</v>
      </c>
      <c r="R176" s="34" t="s">
        <v>51</v>
      </c>
      <c r="S176" s="35" t="n">
        <f>4277.82</f>
        <v>4277.82</v>
      </c>
      <c r="T176" s="32" t="n">
        <f>67870</f>
        <v>67870.0</v>
      </c>
      <c r="U176" s="32" t="str">
        <f>"－"</f>
        <v>－</v>
      </c>
      <c r="V176" s="32" t="n">
        <f>290891600</f>
        <v>2.908916E8</v>
      </c>
      <c r="W176" s="32" t="str">
        <f>"－"</f>
        <v>－</v>
      </c>
      <c r="X176" s="36" t="n">
        <f>22</f>
        <v>22.0</v>
      </c>
    </row>
    <row r="177">
      <c r="A177" s="27" t="s">
        <v>42</v>
      </c>
      <c r="B177" s="27" t="s">
        <v>577</v>
      </c>
      <c r="C177" s="27" t="s">
        <v>578</v>
      </c>
      <c r="D177" s="27" t="s">
        <v>579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2899</f>
        <v>2899.0</v>
      </c>
      <c r="L177" s="34" t="s">
        <v>48</v>
      </c>
      <c r="M177" s="33" t="n">
        <f>2954.5</f>
        <v>2954.5</v>
      </c>
      <c r="N177" s="34" t="s">
        <v>50</v>
      </c>
      <c r="O177" s="33" t="n">
        <f>2702.5</f>
        <v>2702.5</v>
      </c>
      <c r="P177" s="34" t="s">
        <v>99</v>
      </c>
      <c r="Q177" s="33" t="n">
        <f>2814</f>
        <v>2814.0</v>
      </c>
      <c r="R177" s="34" t="s">
        <v>51</v>
      </c>
      <c r="S177" s="35" t="n">
        <f>2815.59</f>
        <v>2815.59</v>
      </c>
      <c r="T177" s="32" t="n">
        <f>19430</f>
        <v>19430.0</v>
      </c>
      <c r="U177" s="32" t="str">
        <f>"－"</f>
        <v>－</v>
      </c>
      <c r="V177" s="32" t="n">
        <f>55132365</f>
        <v>5.5132365E7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580</v>
      </c>
      <c r="C178" s="27" t="s">
        <v>581</v>
      </c>
      <c r="D178" s="27" t="s">
        <v>582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114.7</f>
        <v>114.7</v>
      </c>
      <c r="L178" s="34" t="s">
        <v>48</v>
      </c>
      <c r="M178" s="33" t="n">
        <f>118.6</f>
        <v>118.6</v>
      </c>
      <c r="N178" s="34" t="s">
        <v>75</v>
      </c>
      <c r="O178" s="33" t="n">
        <f>102.6</f>
        <v>102.6</v>
      </c>
      <c r="P178" s="34" t="s">
        <v>182</v>
      </c>
      <c r="Q178" s="33" t="n">
        <f>115.2</f>
        <v>115.2</v>
      </c>
      <c r="R178" s="34" t="s">
        <v>51</v>
      </c>
      <c r="S178" s="35" t="n">
        <f>109.17</f>
        <v>109.17</v>
      </c>
      <c r="T178" s="32" t="n">
        <f>17876800</f>
        <v>1.78768E7</v>
      </c>
      <c r="U178" s="32" t="str">
        <f>"－"</f>
        <v>－</v>
      </c>
      <c r="V178" s="32" t="n">
        <f>1955388260</f>
        <v>1.95538826E9</v>
      </c>
      <c r="W178" s="32" t="str">
        <f>"－"</f>
        <v>－</v>
      </c>
      <c r="X178" s="36" t="n">
        <f>22</f>
        <v>22.0</v>
      </c>
    </row>
    <row r="179">
      <c r="A179" s="27" t="s">
        <v>42</v>
      </c>
      <c r="B179" s="27" t="s">
        <v>583</v>
      </c>
      <c r="C179" s="27" t="s">
        <v>584</v>
      </c>
      <c r="D179" s="27" t="s">
        <v>585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163.7</f>
        <v>163.7</v>
      </c>
      <c r="L179" s="34" t="s">
        <v>48</v>
      </c>
      <c r="M179" s="33" t="n">
        <f>188.3</f>
        <v>188.3</v>
      </c>
      <c r="N179" s="34" t="s">
        <v>75</v>
      </c>
      <c r="O179" s="33" t="n">
        <f>154.6</f>
        <v>154.6</v>
      </c>
      <c r="P179" s="34" t="s">
        <v>50</v>
      </c>
      <c r="Q179" s="33" t="n">
        <f>186.5</f>
        <v>186.5</v>
      </c>
      <c r="R179" s="34" t="s">
        <v>51</v>
      </c>
      <c r="S179" s="35" t="n">
        <f>168.97</f>
        <v>168.97</v>
      </c>
      <c r="T179" s="32" t="n">
        <f>1694300</f>
        <v>1694300.0</v>
      </c>
      <c r="U179" s="32" t="str">
        <f>"－"</f>
        <v>－</v>
      </c>
      <c r="V179" s="32" t="n">
        <f>291605170</f>
        <v>2.9160517E8</v>
      </c>
      <c r="W179" s="32" t="str">
        <f>"－"</f>
        <v>－</v>
      </c>
      <c r="X179" s="36" t="n">
        <f>22</f>
        <v>22.0</v>
      </c>
    </row>
    <row r="180">
      <c r="A180" s="27" t="s">
        <v>42</v>
      </c>
      <c r="B180" s="27" t="s">
        <v>586</v>
      </c>
      <c r="C180" s="27" t="s">
        <v>587</v>
      </c>
      <c r="D180" s="27" t="s">
        <v>588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3981</f>
        <v>3981.0</v>
      </c>
      <c r="L180" s="34" t="s">
        <v>48</v>
      </c>
      <c r="M180" s="33" t="n">
        <f>4110</f>
        <v>4110.0</v>
      </c>
      <c r="N180" s="34" t="s">
        <v>348</v>
      </c>
      <c r="O180" s="33" t="n">
        <f>3682</f>
        <v>3682.0</v>
      </c>
      <c r="P180" s="34" t="s">
        <v>189</v>
      </c>
      <c r="Q180" s="33" t="n">
        <f>4036</f>
        <v>4036.0</v>
      </c>
      <c r="R180" s="34" t="s">
        <v>51</v>
      </c>
      <c r="S180" s="35" t="n">
        <f>3909.55</f>
        <v>3909.55</v>
      </c>
      <c r="T180" s="32" t="n">
        <f>23080</f>
        <v>23080.0</v>
      </c>
      <c r="U180" s="32" t="str">
        <f>"－"</f>
        <v>－</v>
      </c>
      <c r="V180" s="32" t="n">
        <f>90748230</f>
        <v>9.074823E7</v>
      </c>
      <c r="W180" s="32" t="str">
        <f>"－"</f>
        <v>－</v>
      </c>
      <c r="X180" s="36" t="n">
        <f>22</f>
        <v>22.0</v>
      </c>
    </row>
    <row r="181">
      <c r="A181" s="27" t="s">
        <v>42</v>
      </c>
      <c r="B181" s="27" t="s">
        <v>589</v>
      </c>
      <c r="C181" s="27" t="s">
        <v>590</v>
      </c>
      <c r="D181" s="27" t="s">
        <v>591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2026.5</f>
        <v>2026.5</v>
      </c>
      <c r="L181" s="34" t="s">
        <v>48</v>
      </c>
      <c r="M181" s="33" t="n">
        <f>2079.5</f>
        <v>2079.5</v>
      </c>
      <c r="N181" s="34" t="s">
        <v>175</v>
      </c>
      <c r="O181" s="33" t="n">
        <f>1982.5</f>
        <v>1982.5</v>
      </c>
      <c r="P181" s="34" t="s">
        <v>74</v>
      </c>
      <c r="Q181" s="33" t="n">
        <f>2049</f>
        <v>2049.0</v>
      </c>
      <c r="R181" s="34" t="s">
        <v>51</v>
      </c>
      <c r="S181" s="35" t="n">
        <f>2038</f>
        <v>2038.0</v>
      </c>
      <c r="T181" s="32" t="n">
        <f>319680</f>
        <v>319680.0</v>
      </c>
      <c r="U181" s="32" t="n">
        <f>295080</f>
        <v>295080.0</v>
      </c>
      <c r="V181" s="32" t="n">
        <f>655721910</f>
        <v>6.5572191E8</v>
      </c>
      <c r="W181" s="32" t="n">
        <f>605535845</f>
        <v>6.05535845E8</v>
      </c>
      <c r="X181" s="36" t="n">
        <f>22</f>
        <v>22.0</v>
      </c>
    </row>
    <row r="182">
      <c r="A182" s="27" t="s">
        <v>42</v>
      </c>
      <c r="B182" s="27" t="s">
        <v>592</v>
      </c>
      <c r="C182" s="27" t="s">
        <v>593</v>
      </c>
      <c r="D182" s="27" t="s">
        <v>594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372.5</f>
        <v>372.5</v>
      </c>
      <c r="L182" s="34" t="s">
        <v>48</v>
      </c>
      <c r="M182" s="33" t="n">
        <f>392.7</f>
        <v>392.7</v>
      </c>
      <c r="N182" s="34" t="s">
        <v>75</v>
      </c>
      <c r="O182" s="33" t="n">
        <f>340.1</f>
        <v>340.1</v>
      </c>
      <c r="P182" s="34" t="s">
        <v>103</v>
      </c>
      <c r="Q182" s="33" t="n">
        <f>379.1</f>
        <v>379.1</v>
      </c>
      <c r="R182" s="34" t="s">
        <v>51</v>
      </c>
      <c r="S182" s="35" t="n">
        <f>364.06</f>
        <v>364.06</v>
      </c>
      <c r="T182" s="32" t="n">
        <f>44230850</f>
        <v>4.423085E7</v>
      </c>
      <c r="U182" s="32" t="n">
        <f>105710</f>
        <v>105710.0</v>
      </c>
      <c r="V182" s="32" t="n">
        <f>16029463803</f>
        <v>1.6029463803E10</v>
      </c>
      <c r="W182" s="32" t="n">
        <f>37790599</f>
        <v>3.7790599E7</v>
      </c>
      <c r="X182" s="36" t="n">
        <f>22</f>
        <v>22.0</v>
      </c>
    </row>
    <row r="183">
      <c r="A183" s="27" t="s">
        <v>42</v>
      </c>
      <c r="B183" s="27" t="s">
        <v>595</v>
      </c>
      <c r="C183" s="27" t="s">
        <v>596</v>
      </c>
      <c r="D183" s="27" t="s">
        <v>597</v>
      </c>
      <c r="E183" s="28" t="s">
        <v>46</v>
      </c>
      <c r="F183" s="29" t="s">
        <v>46</v>
      </c>
      <c r="G183" s="30" t="s">
        <v>46</v>
      </c>
      <c r="H183" s="31"/>
      <c r="I183" s="31" t="s">
        <v>598</v>
      </c>
      <c r="J183" s="32" t="n">
        <v>1.0</v>
      </c>
      <c r="K183" s="33" t="n">
        <f>6451</f>
        <v>6451.0</v>
      </c>
      <c r="L183" s="34" t="s">
        <v>48</v>
      </c>
      <c r="M183" s="33" t="n">
        <f>6587</f>
        <v>6587.0</v>
      </c>
      <c r="N183" s="34" t="s">
        <v>103</v>
      </c>
      <c r="O183" s="33" t="n">
        <f>5955</f>
        <v>5955.0</v>
      </c>
      <c r="P183" s="34" t="s">
        <v>348</v>
      </c>
      <c r="Q183" s="33" t="n">
        <f>6444</f>
        <v>6444.0</v>
      </c>
      <c r="R183" s="34" t="s">
        <v>51</v>
      </c>
      <c r="S183" s="35" t="n">
        <f>6333.82</f>
        <v>6333.82</v>
      </c>
      <c r="T183" s="32" t="n">
        <f>44643</f>
        <v>44643.0</v>
      </c>
      <c r="U183" s="32" t="str">
        <f>"－"</f>
        <v>－</v>
      </c>
      <c r="V183" s="32" t="n">
        <f>280096848</f>
        <v>2.80096848E8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598</v>
      </c>
      <c r="J184" s="32" t="n">
        <v>1.0</v>
      </c>
      <c r="K184" s="33" t="n">
        <f>7998</f>
        <v>7998.0</v>
      </c>
      <c r="L184" s="34" t="s">
        <v>48</v>
      </c>
      <c r="M184" s="33" t="n">
        <f>8499</f>
        <v>8499.0</v>
      </c>
      <c r="N184" s="34" t="s">
        <v>64</v>
      </c>
      <c r="O184" s="33" t="n">
        <f>7711</f>
        <v>7711.0</v>
      </c>
      <c r="P184" s="34" t="s">
        <v>103</v>
      </c>
      <c r="Q184" s="33" t="n">
        <f>8201</f>
        <v>8201.0</v>
      </c>
      <c r="R184" s="34" t="s">
        <v>51</v>
      </c>
      <c r="S184" s="35" t="n">
        <f>8061.3</f>
        <v>8061.3</v>
      </c>
      <c r="T184" s="32" t="n">
        <f>3892</f>
        <v>3892.0</v>
      </c>
      <c r="U184" s="32" t="str">
        <f>"－"</f>
        <v>－</v>
      </c>
      <c r="V184" s="32" t="n">
        <f>31487921</f>
        <v>3.1487921E7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598</v>
      </c>
      <c r="J185" s="32" t="n">
        <v>1.0</v>
      </c>
      <c r="K185" s="33" t="n">
        <f>11415</f>
        <v>11415.0</v>
      </c>
      <c r="L185" s="34" t="s">
        <v>48</v>
      </c>
      <c r="M185" s="33" t="n">
        <f>12140</f>
        <v>12140.0</v>
      </c>
      <c r="N185" s="34" t="s">
        <v>49</v>
      </c>
      <c r="O185" s="33" t="n">
        <f>10710</f>
        <v>10710.0</v>
      </c>
      <c r="P185" s="34" t="s">
        <v>69</v>
      </c>
      <c r="Q185" s="33" t="n">
        <f>10935</f>
        <v>10935.0</v>
      </c>
      <c r="R185" s="34" t="s">
        <v>51</v>
      </c>
      <c r="S185" s="35" t="n">
        <f>11458.86</f>
        <v>11458.86</v>
      </c>
      <c r="T185" s="32" t="n">
        <f>597</f>
        <v>597.0</v>
      </c>
      <c r="U185" s="32" t="str">
        <f>"－"</f>
        <v>－</v>
      </c>
      <c r="V185" s="32" t="n">
        <f>6940195</f>
        <v>6940195.0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598</v>
      </c>
      <c r="J186" s="32" t="n">
        <v>1.0</v>
      </c>
      <c r="K186" s="33" t="n">
        <f>7800</f>
        <v>7800.0</v>
      </c>
      <c r="L186" s="34" t="s">
        <v>48</v>
      </c>
      <c r="M186" s="33" t="n">
        <f>8106</f>
        <v>8106.0</v>
      </c>
      <c r="N186" s="34" t="s">
        <v>69</v>
      </c>
      <c r="O186" s="33" t="n">
        <f>7553</f>
        <v>7553.0</v>
      </c>
      <c r="P186" s="34" t="s">
        <v>140</v>
      </c>
      <c r="Q186" s="33" t="n">
        <f>7951</f>
        <v>7951.0</v>
      </c>
      <c r="R186" s="34" t="s">
        <v>51</v>
      </c>
      <c r="S186" s="35" t="n">
        <f>7808.45</f>
        <v>7808.45</v>
      </c>
      <c r="T186" s="32" t="n">
        <f>14378</f>
        <v>14378.0</v>
      </c>
      <c r="U186" s="32" t="str">
        <f>"－"</f>
        <v>－</v>
      </c>
      <c r="V186" s="32" t="n">
        <f>112469008</f>
        <v>1.12469008E8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598</v>
      </c>
      <c r="J187" s="32" t="n">
        <v>1.0</v>
      </c>
      <c r="K187" s="33" t="n">
        <f>24400</f>
        <v>24400.0</v>
      </c>
      <c r="L187" s="34" t="s">
        <v>48</v>
      </c>
      <c r="M187" s="33" t="n">
        <f>25825</f>
        <v>25825.0</v>
      </c>
      <c r="N187" s="34" t="s">
        <v>99</v>
      </c>
      <c r="O187" s="33" t="n">
        <f>23715</f>
        <v>23715.0</v>
      </c>
      <c r="P187" s="34" t="s">
        <v>50</v>
      </c>
      <c r="Q187" s="33" t="n">
        <f>24730</f>
        <v>24730.0</v>
      </c>
      <c r="R187" s="34" t="s">
        <v>51</v>
      </c>
      <c r="S187" s="35" t="n">
        <f>24824.55</f>
        <v>24824.55</v>
      </c>
      <c r="T187" s="32" t="n">
        <f>28961</f>
        <v>28961.0</v>
      </c>
      <c r="U187" s="32" t="str">
        <f>"－"</f>
        <v>－</v>
      </c>
      <c r="V187" s="32" t="n">
        <f>722591625</f>
        <v>7.22591625E8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598</v>
      </c>
      <c r="J188" s="32" t="n">
        <v>1.0</v>
      </c>
      <c r="K188" s="33" t="n">
        <f>4535</f>
        <v>4535.0</v>
      </c>
      <c r="L188" s="34" t="s">
        <v>48</v>
      </c>
      <c r="M188" s="33" t="n">
        <f>4610</f>
        <v>4610.0</v>
      </c>
      <c r="N188" s="34" t="s">
        <v>50</v>
      </c>
      <c r="O188" s="33" t="n">
        <f>4415</f>
        <v>4415.0</v>
      </c>
      <c r="P188" s="34" t="s">
        <v>99</v>
      </c>
      <c r="Q188" s="33" t="n">
        <f>4470</f>
        <v>4470.0</v>
      </c>
      <c r="R188" s="34" t="s">
        <v>51</v>
      </c>
      <c r="S188" s="35" t="n">
        <f>4492.73</f>
        <v>4492.73</v>
      </c>
      <c r="T188" s="32" t="n">
        <f>5420</f>
        <v>5420.0</v>
      </c>
      <c r="U188" s="32" t="str">
        <f>"－"</f>
        <v>－</v>
      </c>
      <c r="V188" s="32" t="n">
        <f>24459275</f>
        <v>2.4459275E7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598</v>
      </c>
      <c r="J189" s="32" t="n">
        <v>1.0</v>
      </c>
      <c r="K189" s="33" t="n">
        <f>1640</f>
        <v>1640.0</v>
      </c>
      <c r="L189" s="34" t="s">
        <v>48</v>
      </c>
      <c r="M189" s="33" t="n">
        <f>1780</f>
        <v>1780.0</v>
      </c>
      <c r="N189" s="34" t="s">
        <v>75</v>
      </c>
      <c r="O189" s="33" t="n">
        <f>1385</f>
        <v>1385.0</v>
      </c>
      <c r="P189" s="34" t="s">
        <v>103</v>
      </c>
      <c r="Q189" s="33" t="n">
        <f>1665</f>
        <v>1665.0</v>
      </c>
      <c r="R189" s="34" t="s">
        <v>51</v>
      </c>
      <c r="S189" s="35" t="n">
        <f>1572.59</f>
        <v>1572.59</v>
      </c>
      <c r="T189" s="32" t="n">
        <f>59865685</f>
        <v>5.9865685E7</v>
      </c>
      <c r="U189" s="32" t="n">
        <f>300008</f>
        <v>300008.0</v>
      </c>
      <c r="V189" s="32" t="n">
        <f>93371807236</f>
        <v>9.3371807236E10</v>
      </c>
      <c r="W189" s="32" t="n">
        <f>540011848</f>
        <v>5.40011848E8</v>
      </c>
      <c r="X189" s="36" t="n">
        <f>22</f>
        <v>22.0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598</v>
      </c>
      <c r="J190" s="32" t="n">
        <v>1.0</v>
      </c>
      <c r="K190" s="33" t="n">
        <f>1428</f>
        <v>1428.0</v>
      </c>
      <c r="L190" s="34" t="s">
        <v>48</v>
      </c>
      <c r="M190" s="33" t="n">
        <f>1538</f>
        <v>1538.0</v>
      </c>
      <c r="N190" s="34" t="s">
        <v>103</v>
      </c>
      <c r="O190" s="33" t="n">
        <f>1358</f>
        <v>1358.0</v>
      </c>
      <c r="P190" s="34" t="s">
        <v>75</v>
      </c>
      <c r="Q190" s="33" t="n">
        <f>1395</f>
        <v>1395.0</v>
      </c>
      <c r="R190" s="34" t="s">
        <v>51</v>
      </c>
      <c r="S190" s="35" t="n">
        <f>1445.86</f>
        <v>1445.86</v>
      </c>
      <c r="T190" s="32" t="n">
        <f>3855791</f>
        <v>3855791.0</v>
      </c>
      <c r="U190" s="32" t="n">
        <f>1509</f>
        <v>1509.0</v>
      </c>
      <c r="V190" s="32" t="n">
        <f>5570712654</f>
        <v>5.570712654E9</v>
      </c>
      <c r="W190" s="32" t="n">
        <f>2131081</f>
        <v>2131081.0</v>
      </c>
      <c r="X190" s="36" t="n">
        <f>22</f>
        <v>22.0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598</v>
      </c>
      <c r="J191" s="32" t="n">
        <v>1.0</v>
      </c>
      <c r="K191" s="33" t="n">
        <f>25685</f>
        <v>25685.0</v>
      </c>
      <c r="L191" s="34" t="s">
        <v>48</v>
      </c>
      <c r="M191" s="33" t="n">
        <f>28000</f>
        <v>28000.0</v>
      </c>
      <c r="N191" s="34" t="s">
        <v>49</v>
      </c>
      <c r="O191" s="33" t="n">
        <f>24420</f>
        <v>24420.0</v>
      </c>
      <c r="P191" s="34" t="s">
        <v>51</v>
      </c>
      <c r="Q191" s="33" t="n">
        <f>24750</f>
        <v>24750.0</v>
      </c>
      <c r="R191" s="34" t="s">
        <v>51</v>
      </c>
      <c r="S191" s="35" t="n">
        <f>26230.91</f>
        <v>26230.91</v>
      </c>
      <c r="T191" s="32" t="n">
        <f>122695</f>
        <v>122695.0</v>
      </c>
      <c r="U191" s="32" t="n">
        <f>3</f>
        <v>3.0</v>
      </c>
      <c r="V191" s="32" t="n">
        <f>3224925300</f>
        <v>3.2249253E9</v>
      </c>
      <c r="W191" s="32" t="n">
        <f>82620</f>
        <v>82620.0</v>
      </c>
      <c r="X191" s="36" t="n">
        <f>22</f>
        <v>22.0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598</v>
      </c>
      <c r="J192" s="32" t="n">
        <v>1.0</v>
      </c>
      <c r="K192" s="33" t="n">
        <f>3040</f>
        <v>3040.0</v>
      </c>
      <c r="L192" s="34" t="s">
        <v>48</v>
      </c>
      <c r="M192" s="33" t="n">
        <f>3130</f>
        <v>3130.0</v>
      </c>
      <c r="N192" s="34" t="s">
        <v>69</v>
      </c>
      <c r="O192" s="33" t="n">
        <f>2908</f>
        <v>2908.0</v>
      </c>
      <c r="P192" s="34" t="s">
        <v>68</v>
      </c>
      <c r="Q192" s="33" t="n">
        <f>3065</f>
        <v>3065.0</v>
      </c>
      <c r="R192" s="34" t="s">
        <v>51</v>
      </c>
      <c r="S192" s="35" t="n">
        <f>3000.45</f>
        <v>3000.45</v>
      </c>
      <c r="T192" s="32" t="n">
        <f>559496</f>
        <v>559496.0</v>
      </c>
      <c r="U192" s="32" t="n">
        <f>4</f>
        <v>4.0</v>
      </c>
      <c r="V192" s="32" t="n">
        <f>1687085927</f>
        <v>1.687085927E9</v>
      </c>
      <c r="W192" s="32" t="n">
        <f>11985</f>
        <v>11985.0</v>
      </c>
      <c r="X192" s="36" t="n">
        <f>22</f>
        <v>22.0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598</v>
      </c>
      <c r="J193" s="32" t="n">
        <v>1.0</v>
      </c>
      <c r="K193" s="33" t="n">
        <f>7654</f>
        <v>7654.0</v>
      </c>
      <c r="L193" s="34" t="s">
        <v>48</v>
      </c>
      <c r="M193" s="33" t="n">
        <f>8144</f>
        <v>8144.0</v>
      </c>
      <c r="N193" s="34" t="s">
        <v>49</v>
      </c>
      <c r="O193" s="33" t="n">
        <f>7536</f>
        <v>7536.0</v>
      </c>
      <c r="P193" s="34" t="s">
        <v>99</v>
      </c>
      <c r="Q193" s="33" t="n">
        <f>7885</f>
        <v>7885.0</v>
      </c>
      <c r="R193" s="34" t="s">
        <v>51</v>
      </c>
      <c r="S193" s="35" t="n">
        <f>7826.73</f>
        <v>7826.73</v>
      </c>
      <c r="T193" s="32" t="n">
        <f>54778</f>
        <v>54778.0</v>
      </c>
      <c r="U193" s="32" t="n">
        <f>6007</f>
        <v>6007.0</v>
      </c>
      <c r="V193" s="32" t="n">
        <f>429757044</f>
        <v>4.29757044E8</v>
      </c>
      <c r="W193" s="32" t="n">
        <f>46971702</f>
        <v>4.6971702E7</v>
      </c>
      <c r="X193" s="36" t="n">
        <f>22</f>
        <v>22.0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598</v>
      </c>
      <c r="J194" s="32" t="n">
        <v>1.0</v>
      </c>
      <c r="K194" s="33" t="n">
        <f>15085</f>
        <v>15085.0</v>
      </c>
      <c r="L194" s="34" t="s">
        <v>48</v>
      </c>
      <c r="M194" s="33" t="n">
        <f>16555</f>
        <v>16555.0</v>
      </c>
      <c r="N194" s="34" t="s">
        <v>75</v>
      </c>
      <c r="O194" s="33" t="n">
        <f>15085</f>
        <v>15085.0</v>
      </c>
      <c r="P194" s="34" t="s">
        <v>48</v>
      </c>
      <c r="Q194" s="33" t="n">
        <f>16510</f>
        <v>16510.0</v>
      </c>
      <c r="R194" s="34" t="s">
        <v>51</v>
      </c>
      <c r="S194" s="35" t="n">
        <f>16065.33</f>
        <v>16065.33</v>
      </c>
      <c r="T194" s="32" t="n">
        <f>153</f>
        <v>153.0</v>
      </c>
      <c r="U194" s="32" t="str">
        <f>"－"</f>
        <v>－</v>
      </c>
      <c r="V194" s="32" t="n">
        <f>2460280</f>
        <v>2460280.0</v>
      </c>
      <c r="W194" s="32" t="str">
        <f>"－"</f>
        <v>－</v>
      </c>
      <c r="X194" s="36" t="n">
        <f>15</f>
        <v>15.0</v>
      </c>
    </row>
    <row r="195">
      <c r="A195" s="27" t="s">
        <v>42</v>
      </c>
      <c r="B195" s="27" t="s">
        <v>632</v>
      </c>
      <c r="C195" s="27" t="s">
        <v>633</v>
      </c>
      <c r="D195" s="27" t="s">
        <v>634</v>
      </c>
      <c r="E195" s="28" t="s">
        <v>46</v>
      </c>
      <c r="F195" s="29" t="s">
        <v>46</v>
      </c>
      <c r="G195" s="30" t="s">
        <v>46</v>
      </c>
      <c r="H195" s="31"/>
      <c r="I195" s="31" t="s">
        <v>598</v>
      </c>
      <c r="J195" s="32" t="n">
        <v>1.0</v>
      </c>
      <c r="K195" s="33" t="n">
        <f>22790</f>
        <v>22790.0</v>
      </c>
      <c r="L195" s="34" t="s">
        <v>48</v>
      </c>
      <c r="M195" s="33" t="n">
        <f>23995</f>
        <v>23995.0</v>
      </c>
      <c r="N195" s="34" t="s">
        <v>182</v>
      </c>
      <c r="O195" s="33" t="n">
        <f>22075</f>
        <v>22075.0</v>
      </c>
      <c r="P195" s="34" t="s">
        <v>50</v>
      </c>
      <c r="Q195" s="33" t="n">
        <f>23275</f>
        <v>23275.0</v>
      </c>
      <c r="R195" s="34" t="s">
        <v>51</v>
      </c>
      <c r="S195" s="35" t="n">
        <f>23274.55</f>
        <v>23274.55</v>
      </c>
      <c r="T195" s="32" t="n">
        <f>32937</f>
        <v>32937.0</v>
      </c>
      <c r="U195" s="32" t="n">
        <f>5</f>
        <v>5.0</v>
      </c>
      <c r="V195" s="32" t="n">
        <f>768744140</f>
        <v>7.6874414E8</v>
      </c>
      <c r="W195" s="32" t="n">
        <f>117085</f>
        <v>117085.0</v>
      </c>
      <c r="X195" s="36" t="n">
        <f>22</f>
        <v>22.0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598</v>
      </c>
      <c r="J196" s="32" t="n">
        <v>1.0</v>
      </c>
      <c r="K196" s="33" t="n">
        <f>15975</f>
        <v>15975.0</v>
      </c>
      <c r="L196" s="34" t="s">
        <v>48</v>
      </c>
      <c r="M196" s="33" t="n">
        <f>16745</f>
        <v>16745.0</v>
      </c>
      <c r="N196" s="34" t="s">
        <v>638</v>
      </c>
      <c r="O196" s="33" t="n">
        <f>15960</f>
        <v>15960.0</v>
      </c>
      <c r="P196" s="34" t="s">
        <v>74</v>
      </c>
      <c r="Q196" s="33" t="n">
        <f>16245</f>
        <v>16245.0</v>
      </c>
      <c r="R196" s="34" t="s">
        <v>51</v>
      </c>
      <c r="S196" s="35" t="n">
        <f>16264.52</f>
        <v>16264.52</v>
      </c>
      <c r="T196" s="32" t="n">
        <f>968</f>
        <v>968.0</v>
      </c>
      <c r="U196" s="32" t="str">
        <f>"－"</f>
        <v>－</v>
      </c>
      <c r="V196" s="32" t="n">
        <f>15762200</f>
        <v>1.57622E7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639</v>
      </c>
      <c r="C197" s="27" t="s">
        <v>640</v>
      </c>
      <c r="D197" s="27" t="s">
        <v>641</v>
      </c>
      <c r="E197" s="28" t="s">
        <v>46</v>
      </c>
      <c r="F197" s="29" t="s">
        <v>46</v>
      </c>
      <c r="G197" s="30" t="s">
        <v>46</v>
      </c>
      <c r="H197" s="31"/>
      <c r="I197" s="31" t="s">
        <v>598</v>
      </c>
      <c r="J197" s="32" t="n">
        <v>1.0</v>
      </c>
      <c r="K197" s="33" t="n">
        <f>17950</f>
        <v>17950.0</v>
      </c>
      <c r="L197" s="34" t="s">
        <v>48</v>
      </c>
      <c r="M197" s="33" t="n">
        <f>19930</f>
        <v>19930.0</v>
      </c>
      <c r="N197" s="34" t="s">
        <v>182</v>
      </c>
      <c r="O197" s="33" t="n">
        <f>17850</f>
        <v>17850.0</v>
      </c>
      <c r="P197" s="34" t="s">
        <v>50</v>
      </c>
      <c r="Q197" s="33" t="n">
        <f>19150</f>
        <v>19150.0</v>
      </c>
      <c r="R197" s="34" t="s">
        <v>51</v>
      </c>
      <c r="S197" s="35" t="n">
        <f>18926.36</f>
        <v>18926.36</v>
      </c>
      <c r="T197" s="32" t="n">
        <f>37367</f>
        <v>37367.0</v>
      </c>
      <c r="U197" s="32" t="n">
        <f>4</f>
        <v>4.0</v>
      </c>
      <c r="V197" s="32" t="n">
        <f>706558120</f>
        <v>7.0655812E8</v>
      </c>
      <c r="W197" s="32" t="n">
        <f>78600</f>
        <v>78600.0</v>
      </c>
      <c r="X197" s="36" t="n">
        <f>22</f>
        <v>22.0</v>
      </c>
    </row>
    <row r="198">
      <c r="A198" s="27" t="s">
        <v>42</v>
      </c>
      <c r="B198" s="27" t="s">
        <v>642</v>
      </c>
      <c r="C198" s="27" t="s">
        <v>643</v>
      </c>
      <c r="D198" s="27" t="s">
        <v>644</v>
      </c>
      <c r="E198" s="28" t="s">
        <v>46</v>
      </c>
      <c r="F198" s="29" t="s">
        <v>46</v>
      </c>
      <c r="G198" s="30" t="s">
        <v>46</v>
      </c>
      <c r="H198" s="31"/>
      <c r="I198" s="31" t="s">
        <v>598</v>
      </c>
      <c r="J198" s="32" t="n">
        <v>1.0</v>
      </c>
      <c r="K198" s="33" t="n">
        <f>4390</f>
        <v>4390.0</v>
      </c>
      <c r="L198" s="34" t="s">
        <v>48</v>
      </c>
      <c r="M198" s="33" t="n">
        <f>4605</f>
        <v>4605.0</v>
      </c>
      <c r="N198" s="34" t="s">
        <v>69</v>
      </c>
      <c r="O198" s="33" t="n">
        <f>4260</f>
        <v>4260.0</v>
      </c>
      <c r="P198" s="34" t="s">
        <v>182</v>
      </c>
      <c r="Q198" s="33" t="n">
        <f>4530</f>
        <v>4530.0</v>
      </c>
      <c r="R198" s="34" t="s">
        <v>51</v>
      </c>
      <c r="S198" s="35" t="n">
        <f>4405.91</f>
        <v>4405.91</v>
      </c>
      <c r="T198" s="32" t="n">
        <f>8949</f>
        <v>8949.0</v>
      </c>
      <c r="U198" s="32" t="str">
        <f>"－"</f>
        <v>－</v>
      </c>
      <c r="V198" s="32" t="n">
        <f>39455625</f>
        <v>3.9455625E7</v>
      </c>
      <c r="W198" s="32" t="str">
        <f>"－"</f>
        <v>－</v>
      </c>
      <c r="X198" s="36" t="n">
        <f>22</f>
        <v>22.0</v>
      </c>
    </row>
    <row r="199">
      <c r="A199" s="27" t="s">
        <v>42</v>
      </c>
      <c r="B199" s="27" t="s">
        <v>645</v>
      </c>
      <c r="C199" s="27" t="s">
        <v>646</v>
      </c>
      <c r="D199" s="27" t="s">
        <v>647</v>
      </c>
      <c r="E199" s="28" t="s">
        <v>46</v>
      </c>
      <c r="F199" s="29" t="s">
        <v>46</v>
      </c>
      <c r="G199" s="30" t="s">
        <v>46</v>
      </c>
      <c r="H199" s="31"/>
      <c r="I199" s="31" t="s">
        <v>598</v>
      </c>
      <c r="J199" s="32" t="n">
        <v>1.0</v>
      </c>
      <c r="K199" s="33" t="n">
        <f>14815</f>
        <v>14815.0</v>
      </c>
      <c r="L199" s="34" t="s">
        <v>48</v>
      </c>
      <c r="M199" s="33" t="n">
        <f>15655</f>
        <v>15655.0</v>
      </c>
      <c r="N199" s="34" t="s">
        <v>51</v>
      </c>
      <c r="O199" s="33" t="n">
        <f>14440</f>
        <v>14440.0</v>
      </c>
      <c r="P199" s="34" t="s">
        <v>103</v>
      </c>
      <c r="Q199" s="33" t="n">
        <f>15550</f>
        <v>15550.0</v>
      </c>
      <c r="R199" s="34" t="s">
        <v>51</v>
      </c>
      <c r="S199" s="35" t="n">
        <f>15054.25</f>
        <v>15054.25</v>
      </c>
      <c r="T199" s="32" t="n">
        <f>1631</f>
        <v>1631.0</v>
      </c>
      <c r="U199" s="32" t="str">
        <f>"－"</f>
        <v>－</v>
      </c>
      <c r="V199" s="32" t="n">
        <f>24635500</f>
        <v>2.46355E7</v>
      </c>
      <c r="W199" s="32" t="str">
        <f>"－"</f>
        <v>－</v>
      </c>
      <c r="X199" s="36" t="n">
        <f>20</f>
        <v>20.0</v>
      </c>
    </row>
    <row r="200">
      <c r="A200" s="27" t="s">
        <v>42</v>
      </c>
      <c r="B200" s="27" t="s">
        <v>648</v>
      </c>
      <c r="C200" s="27" t="s">
        <v>649</v>
      </c>
      <c r="D200" s="27" t="s">
        <v>650</v>
      </c>
      <c r="E200" s="28" t="s">
        <v>46</v>
      </c>
      <c r="F200" s="29" t="s">
        <v>46</v>
      </c>
      <c r="G200" s="30" t="s">
        <v>46</v>
      </c>
      <c r="H200" s="31"/>
      <c r="I200" s="31" t="s">
        <v>598</v>
      </c>
      <c r="J200" s="32" t="n">
        <v>1.0</v>
      </c>
      <c r="K200" s="33" t="n">
        <f>12635</f>
        <v>12635.0</v>
      </c>
      <c r="L200" s="34" t="s">
        <v>74</v>
      </c>
      <c r="M200" s="33" t="n">
        <f>13050</f>
        <v>13050.0</v>
      </c>
      <c r="N200" s="34" t="s">
        <v>638</v>
      </c>
      <c r="O200" s="33" t="n">
        <f>12635</f>
        <v>12635.0</v>
      </c>
      <c r="P200" s="34" t="s">
        <v>74</v>
      </c>
      <c r="Q200" s="33" t="n">
        <f>13050</f>
        <v>13050.0</v>
      </c>
      <c r="R200" s="34" t="s">
        <v>638</v>
      </c>
      <c r="S200" s="35" t="n">
        <f>12779</f>
        <v>12779.0</v>
      </c>
      <c r="T200" s="32" t="n">
        <f>80</f>
        <v>80.0</v>
      </c>
      <c r="U200" s="32" t="str">
        <f>"－"</f>
        <v>－</v>
      </c>
      <c r="V200" s="32" t="n">
        <f>1021915</f>
        <v>1021915.0</v>
      </c>
      <c r="W200" s="32" t="str">
        <f>"－"</f>
        <v>－</v>
      </c>
      <c r="X200" s="36" t="n">
        <f>5</f>
        <v>5.0</v>
      </c>
    </row>
    <row r="201">
      <c r="A201" s="27" t="s">
        <v>42</v>
      </c>
      <c r="B201" s="27" t="s">
        <v>651</v>
      </c>
      <c r="C201" s="27" t="s">
        <v>652</v>
      </c>
      <c r="D201" s="27" t="s">
        <v>653</v>
      </c>
      <c r="E201" s="28" t="s">
        <v>46</v>
      </c>
      <c r="F201" s="29" t="s">
        <v>46</v>
      </c>
      <c r="G201" s="30" t="s">
        <v>46</v>
      </c>
      <c r="H201" s="31"/>
      <c r="I201" s="31" t="s">
        <v>598</v>
      </c>
      <c r="J201" s="32" t="n">
        <v>1.0</v>
      </c>
      <c r="K201" s="33" t="n">
        <f>17005</f>
        <v>17005.0</v>
      </c>
      <c r="L201" s="34" t="s">
        <v>48</v>
      </c>
      <c r="M201" s="33" t="n">
        <f>18165</f>
        <v>18165.0</v>
      </c>
      <c r="N201" s="34" t="s">
        <v>75</v>
      </c>
      <c r="O201" s="33" t="n">
        <f>16900</f>
        <v>16900.0</v>
      </c>
      <c r="P201" s="34" t="s">
        <v>103</v>
      </c>
      <c r="Q201" s="33" t="n">
        <f>18065</f>
        <v>18065.0</v>
      </c>
      <c r="R201" s="34" t="s">
        <v>51</v>
      </c>
      <c r="S201" s="35" t="n">
        <f>17435.31</f>
        <v>17435.31</v>
      </c>
      <c r="T201" s="32" t="n">
        <f>314</f>
        <v>314.0</v>
      </c>
      <c r="U201" s="32" t="str">
        <f>"－"</f>
        <v>－</v>
      </c>
      <c r="V201" s="32" t="n">
        <f>5517100</f>
        <v>5517100.0</v>
      </c>
      <c r="W201" s="32" t="str">
        <f>"－"</f>
        <v>－</v>
      </c>
      <c r="X201" s="36" t="n">
        <f>16</f>
        <v>16.0</v>
      </c>
    </row>
    <row r="202">
      <c r="A202" s="27" t="s">
        <v>42</v>
      </c>
      <c r="B202" s="27" t="s">
        <v>654</v>
      </c>
      <c r="C202" s="27" t="s">
        <v>655</v>
      </c>
      <c r="D202" s="27" t="s">
        <v>656</v>
      </c>
      <c r="E202" s="28" t="s">
        <v>46</v>
      </c>
      <c r="F202" s="29" t="s">
        <v>46</v>
      </c>
      <c r="G202" s="30" t="s">
        <v>46</v>
      </c>
      <c r="H202" s="31"/>
      <c r="I202" s="31" t="s">
        <v>598</v>
      </c>
      <c r="J202" s="32" t="n">
        <v>1.0</v>
      </c>
      <c r="K202" s="33" t="n">
        <f>17105</f>
        <v>17105.0</v>
      </c>
      <c r="L202" s="34" t="s">
        <v>73</v>
      </c>
      <c r="M202" s="33" t="n">
        <f>17650</f>
        <v>17650.0</v>
      </c>
      <c r="N202" s="34" t="s">
        <v>51</v>
      </c>
      <c r="O202" s="33" t="n">
        <f>16655</f>
        <v>16655.0</v>
      </c>
      <c r="P202" s="34" t="s">
        <v>68</v>
      </c>
      <c r="Q202" s="33" t="n">
        <f>17650</f>
        <v>17650.0</v>
      </c>
      <c r="R202" s="34" t="s">
        <v>51</v>
      </c>
      <c r="S202" s="35" t="n">
        <f>17133.33</f>
        <v>17133.33</v>
      </c>
      <c r="T202" s="32" t="n">
        <f>2803</f>
        <v>2803.0</v>
      </c>
      <c r="U202" s="32" t="str">
        <f>"－"</f>
        <v>－</v>
      </c>
      <c r="V202" s="32" t="n">
        <f>48523005</f>
        <v>4.8523005E7</v>
      </c>
      <c r="W202" s="32" t="str">
        <f>"－"</f>
        <v>－</v>
      </c>
      <c r="X202" s="36" t="n">
        <f>6</f>
        <v>6.0</v>
      </c>
    </row>
    <row r="203">
      <c r="A203" s="27" t="s">
        <v>42</v>
      </c>
      <c r="B203" s="27" t="s">
        <v>657</v>
      </c>
      <c r="C203" s="27" t="s">
        <v>658</v>
      </c>
      <c r="D203" s="27" t="s">
        <v>659</v>
      </c>
      <c r="E203" s="28" t="s">
        <v>46</v>
      </c>
      <c r="F203" s="29" t="s">
        <v>46</v>
      </c>
      <c r="G203" s="30" t="s">
        <v>46</v>
      </c>
      <c r="H203" s="31"/>
      <c r="I203" s="31" t="s">
        <v>598</v>
      </c>
      <c r="J203" s="32" t="n">
        <v>1.0</v>
      </c>
      <c r="K203" s="33" t="n">
        <f>13100</f>
        <v>13100.0</v>
      </c>
      <c r="L203" s="34" t="s">
        <v>48</v>
      </c>
      <c r="M203" s="33" t="n">
        <f>13430</f>
        <v>13430.0</v>
      </c>
      <c r="N203" s="34" t="s">
        <v>175</v>
      </c>
      <c r="O203" s="33" t="n">
        <f>13030</f>
        <v>13030.0</v>
      </c>
      <c r="P203" s="34" t="s">
        <v>103</v>
      </c>
      <c r="Q203" s="33" t="n">
        <f>13125</f>
        <v>13125.0</v>
      </c>
      <c r="R203" s="34" t="s">
        <v>69</v>
      </c>
      <c r="S203" s="35" t="n">
        <f>13264.17</f>
        <v>13264.17</v>
      </c>
      <c r="T203" s="32" t="n">
        <f>1992</f>
        <v>1992.0</v>
      </c>
      <c r="U203" s="32" t="str">
        <f>"－"</f>
        <v>－</v>
      </c>
      <c r="V203" s="32" t="n">
        <f>26633715</f>
        <v>2.6633715E7</v>
      </c>
      <c r="W203" s="32" t="str">
        <f>"－"</f>
        <v>－</v>
      </c>
      <c r="X203" s="36" t="n">
        <f>12</f>
        <v>12.0</v>
      </c>
    </row>
    <row r="204">
      <c r="A204" s="27" t="s">
        <v>42</v>
      </c>
      <c r="B204" s="27" t="s">
        <v>660</v>
      </c>
      <c r="C204" s="27" t="s">
        <v>661</v>
      </c>
      <c r="D204" s="27" t="s">
        <v>662</v>
      </c>
      <c r="E204" s="28" t="s">
        <v>46</v>
      </c>
      <c r="F204" s="29" t="s">
        <v>46</v>
      </c>
      <c r="G204" s="30" t="s">
        <v>46</v>
      </c>
      <c r="H204" s="31"/>
      <c r="I204" s="31" t="s">
        <v>598</v>
      </c>
      <c r="J204" s="32" t="n">
        <v>1.0</v>
      </c>
      <c r="K204" s="33" t="n">
        <f>15240</f>
        <v>15240.0</v>
      </c>
      <c r="L204" s="34" t="s">
        <v>348</v>
      </c>
      <c r="M204" s="33" t="n">
        <f>15300</f>
        <v>15300.0</v>
      </c>
      <c r="N204" s="34" t="s">
        <v>348</v>
      </c>
      <c r="O204" s="33" t="n">
        <f>15240</f>
        <v>15240.0</v>
      </c>
      <c r="P204" s="34" t="s">
        <v>348</v>
      </c>
      <c r="Q204" s="33" t="n">
        <f>15300</f>
        <v>15300.0</v>
      </c>
      <c r="R204" s="34" t="s">
        <v>348</v>
      </c>
      <c r="S204" s="35" t="n">
        <f>15300</f>
        <v>15300.0</v>
      </c>
      <c r="T204" s="32" t="n">
        <f>99</f>
        <v>99.0</v>
      </c>
      <c r="U204" s="32" t="str">
        <f>"－"</f>
        <v>－</v>
      </c>
      <c r="V204" s="32" t="n">
        <f>1514160</f>
        <v>1514160.0</v>
      </c>
      <c r="W204" s="32" t="str">
        <f>"－"</f>
        <v>－</v>
      </c>
      <c r="X204" s="36" t="n">
        <f>1</f>
        <v>1.0</v>
      </c>
    </row>
    <row r="205">
      <c r="A205" s="27" t="s">
        <v>42</v>
      </c>
      <c r="B205" s="27" t="s">
        <v>663</v>
      </c>
      <c r="C205" s="27" t="s">
        <v>664</v>
      </c>
      <c r="D205" s="27" t="s">
        <v>665</v>
      </c>
      <c r="E205" s="28" t="s">
        <v>46</v>
      </c>
      <c r="F205" s="29" t="s">
        <v>46</v>
      </c>
      <c r="G205" s="30" t="s">
        <v>46</v>
      </c>
      <c r="H205" s="31"/>
      <c r="I205" s="31" t="s">
        <v>598</v>
      </c>
      <c r="J205" s="32" t="n">
        <v>1.0</v>
      </c>
      <c r="K205" s="33" t="str">
        <f>"－"</f>
        <v>－</v>
      </c>
      <c r="L205" s="34"/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5" t="str">
        <f>"－"</f>
        <v>－</v>
      </c>
      <c r="T205" s="32" t="str">
        <f>"－"</f>
        <v>－</v>
      </c>
      <c r="U205" s="32" t="str">
        <f>"－"</f>
        <v>－</v>
      </c>
      <c r="V205" s="32" t="str">
        <f>"－"</f>
        <v>－</v>
      </c>
      <c r="W205" s="32" t="str">
        <f>"－"</f>
        <v>－</v>
      </c>
      <c r="X205" s="36" t="str">
        <f>"－"</f>
        <v>－</v>
      </c>
    </row>
    <row r="206">
      <c r="A206" s="27" t="s">
        <v>42</v>
      </c>
      <c r="B206" s="27" t="s">
        <v>666</v>
      </c>
      <c r="C206" s="27" t="s">
        <v>667</v>
      </c>
      <c r="D206" s="27" t="s">
        <v>668</v>
      </c>
      <c r="E206" s="28" t="s">
        <v>46</v>
      </c>
      <c r="F206" s="29" t="s">
        <v>46</v>
      </c>
      <c r="G206" s="30" t="s">
        <v>46</v>
      </c>
      <c r="H206" s="31"/>
      <c r="I206" s="31" t="s">
        <v>598</v>
      </c>
      <c r="J206" s="32" t="n">
        <v>1.0</v>
      </c>
      <c r="K206" s="33" t="n">
        <f>9604</f>
        <v>9604.0</v>
      </c>
      <c r="L206" s="34" t="s">
        <v>50</v>
      </c>
      <c r="M206" s="33" t="n">
        <f>9782</f>
        <v>9782.0</v>
      </c>
      <c r="N206" s="34" t="s">
        <v>68</v>
      </c>
      <c r="O206" s="33" t="n">
        <f>9498</f>
        <v>9498.0</v>
      </c>
      <c r="P206" s="34" t="s">
        <v>189</v>
      </c>
      <c r="Q206" s="33" t="n">
        <f>9618</f>
        <v>9618.0</v>
      </c>
      <c r="R206" s="34" t="s">
        <v>51</v>
      </c>
      <c r="S206" s="35" t="n">
        <f>9650.9</f>
        <v>9650.9</v>
      </c>
      <c r="T206" s="32" t="n">
        <f>659</f>
        <v>659.0</v>
      </c>
      <c r="U206" s="32" t="str">
        <f>"－"</f>
        <v>－</v>
      </c>
      <c r="V206" s="32" t="n">
        <f>6313931</f>
        <v>6313931.0</v>
      </c>
      <c r="W206" s="32" t="str">
        <f>"－"</f>
        <v>－</v>
      </c>
      <c r="X206" s="36" t="n">
        <f>10</f>
        <v>10.0</v>
      </c>
    </row>
    <row r="207">
      <c r="A207" s="27" t="s">
        <v>42</v>
      </c>
      <c r="B207" s="27" t="s">
        <v>669</v>
      </c>
      <c r="C207" s="27" t="s">
        <v>670</v>
      </c>
      <c r="D207" s="27" t="s">
        <v>671</v>
      </c>
      <c r="E207" s="28" t="s">
        <v>46</v>
      </c>
      <c r="F207" s="29" t="s">
        <v>46</v>
      </c>
      <c r="G207" s="30" t="s">
        <v>46</v>
      </c>
      <c r="H207" s="31"/>
      <c r="I207" s="31" t="s">
        <v>598</v>
      </c>
      <c r="J207" s="32" t="n">
        <v>1.0</v>
      </c>
      <c r="K207" s="33" t="n">
        <f>10315</f>
        <v>10315.0</v>
      </c>
      <c r="L207" s="34" t="s">
        <v>48</v>
      </c>
      <c r="M207" s="33" t="n">
        <f>10625</f>
        <v>10625.0</v>
      </c>
      <c r="N207" s="34" t="s">
        <v>49</v>
      </c>
      <c r="O207" s="33" t="n">
        <f>10040</f>
        <v>10040.0</v>
      </c>
      <c r="P207" s="34" t="s">
        <v>69</v>
      </c>
      <c r="Q207" s="33" t="n">
        <f>10090</f>
        <v>10090.0</v>
      </c>
      <c r="R207" s="34" t="s">
        <v>51</v>
      </c>
      <c r="S207" s="35" t="n">
        <f>10373</f>
        <v>10373.0</v>
      </c>
      <c r="T207" s="32" t="n">
        <f>23997</f>
        <v>23997.0</v>
      </c>
      <c r="U207" s="32" t="str">
        <f>"－"</f>
        <v>－</v>
      </c>
      <c r="V207" s="32" t="n">
        <f>249644210</f>
        <v>2.4964421E8</v>
      </c>
      <c r="W207" s="32" t="str">
        <f>"－"</f>
        <v>－</v>
      </c>
      <c r="X207" s="36" t="n">
        <f>20</f>
        <v>20.0</v>
      </c>
    </row>
    <row r="208">
      <c r="A208" s="27" t="s">
        <v>42</v>
      </c>
      <c r="B208" s="27" t="s">
        <v>672</v>
      </c>
      <c r="C208" s="27" t="s">
        <v>673</v>
      </c>
      <c r="D208" s="27" t="s">
        <v>674</v>
      </c>
      <c r="E208" s="28" t="s">
        <v>46</v>
      </c>
      <c r="F208" s="29" t="s">
        <v>46</v>
      </c>
      <c r="G208" s="30" t="s">
        <v>46</v>
      </c>
      <c r="H208" s="31"/>
      <c r="I208" s="31" t="s">
        <v>598</v>
      </c>
      <c r="J208" s="32" t="n">
        <v>1.0</v>
      </c>
      <c r="K208" s="33" t="n">
        <f>9522</f>
        <v>9522.0</v>
      </c>
      <c r="L208" s="34" t="s">
        <v>48</v>
      </c>
      <c r="M208" s="33" t="n">
        <f>9916</f>
        <v>9916.0</v>
      </c>
      <c r="N208" s="34" t="s">
        <v>182</v>
      </c>
      <c r="O208" s="33" t="n">
        <f>9422</f>
        <v>9422.0</v>
      </c>
      <c r="P208" s="34" t="s">
        <v>79</v>
      </c>
      <c r="Q208" s="33" t="n">
        <f>9697</f>
        <v>9697.0</v>
      </c>
      <c r="R208" s="34" t="s">
        <v>51</v>
      </c>
      <c r="S208" s="35" t="n">
        <f>9685.5</f>
        <v>9685.5</v>
      </c>
      <c r="T208" s="32" t="n">
        <f>5403</f>
        <v>5403.0</v>
      </c>
      <c r="U208" s="32" t="str">
        <f>"－"</f>
        <v>－</v>
      </c>
      <c r="V208" s="32" t="n">
        <f>52434782</f>
        <v>5.2434782E7</v>
      </c>
      <c r="W208" s="32" t="str">
        <f>"－"</f>
        <v>－</v>
      </c>
      <c r="X208" s="36" t="n">
        <f>12</f>
        <v>12.0</v>
      </c>
    </row>
    <row r="209">
      <c r="A209" s="27" t="s">
        <v>42</v>
      </c>
      <c r="B209" s="27" t="s">
        <v>675</v>
      </c>
      <c r="C209" s="27" t="s">
        <v>676</v>
      </c>
      <c r="D209" s="27" t="s">
        <v>677</v>
      </c>
      <c r="E209" s="28" t="s">
        <v>46</v>
      </c>
      <c r="F209" s="29" t="s">
        <v>46</v>
      </c>
      <c r="G209" s="30" t="s">
        <v>46</v>
      </c>
      <c r="H209" s="31"/>
      <c r="I209" s="31" t="s">
        <v>598</v>
      </c>
      <c r="J209" s="32" t="n">
        <v>1.0</v>
      </c>
      <c r="K209" s="33" t="n">
        <f>10505</f>
        <v>10505.0</v>
      </c>
      <c r="L209" s="34" t="s">
        <v>140</v>
      </c>
      <c r="M209" s="33" t="n">
        <f>10520</f>
        <v>10520.0</v>
      </c>
      <c r="N209" s="34" t="s">
        <v>89</v>
      </c>
      <c r="O209" s="33" t="n">
        <f>10115</f>
        <v>10115.0</v>
      </c>
      <c r="P209" s="34" t="s">
        <v>51</v>
      </c>
      <c r="Q209" s="33" t="n">
        <f>10210</f>
        <v>10210.0</v>
      </c>
      <c r="R209" s="34" t="s">
        <v>51</v>
      </c>
      <c r="S209" s="35" t="n">
        <f>10370.83</f>
        <v>10370.83</v>
      </c>
      <c r="T209" s="32" t="n">
        <f>1631</f>
        <v>1631.0</v>
      </c>
      <c r="U209" s="32" t="str">
        <f>"－"</f>
        <v>－</v>
      </c>
      <c r="V209" s="32" t="n">
        <f>16809865</f>
        <v>1.6809865E7</v>
      </c>
      <c r="W209" s="32" t="str">
        <f>"－"</f>
        <v>－</v>
      </c>
      <c r="X209" s="36" t="n">
        <f>6</f>
        <v>6.0</v>
      </c>
    </row>
    <row r="210">
      <c r="A210" s="27" t="s">
        <v>42</v>
      </c>
      <c r="B210" s="27" t="s">
        <v>678</v>
      </c>
      <c r="C210" s="27" t="s">
        <v>679</v>
      </c>
      <c r="D210" s="27" t="s">
        <v>680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10.0</v>
      </c>
      <c r="K210" s="33" t="n">
        <f>967.9</f>
        <v>967.9</v>
      </c>
      <c r="L210" s="34" t="s">
        <v>48</v>
      </c>
      <c r="M210" s="33" t="n">
        <f>973.5</f>
        <v>973.5</v>
      </c>
      <c r="N210" s="34" t="s">
        <v>140</v>
      </c>
      <c r="O210" s="33" t="n">
        <f>964</f>
        <v>964.0</v>
      </c>
      <c r="P210" s="34" t="s">
        <v>69</v>
      </c>
      <c r="Q210" s="33" t="n">
        <f>966.6</f>
        <v>966.6</v>
      </c>
      <c r="R210" s="34" t="s">
        <v>51</v>
      </c>
      <c r="S210" s="35" t="n">
        <f>969</f>
        <v>969.0</v>
      </c>
      <c r="T210" s="32" t="n">
        <f>4521390</f>
        <v>4521390.0</v>
      </c>
      <c r="U210" s="32" t="n">
        <f>2589940</f>
        <v>2589940.0</v>
      </c>
      <c r="V210" s="32" t="n">
        <f>4384499445</f>
        <v>4.384499445E9</v>
      </c>
      <c r="W210" s="32" t="n">
        <f>2512796081</f>
        <v>2.512796081E9</v>
      </c>
      <c r="X210" s="36" t="n">
        <f>22</f>
        <v>22.0</v>
      </c>
    </row>
    <row r="211">
      <c r="A211" s="27" t="s">
        <v>42</v>
      </c>
      <c r="B211" s="27" t="s">
        <v>681</v>
      </c>
      <c r="C211" s="27" t="s">
        <v>682</v>
      </c>
      <c r="D211" s="27" t="s">
        <v>683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1026.5</f>
        <v>1026.5</v>
      </c>
      <c r="L211" s="34" t="s">
        <v>48</v>
      </c>
      <c r="M211" s="33" t="n">
        <f>1038.5</f>
        <v>1038.5</v>
      </c>
      <c r="N211" s="34" t="s">
        <v>73</v>
      </c>
      <c r="O211" s="33" t="n">
        <f>1012</f>
        <v>1012.0</v>
      </c>
      <c r="P211" s="34" t="s">
        <v>64</v>
      </c>
      <c r="Q211" s="33" t="n">
        <f>1024.5</f>
        <v>1024.5</v>
      </c>
      <c r="R211" s="34" t="s">
        <v>51</v>
      </c>
      <c r="S211" s="35" t="n">
        <f>1024.84</f>
        <v>1024.84</v>
      </c>
      <c r="T211" s="32" t="n">
        <f>3049570</f>
        <v>3049570.0</v>
      </c>
      <c r="U211" s="32" t="n">
        <f>1530880</f>
        <v>1530880.0</v>
      </c>
      <c r="V211" s="32" t="n">
        <f>3123748632</f>
        <v>3.123748632E9</v>
      </c>
      <c r="W211" s="32" t="n">
        <f>1569549267</f>
        <v>1.569549267E9</v>
      </c>
      <c r="X211" s="36" t="n">
        <f>22</f>
        <v>22.0</v>
      </c>
    </row>
    <row r="212">
      <c r="A212" s="27" t="s">
        <v>42</v>
      </c>
      <c r="B212" s="27" t="s">
        <v>684</v>
      </c>
      <c r="C212" s="27" t="s">
        <v>685</v>
      </c>
      <c r="D212" s="27" t="s">
        <v>686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918.6</f>
        <v>918.6</v>
      </c>
      <c r="L212" s="34" t="s">
        <v>48</v>
      </c>
      <c r="M212" s="33" t="n">
        <f>924.3</f>
        <v>924.3</v>
      </c>
      <c r="N212" s="34" t="s">
        <v>50</v>
      </c>
      <c r="O212" s="33" t="n">
        <f>881.6</f>
        <v>881.6</v>
      </c>
      <c r="P212" s="34" t="s">
        <v>69</v>
      </c>
      <c r="Q212" s="33" t="n">
        <f>883.9</f>
        <v>883.9</v>
      </c>
      <c r="R212" s="34" t="s">
        <v>51</v>
      </c>
      <c r="S212" s="35" t="n">
        <f>903.16</f>
        <v>903.16</v>
      </c>
      <c r="T212" s="32" t="n">
        <f>12900240</f>
        <v>1.290024E7</v>
      </c>
      <c r="U212" s="32" t="n">
        <f>7739280</f>
        <v>7739280.0</v>
      </c>
      <c r="V212" s="32" t="n">
        <f>11633267258</f>
        <v>1.1633267258E10</v>
      </c>
      <c r="W212" s="32" t="n">
        <f>6962285694</f>
        <v>6.962285694E9</v>
      </c>
      <c r="X212" s="36" t="n">
        <f>22</f>
        <v>22.0</v>
      </c>
    </row>
    <row r="213">
      <c r="A213" s="27" t="s">
        <v>42</v>
      </c>
      <c r="B213" s="27" t="s">
        <v>687</v>
      </c>
      <c r="C213" s="27" t="s">
        <v>688</v>
      </c>
      <c r="D213" s="27" t="s">
        <v>689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1672.5</f>
        <v>1672.5</v>
      </c>
      <c r="L213" s="34" t="s">
        <v>48</v>
      </c>
      <c r="M213" s="33" t="n">
        <f>1765</f>
        <v>1765.0</v>
      </c>
      <c r="N213" s="34" t="s">
        <v>182</v>
      </c>
      <c r="O213" s="33" t="n">
        <f>1630.5</f>
        <v>1630.5</v>
      </c>
      <c r="P213" s="34" t="s">
        <v>50</v>
      </c>
      <c r="Q213" s="33" t="n">
        <f>1691.5</f>
        <v>1691.5</v>
      </c>
      <c r="R213" s="34" t="s">
        <v>51</v>
      </c>
      <c r="S213" s="35" t="n">
        <f>1710.09</f>
        <v>1710.09</v>
      </c>
      <c r="T213" s="32" t="n">
        <f>1210810</f>
        <v>1210810.0</v>
      </c>
      <c r="U213" s="32" t="n">
        <f>690800</f>
        <v>690800.0</v>
      </c>
      <c r="V213" s="32" t="n">
        <f>2063174893</f>
        <v>2.063174893E9</v>
      </c>
      <c r="W213" s="32" t="n">
        <f>1177249108</f>
        <v>1.177249108E9</v>
      </c>
      <c r="X213" s="36" t="n">
        <f>22</f>
        <v>22.0</v>
      </c>
    </row>
    <row r="214">
      <c r="A214" s="27" t="s">
        <v>42</v>
      </c>
      <c r="B214" s="27" t="s">
        <v>690</v>
      </c>
      <c r="C214" s="27" t="s">
        <v>691</v>
      </c>
      <c r="D214" s="27" t="s">
        <v>692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1370</f>
        <v>1370.0</v>
      </c>
      <c r="L214" s="34" t="s">
        <v>48</v>
      </c>
      <c r="M214" s="33" t="n">
        <f>1430</f>
        <v>1430.0</v>
      </c>
      <c r="N214" s="34" t="s">
        <v>49</v>
      </c>
      <c r="O214" s="33" t="n">
        <f>1332</f>
        <v>1332.0</v>
      </c>
      <c r="P214" s="34" t="s">
        <v>51</v>
      </c>
      <c r="Q214" s="33" t="n">
        <f>1341.5</f>
        <v>1341.5</v>
      </c>
      <c r="R214" s="34" t="s">
        <v>51</v>
      </c>
      <c r="S214" s="35" t="n">
        <f>1385.77</f>
        <v>1385.77</v>
      </c>
      <c r="T214" s="32" t="n">
        <f>723920</f>
        <v>723920.0</v>
      </c>
      <c r="U214" s="32" t="n">
        <f>352870</f>
        <v>352870.0</v>
      </c>
      <c r="V214" s="32" t="n">
        <f>1005828323</f>
        <v>1.005828323E9</v>
      </c>
      <c r="W214" s="32" t="n">
        <f>489195303</f>
        <v>4.89195303E8</v>
      </c>
      <c r="X214" s="36" t="n">
        <f>22</f>
        <v>22.0</v>
      </c>
    </row>
    <row r="215">
      <c r="A215" s="27" t="s">
        <v>42</v>
      </c>
      <c r="B215" s="27" t="s">
        <v>693</v>
      </c>
      <c r="C215" s="27" t="s">
        <v>694</v>
      </c>
      <c r="D215" s="27" t="s">
        <v>695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1316</f>
        <v>1316.0</v>
      </c>
      <c r="L215" s="34" t="s">
        <v>48</v>
      </c>
      <c r="M215" s="33" t="n">
        <f>1370</f>
        <v>1370.0</v>
      </c>
      <c r="N215" s="34" t="s">
        <v>49</v>
      </c>
      <c r="O215" s="33" t="n">
        <f>1270.5</f>
        <v>1270.5</v>
      </c>
      <c r="P215" s="34" t="s">
        <v>50</v>
      </c>
      <c r="Q215" s="33" t="n">
        <f>1298.5</f>
        <v>1298.5</v>
      </c>
      <c r="R215" s="34" t="s">
        <v>51</v>
      </c>
      <c r="S215" s="35" t="n">
        <f>1318.5</f>
        <v>1318.5</v>
      </c>
      <c r="T215" s="32" t="n">
        <f>946580</f>
        <v>946580.0</v>
      </c>
      <c r="U215" s="32" t="n">
        <f>375710</f>
        <v>375710.0</v>
      </c>
      <c r="V215" s="32" t="n">
        <f>1243127978</f>
        <v>1.243127978E9</v>
      </c>
      <c r="W215" s="32" t="n">
        <f>490007433</f>
        <v>4.90007433E8</v>
      </c>
      <c r="X215" s="36" t="n">
        <f>22</f>
        <v>22.0</v>
      </c>
    </row>
    <row r="216">
      <c r="A216" s="27" t="s">
        <v>42</v>
      </c>
      <c r="B216" s="27" t="s">
        <v>696</v>
      </c>
      <c r="C216" s="27" t="s">
        <v>697</v>
      </c>
      <c r="D216" s="27" t="s">
        <v>698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552.2</f>
        <v>552.2</v>
      </c>
      <c r="L216" s="34" t="s">
        <v>48</v>
      </c>
      <c r="M216" s="33" t="n">
        <f>588.4</f>
        <v>588.4</v>
      </c>
      <c r="N216" s="34" t="s">
        <v>49</v>
      </c>
      <c r="O216" s="33" t="n">
        <f>545</f>
        <v>545.0</v>
      </c>
      <c r="P216" s="34" t="s">
        <v>99</v>
      </c>
      <c r="Q216" s="33" t="n">
        <f>568.1</f>
        <v>568.1</v>
      </c>
      <c r="R216" s="34" t="s">
        <v>51</v>
      </c>
      <c r="S216" s="35" t="n">
        <f>564.87</f>
        <v>564.87</v>
      </c>
      <c r="T216" s="32" t="n">
        <f>32706240</f>
        <v>3.270624E7</v>
      </c>
      <c r="U216" s="32" t="n">
        <f>365730</f>
        <v>365730.0</v>
      </c>
      <c r="V216" s="32" t="n">
        <f>18467397739</f>
        <v>1.8467397739E10</v>
      </c>
      <c r="W216" s="32" t="n">
        <f>211173697</f>
        <v>2.11173697E8</v>
      </c>
      <c r="X216" s="36" t="n">
        <f>22</f>
        <v>22.0</v>
      </c>
    </row>
    <row r="217">
      <c r="A217" s="27" t="s">
        <v>42</v>
      </c>
      <c r="B217" s="27" t="s">
        <v>699</v>
      </c>
      <c r="C217" s="27" t="s">
        <v>700</v>
      </c>
      <c r="D217" s="27" t="s">
        <v>701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1193</f>
        <v>1193.0</v>
      </c>
      <c r="L217" s="34" t="s">
        <v>48</v>
      </c>
      <c r="M217" s="33" t="n">
        <f>1203.5</f>
        <v>1203.5</v>
      </c>
      <c r="N217" s="34" t="s">
        <v>50</v>
      </c>
      <c r="O217" s="33" t="n">
        <f>1175</f>
        <v>1175.0</v>
      </c>
      <c r="P217" s="34" t="s">
        <v>99</v>
      </c>
      <c r="Q217" s="33" t="n">
        <f>1198.5</f>
        <v>1198.5</v>
      </c>
      <c r="R217" s="34" t="s">
        <v>51</v>
      </c>
      <c r="S217" s="35" t="n">
        <f>1188.82</f>
        <v>1188.82</v>
      </c>
      <c r="T217" s="32" t="n">
        <f>965410</f>
        <v>965410.0</v>
      </c>
      <c r="U217" s="32" t="n">
        <f>707320</f>
        <v>707320.0</v>
      </c>
      <c r="V217" s="32" t="n">
        <f>1149806101</f>
        <v>1.149806101E9</v>
      </c>
      <c r="W217" s="32" t="n">
        <f>842884531</f>
        <v>8.42884531E8</v>
      </c>
      <c r="X217" s="36" t="n">
        <f>22</f>
        <v>22.0</v>
      </c>
    </row>
    <row r="218">
      <c r="A218" s="27" t="s">
        <v>42</v>
      </c>
      <c r="B218" s="27" t="s">
        <v>702</v>
      </c>
      <c r="C218" s="27" t="s">
        <v>703</v>
      </c>
      <c r="D218" s="27" t="s">
        <v>704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1093</f>
        <v>1093.0</v>
      </c>
      <c r="L218" s="34" t="s">
        <v>48</v>
      </c>
      <c r="M218" s="33" t="n">
        <f>1123</f>
        <v>1123.0</v>
      </c>
      <c r="N218" s="34" t="s">
        <v>49</v>
      </c>
      <c r="O218" s="33" t="n">
        <f>1078</f>
        <v>1078.0</v>
      </c>
      <c r="P218" s="34" t="s">
        <v>69</v>
      </c>
      <c r="Q218" s="33" t="n">
        <f>1092</f>
        <v>1092.0</v>
      </c>
      <c r="R218" s="34" t="s">
        <v>51</v>
      </c>
      <c r="S218" s="35" t="n">
        <f>1099.86</f>
        <v>1099.86</v>
      </c>
      <c r="T218" s="32" t="n">
        <f>198235</f>
        <v>198235.0</v>
      </c>
      <c r="U218" s="32" t="str">
        <f>"－"</f>
        <v>－</v>
      </c>
      <c r="V218" s="32" t="n">
        <f>218821602</f>
        <v>2.18821602E8</v>
      </c>
      <c r="W218" s="32" t="str">
        <f>"－"</f>
        <v>－</v>
      </c>
      <c r="X218" s="36" t="n">
        <f>22</f>
        <v>22.0</v>
      </c>
    </row>
    <row r="219">
      <c r="A219" s="27" t="s">
        <v>42</v>
      </c>
      <c r="B219" s="27" t="s">
        <v>705</v>
      </c>
      <c r="C219" s="27" t="s">
        <v>706</v>
      </c>
      <c r="D219" s="27" t="s">
        <v>707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919.6</f>
        <v>919.6</v>
      </c>
      <c r="L219" s="34" t="s">
        <v>48</v>
      </c>
      <c r="M219" s="33" t="n">
        <f>949.1</f>
        <v>949.1</v>
      </c>
      <c r="N219" s="34" t="s">
        <v>75</v>
      </c>
      <c r="O219" s="33" t="n">
        <f>909.6</f>
        <v>909.6</v>
      </c>
      <c r="P219" s="34" t="s">
        <v>50</v>
      </c>
      <c r="Q219" s="33" t="n">
        <f>943</f>
        <v>943.0</v>
      </c>
      <c r="R219" s="34" t="s">
        <v>51</v>
      </c>
      <c r="S219" s="35" t="n">
        <f>935.86</f>
        <v>935.86</v>
      </c>
      <c r="T219" s="32" t="n">
        <f>200520</f>
        <v>200520.0</v>
      </c>
      <c r="U219" s="32" t="n">
        <f>117530</f>
        <v>117530.0</v>
      </c>
      <c r="V219" s="32" t="n">
        <f>188159998</f>
        <v>1.88159998E8</v>
      </c>
      <c r="W219" s="32" t="n">
        <f>110542870</f>
        <v>1.1054287E8</v>
      </c>
      <c r="X219" s="36" t="n">
        <f>22</f>
        <v>22.0</v>
      </c>
    </row>
    <row r="220">
      <c r="A220" s="27" t="s">
        <v>42</v>
      </c>
      <c r="B220" s="27" t="s">
        <v>708</v>
      </c>
      <c r="C220" s="27" t="s">
        <v>709</v>
      </c>
      <c r="D220" s="27" t="s">
        <v>710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1168.5</f>
        <v>1168.5</v>
      </c>
      <c r="L220" s="34" t="s">
        <v>48</v>
      </c>
      <c r="M220" s="33" t="n">
        <f>1221</f>
        <v>1221.0</v>
      </c>
      <c r="N220" s="34" t="s">
        <v>175</v>
      </c>
      <c r="O220" s="33" t="n">
        <f>1125</f>
        <v>1125.0</v>
      </c>
      <c r="P220" s="34" t="s">
        <v>50</v>
      </c>
      <c r="Q220" s="33" t="n">
        <f>1210.5</f>
        <v>1210.5</v>
      </c>
      <c r="R220" s="34" t="s">
        <v>51</v>
      </c>
      <c r="S220" s="35" t="n">
        <f>1190.61</f>
        <v>1190.61</v>
      </c>
      <c r="T220" s="32" t="n">
        <f>87920</f>
        <v>87920.0</v>
      </c>
      <c r="U220" s="32" t="n">
        <f>19700</f>
        <v>19700.0</v>
      </c>
      <c r="V220" s="32" t="n">
        <f>105385286</f>
        <v>1.05385286E8</v>
      </c>
      <c r="W220" s="32" t="n">
        <f>23852421</f>
        <v>2.3852421E7</v>
      </c>
      <c r="X220" s="36" t="n">
        <f>22</f>
        <v>22.0</v>
      </c>
    </row>
    <row r="221">
      <c r="A221" s="27" t="s">
        <v>42</v>
      </c>
      <c r="B221" s="27" t="s">
        <v>711</v>
      </c>
      <c r="C221" s="27" t="s">
        <v>712</v>
      </c>
      <c r="D221" s="27" t="s">
        <v>713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1418.5</f>
        <v>1418.5</v>
      </c>
      <c r="L221" s="34" t="s">
        <v>48</v>
      </c>
      <c r="M221" s="33" t="n">
        <f>1484.5</f>
        <v>1484.5</v>
      </c>
      <c r="N221" s="34" t="s">
        <v>49</v>
      </c>
      <c r="O221" s="33" t="n">
        <f>1369.5</f>
        <v>1369.5</v>
      </c>
      <c r="P221" s="34" t="s">
        <v>51</v>
      </c>
      <c r="Q221" s="33" t="n">
        <f>1379.5</f>
        <v>1379.5</v>
      </c>
      <c r="R221" s="34" t="s">
        <v>51</v>
      </c>
      <c r="S221" s="35" t="n">
        <f>1432.52</f>
        <v>1432.52</v>
      </c>
      <c r="T221" s="32" t="n">
        <f>7208300</f>
        <v>7208300.0</v>
      </c>
      <c r="U221" s="32" t="n">
        <f>4550450</f>
        <v>4550450.0</v>
      </c>
      <c r="V221" s="32" t="n">
        <f>10272900366</f>
        <v>1.0272900366E10</v>
      </c>
      <c r="W221" s="32" t="n">
        <f>6483704006</f>
        <v>6.483704006E9</v>
      </c>
      <c r="X221" s="36" t="n">
        <f>22</f>
        <v>22.0</v>
      </c>
    </row>
    <row r="222">
      <c r="A222" s="27" t="s">
        <v>42</v>
      </c>
      <c r="B222" s="27" t="s">
        <v>714</v>
      </c>
      <c r="C222" s="27" t="s">
        <v>715</v>
      </c>
      <c r="D222" s="27" t="s">
        <v>716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3610</f>
        <v>3610.0</v>
      </c>
      <c r="L222" s="34" t="s">
        <v>48</v>
      </c>
      <c r="M222" s="33" t="n">
        <f>3810</f>
        <v>3810.0</v>
      </c>
      <c r="N222" s="34" t="s">
        <v>68</v>
      </c>
      <c r="O222" s="33" t="n">
        <f>3505</f>
        <v>3505.0</v>
      </c>
      <c r="P222" s="34" t="s">
        <v>75</v>
      </c>
      <c r="Q222" s="33" t="n">
        <f>3550</f>
        <v>3550.0</v>
      </c>
      <c r="R222" s="34" t="s">
        <v>51</v>
      </c>
      <c r="S222" s="35" t="n">
        <f>3677.27</f>
        <v>3677.27</v>
      </c>
      <c r="T222" s="32" t="n">
        <f>78264</f>
        <v>78264.0</v>
      </c>
      <c r="U222" s="32" t="n">
        <f>50</f>
        <v>50.0</v>
      </c>
      <c r="V222" s="32" t="n">
        <f>284025060</f>
        <v>2.8402506E8</v>
      </c>
      <c r="W222" s="32" t="n">
        <f>176050</f>
        <v>176050.0</v>
      </c>
      <c r="X222" s="36" t="n">
        <f>22</f>
        <v>22.0</v>
      </c>
    </row>
    <row r="223">
      <c r="A223" s="27" t="s">
        <v>42</v>
      </c>
      <c r="B223" s="27" t="s">
        <v>717</v>
      </c>
      <c r="C223" s="27" t="s">
        <v>718</v>
      </c>
      <c r="D223" s="27" t="s">
        <v>719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1655</f>
        <v>1655.0</v>
      </c>
      <c r="L223" s="34" t="s">
        <v>48</v>
      </c>
      <c r="M223" s="33" t="n">
        <f>1673</f>
        <v>1673.0</v>
      </c>
      <c r="N223" s="34" t="s">
        <v>348</v>
      </c>
      <c r="O223" s="33" t="n">
        <f>1645</f>
        <v>1645.0</v>
      </c>
      <c r="P223" s="34" t="s">
        <v>79</v>
      </c>
      <c r="Q223" s="33" t="n">
        <f>1655</f>
        <v>1655.0</v>
      </c>
      <c r="R223" s="34" t="s">
        <v>51</v>
      </c>
      <c r="S223" s="35" t="n">
        <f>1659.59</f>
        <v>1659.59</v>
      </c>
      <c r="T223" s="32" t="n">
        <f>2070</f>
        <v>2070.0</v>
      </c>
      <c r="U223" s="32" t="str">
        <f>"－"</f>
        <v>－</v>
      </c>
      <c r="V223" s="32" t="n">
        <f>3420865</f>
        <v>3420865.0</v>
      </c>
      <c r="W223" s="32" t="str">
        <f>"－"</f>
        <v>－</v>
      </c>
      <c r="X223" s="36" t="n">
        <f>17</f>
        <v>17.0</v>
      </c>
    </row>
    <row r="224">
      <c r="A224" s="27" t="s">
        <v>42</v>
      </c>
      <c r="B224" s="27" t="s">
        <v>720</v>
      </c>
      <c r="C224" s="27" t="s">
        <v>721</v>
      </c>
      <c r="D224" s="27" t="s">
        <v>722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1992.5</f>
        <v>1992.5</v>
      </c>
      <c r="L224" s="34" t="s">
        <v>48</v>
      </c>
      <c r="M224" s="33" t="n">
        <f>2028.5</f>
        <v>2028.5</v>
      </c>
      <c r="N224" s="34" t="s">
        <v>49</v>
      </c>
      <c r="O224" s="33" t="n">
        <f>1975</f>
        <v>1975.0</v>
      </c>
      <c r="P224" s="34" t="s">
        <v>99</v>
      </c>
      <c r="Q224" s="33" t="n">
        <f>2002</f>
        <v>2002.0</v>
      </c>
      <c r="R224" s="34" t="s">
        <v>64</v>
      </c>
      <c r="S224" s="35" t="n">
        <f>1999.03</f>
        <v>1999.03</v>
      </c>
      <c r="T224" s="32" t="n">
        <f>1100840</f>
        <v>1100840.0</v>
      </c>
      <c r="U224" s="32" t="n">
        <f>699300</f>
        <v>699300.0</v>
      </c>
      <c r="V224" s="32" t="n">
        <f>2198183395</f>
        <v>2.198183395E9</v>
      </c>
      <c r="W224" s="32" t="n">
        <f>1394198520</f>
        <v>1.39419852E9</v>
      </c>
      <c r="X224" s="36" t="n">
        <f>16</f>
        <v>16.0</v>
      </c>
    </row>
    <row r="225">
      <c r="A225" s="27" t="s">
        <v>42</v>
      </c>
      <c r="B225" s="27" t="s">
        <v>723</v>
      </c>
      <c r="C225" s="27" t="s">
        <v>724</v>
      </c>
      <c r="D225" s="27" t="s">
        <v>725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28190</f>
        <v>28190.0</v>
      </c>
      <c r="L225" s="34" t="s">
        <v>74</v>
      </c>
      <c r="M225" s="33" t="n">
        <f>29430</f>
        <v>29430.0</v>
      </c>
      <c r="N225" s="34" t="s">
        <v>49</v>
      </c>
      <c r="O225" s="33" t="n">
        <f>28065</f>
        <v>28065.0</v>
      </c>
      <c r="P225" s="34" t="s">
        <v>69</v>
      </c>
      <c r="Q225" s="33" t="n">
        <f>28280</f>
        <v>28280.0</v>
      </c>
      <c r="R225" s="34" t="s">
        <v>75</v>
      </c>
      <c r="S225" s="35" t="n">
        <f>28684.67</f>
        <v>28684.67</v>
      </c>
      <c r="T225" s="32" t="n">
        <f>187170</f>
        <v>187170.0</v>
      </c>
      <c r="U225" s="32" t="n">
        <f>164600</f>
        <v>164600.0</v>
      </c>
      <c r="V225" s="32" t="n">
        <f>5410131767</f>
        <v>5.410131767E9</v>
      </c>
      <c r="W225" s="32" t="n">
        <f>4767296262</f>
        <v>4.767296262E9</v>
      </c>
      <c r="X225" s="36" t="n">
        <f>15</f>
        <v>15.0</v>
      </c>
    </row>
    <row r="226">
      <c r="A226" s="27" t="s">
        <v>42</v>
      </c>
      <c r="B226" s="27" t="s">
        <v>726</v>
      </c>
      <c r="C226" s="27" t="s">
        <v>727</v>
      </c>
      <c r="D226" s="27" t="s">
        <v>728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17765</f>
        <v>17765.0</v>
      </c>
      <c r="L226" s="34" t="s">
        <v>48</v>
      </c>
      <c r="M226" s="33" t="n">
        <f>18180</f>
        <v>18180.0</v>
      </c>
      <c r="N226" s="34" t="s">
        <v>49</v>
      </c>
      <c r="O226" s="33" t="n">
        <f>17655</f>
        <v>17655.0</v>
      </c>
      <c r="P226" s="34" t="s">
        <v>69</v>
      </c>
      <c r="Q226" s="33" t="n">
        <f>17755</f>
        <v>17755.0</v>
      </c>
      <c r="R226" s="34" t="s">
        <v>51</v>
      </c>
      <c r="S226" s="35" t="n">
        <f>17878.13</f>
        <v>17878.13</v>
      </c>
      <c r="T226" s="32" t="n">
        <f>12508</f>
        <v>12508.0</v>
      </c>
      <c r="U226" s="32" t="n">
        <f>3000</f>
        <v>3000.0</v>
      </c>
      <c r="V226" s="32" t="n">
        <f>223041031</f>
        <v>2.23041031E8</v>
      </c>
      <c r="W226" s="32" t="n">
        <f>54097496</f>
        <v>5.4097496E7</v>
      </c>
      <c r="X226" s="36" t="n">
        <f>16</f>
        <v>16.0</v>
      </c>
    </row>
    <row r="227">
      <c r="A227" s="27" t="s">
        <v>42</v>
      </c>
      <c r="B227" s="27" t="s">
        <v>729</v>
      </c>
      <c r="C227" s="27" t="s">
        <v>730</v>
      </c>
      <c r="D227" s="27" t="s">
        <v>731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1190.5</f>
        <v>1190.5</v>
      </c>
      <c r="L227" s="34" t="s">
        <v>48</v>
      </c>
      <c r="M227" s="33" t="n">
        <f>1200</f>
        <v>1200.0</v>
      </c>
      <c r="N227" s="34" t="s">
        <v>182</v>
      </c>
      <c r="O227" s="33" t="n">
        <f>1184.5</f>
        <v>1184.5</v>
      </c>
      <c r="P227" s="34" t="s">
        <v>79</v>
      </c>
      <c r="Q227" s="33" t="n">
        <f>1193.5</f>
        <v>1193.5</v>
      </c>
      <c r="R227" s="34" t="s">
        <v>69</v>
      </c>
      <c r="S227" s="35" t="n">
        <f>1190.67</f>
        <v>1190.67</v>
      </c>
      <c r="T227" s="32" t="n">
        <f>189740</f>
        <v>189740.0</v>
      </c>
      <c r="U227" s="32" t="n">
        <f>25000</f>
        <v>25000.0</v>
      </c>
      <c r="V227" s="32" t="n">
        <f>225608220</f>
        <v>2.2560822E8</v>
      </c>
      <c r="W227" s="32" t="n">
        <f>29588500</f>
        <v>2.95885E7</v>
      </c>
      <c r="X227" s="36" t="n">
        <f>12</f>
        <v>12.0</v>
      </c>
    </row>
    <row r="228">
      <c r="A228" s="27" t="s">
        <v>42</v>
      </c>
      <c r="B228" s="27" t="s">
        <v>732</v>
      </c>
      <c r="C228" s="27" t="s">
        <v>733</v>
      </c>
      <c r="D228" s="27" t="s">
        <v>734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1191</f>
        <v>1191.0</v>
      </c>
      <c r="L228" s="34" t="s">
        <v>48</v>
      </c>
      <c r="M228" s="33" t="n">
        <f>1210</f>
        <v>1210.0</v>
      </c>
      <c r="N228" s="34" t="s">
        <v>51</v>
      </c>
      <c r="O228" s="33" t="n">
        <f>1179</f>
        <v>1179.0</v>
      </c>
      <c r="P228" s="34" t="s">
        <v>74</v>
      </c>
      <c r="Q228" s="33" t="n">
        <f>1203</f>
        <v>1203.0</v>
      </c>
      <c r="R228" s="34" t="s">
        <v>51</v>
      </c>
      <c r="S228" s="35" t="n">
        <f>1190.3</f>
        <v>1190.3</v>
      </c>
      <c r="T228" s="32" t="n">
        <f>22250</f>
        <v>22250.0</v>
      </c>
      <c r="U228" s="32" t="str">
        <f>"－"</f>
        <v>－</v>
      </c>
      <c r="V228" s="32" t="n">
        <f>26405545</f>
        <v>2.6405545E7</v>
      </c>
      <c r="W228" s="32" t="str">
        <f>"－"</f>
        <v>－</v>
      </c>
      <c r="X228" s="36" t="n">
        <f>22</f>
        <v>22.0</v>
      </c>
    </row>
    <row r="229">
      <c r="A229" s="27" t="s">
        <v>42</v>
      </c>
      <c r="B229" s="27" t="s">
        <v>735</v>
      </c>
      <c r="C229" s="27" t="s">
        <v>736</v>
      </c>
      <c r="D229" s="27" t="s">
        <v>737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1246</f>
        <v>1246.0</v>
      </c>
      <c r="L229" s="34" t="s">
        <v>48</v>
      </c>
      <c r="M229" s="33" t="n">
        <f>1259</f>
        <v>1259.0</v>
      </c>
      <c r="N229" s="34" t="s">
        <v>75</v>
      </c>
      <c r="O229" s="33" t="n">
        <f>1202</f>
        <v>1202.0</v>
      </c>
      <c r="P229" s="34" t="s">
        <v>103</v>
      </c>
      <c r="Q229" s="33" t="n">
        <f>1251</f>
        <v>1251.0</v>
      </c>
      <c r="R229" s="34" t="s">
        <v>51</v>
      </c>
      <c r="S229" s="35" t="n">
        <f>1234.05</f>
        <v>1234.05</v>
      </c>
      <c r="T229" s="32" t="n">
        <f>43217</f>
        <v>43217.0</v>
      </c>
      <c r="U229" s="32" t="n">
        <f>16</f>
        <v>16.0</v>
      </c>
      <c r="V229" s="32" t="n">
        <f>53083154</f>
        <v>5.3083154E7</v>
      </c>
      <c r="W229" s="32" t="n">
        <f>20730</f>
        <v>20730.0</v>
      </c>
      <c r="X229" s="36" t="n">
        <f>22</f>
        <v>22.0</v>
      </c>
    </row>
    <row r="230">
      <c r="A230" s="27" t="s">
        <v>42</v>
      </c>
      <c r="B230" s="27" t="s">
        <v>738</v>
      </c>
      <c r="C230" s="27" t="s">
        <v>739</v>
      </c>
      <c r="D230" s="27" t="s">
        <v>740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13400</f>
        <v>13400.0</v>
      </c>
      <c r="L230" s="34" t="s">
        <v>48</v>
      </c>
      <c r="M230" s="33" t="n">
        <f>13950</f>
        <v>13950.0</v>
      </c>
      <c r="N230" s="34" t="s">
        <v>68</v>
      </c>
      <c r="O230" s="33" t="n">
        <f>13235</f>
        <v>13235.0</v>
      </c>
      <c r="P230" s="34" t="s">
        <v>50</v>
      </c>
      <c r="Q230" s="33" t="n">
        <f>13785</f>
        <v>13785.0</v>
      </c>
      <c r="R230" s="34" t="s">
        <v>51</v>
      </c>
      <c r="S230" s="35" t="n">
        <f>13657.86</f>
        <v>13657.86</v>
      </c>
      <c r="T230" s="32" t="n">
        <f>1247</f>
        <v>1247.0</v>
      </c>
      <c r="U230" s="32" t="str">
        <f>"－"</f>
        <v>－</v>
      </c>
      <c r="V230" s="32" t="n">
        <f>16916105</f>
        <v>1.6916105E7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741</v>
      </c>
      <c r="C231" s="27" t="s">
        <v>742</v>
      </c>
      <c r="D231" s="27" t="s">
        <v>743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2174</f>
        <v>2174.0</v>
      </c>
      <c r="L231" s="34" t="s">
        <v>48</v>
      </c>
      <c r="M231" s="33" t="n">
        <f>2198</f>
        <v>2198.0</v>
      </c>
      <c r="N231" s="34" t="s">
        <v>50</v>
      </c>
      <c r="O231" s="33" t="n">
        <f>2142</f>
        <v>2142.0</v>
      </c>
      <c r="P231" s="34" t="s">
        <v>79</v>
      </c>
      <c r="Q231" s="33" t="n">
        <f>2177</f>
        <v>2177.0</v>
      </c>
      <c r="R231" s="34" t="s">
        <v>51</v>
      </c>
      <c r="S231" s="35" t="n">
        <f>2163.73</f>
        <v>2163.73</v>
      </c>
      <c r="T231" s="32" t="n">
        <f>17036</f>
        <v>17036.0</v>
      </c>
      <c r="U231" s="32" t="str">
        <f>"－"</f>
        <v>－</v>
      </c>
      <c r="V231" s="32" t="n">
        <f>36785079</f>
        <v>3.6785079E7</v>
      </c>
      <c r="W231" s="32" t="str">
        <f>"－"</f>
        <v>－</v>
      </c>
      <c r="X231" s="36" t="n">
        <f>22</f>
        <v>22.0</v>
      </c>
    </row>
    <row r="232">
      <c r="A232" s="27" t="s">
        <v>42</v>
      </c>
      <c r="B232" s="27" t="s">
        <v>744</v>
      </c>
      <c r="C232" s="27" t="s">
        <v>745</v>
      </c>
      <c r="D232" s="27" t="s">
        <v>746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1673</f>
        <v>1673.0</v>
      </c>
      <c r="L232" s="34" t="s">
        <v>48</v>
      </c>
      <c r="M232" s="33" t="n">
        <f>1800</f>
        <v>1800.0</v>
      </c>
      <c r="N232" s="34" t="s">
        <v>175</v>
      </c>
      <c r="O232" s="33" t="n">
        <f>1598</f>
        <v>1598.0</v>
      </c>
      <c r="P232" s="34" t="s">
        <v>50</v>
      </c>
      <c r="Q232" s="33" t="n">
        <f>1670.5</f>
        <v>1670.5</v>
      </c>
      <c r="R232" s="34" t="s">
        <v>51</v>
      </c>
      <c r="S232" s="35" t="n">
        <f>1689.15</f>
        <v>1689.15</v>
      </c>
      <c r="T232" s="32" t="n">
        <f>1530</f>
        <v>1530.0</v>
      </c>
      <c r="U232" s="32" t="str">
        <f>"－"</f>
        <v>－</v>
      </c>
      <c r="V232" s="32" t="n">
        <f>2603340</f>
        <v>2603340.0</v>
      </c>
      <c r="W232" s="32" t="str">
        <f>"－"</f>
        <v>－</v>
      </c>
      <c r="X232" s="36" t="n">
        <f>17</f>
        <v>17.0</v>
      </c>
    </row>
    <row r="233">
      <c r="A233" s="27" t="s">
        <v>42</v>
      </c>
      <c r="B233" s="27" t="s">
        <v>747</v>
      </c>
      <c r="C233" s="27" t="s">
        <v>748</v>
      </c>
      <c r="D233" s="27" t="s">
        <v>749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903.9</f>
        <v>903.9</v>
      </c>
      <c r="L233" s="34" t="s">
        <v>48</v>
      </c>
      <c r="M233" s="33" t="n">
        <f>905.1</f>
        <v>905.1</v>
      </c>
      <c r="N233" s="34" t="s">
        <v>50</v>
      </c>
      <c r="O233" s="33" t="n">
        <f>880.8</f>
        <v>880.8</v>
      </c>
      <c r="P233" s="34" t="s">
        <v>75</v>
      </c>
      <c r="Q233" s="33" t="n">
        <f>883.1</f>
        <v>883.1</v>
      </c>
      <c r="R233" s="34" t="s">
        <v>51</v>
      </c>
      <c r="S233" s="35" t="n">
        <f>894.18</f>
        <v>894.18</v>
      </c>
      <c r="T233" s="32" t="n">
        <f>1263060</f>
        <v>1263060.0</v>
      </c>
      <c r="U233" s="32" t="n">
        <f>1073530</f>
        <v>1073530.0</v>
      </c>
      <c r="V233" s="32" t="n">
        <f>1130133157</f>
        <v>1.130133157E9</v>
      </c>
      <c r="W233" s="32" t="n">
        <f>959872877</f>
        <v>9.59872877E8</v>
      </c>
      <c r="X233" s="36" t="n">
        <f>22</f>
        <v>22.0</v>
      </c>
    </row>
    <row r="234">
      <c r="A234" s="27" t="s">
        <v>42</v>
      </c>
      <c r="B234" s="27" t="s">
        <v>750</v>
      </c>
      <c r="C234" s="27" t="s">
        <v>751</v>
      </c>
      <c r="D234" s="27" t="s">
        <v>752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2074.5</f>
        <v>2074.5</v>
      </c>
      <c r="L234" s="34" t="s">
        <v>48</v>
      </c>
      <c r="M234" s="33" t="n">
        <f>2091.5</f>
        <v>2091.5</v>
      </c>
      <c r="N234" s="34" t="s">
        <v>51</v>
      </c>
      <c r="O234" s="33" t="n">
        <f>2046.5</f>
        <v>2046.5</v>
      </c>
      <c r="P234" s="34" t="s">
        <v>74</v>
      </c>
      <c r="Q234" s="33" t="n">
        <f>2083.5</f>
        <v>2083.5</v>
      </c>
      <c r="R234" s="34" t="s">
        <v>51</v>
      </c>
      <c r="S234" s="35" t="n">
        <f>2068.14</f>
        <v>2068.14</v>
      </c>
      <c r="T234" s="32" t="n">
        <f>7780</f>
        <v>7780.0</v>
      </c>
      <c r="U234" s="32" t="str">
        <f>"－"</f>
        <v>－</v>
      </c>
      <c r="V234" s="32" t="n">
        <f>16101060</f>
        <v>1.610106E7</v>
      </c>
      <c r="W234" s="32" t="str">
        <f>"－"</f>
        <v>－</v>
      </c>
      <c r="X234" s="36" t="n">
        <f>21</f>
        <v>21.0</v>
      </c>
    </row>
    <row r="235">
      <c r="A235" s="27" t="s">
        <v>42</v>
      </c>
      <c r="B235" s="27" t="s">
        <v>753</v>
      </c>
      <c r="C235" s="27" t="s">
        <v>754</v>
      </c>
      <c r="D235" s="27" t="s">
        <v>755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2065.5</f>
        <v>2065.5</v>
      </c>
      <c r="L235" s="34" t="s">
        <v>48</v>
      </c>
      <c r="M235" s="33" t="n">
        <f>2095.5</f>
        <v>2095.5</v>
      </c>
      <c r="N235" s="34" t="s">
        <v>75</v>
      </c>
      <c r="O235" s="33" t="n">
        <f>2041.5</f>
        <v>2041.5</v>
      </c>
      <c r="P235" s="34" t="s">
        <v>74</v>
      </c>
      <c r="Q235" s="33" t="n">
        <f>2091</f>
        <v>2091.0</v>
      </c>
      <c r="R235" s="34" t="s">
        <v>51</v>
      </c>
      <c r="S235" s="35" t="n">
        <f>2066.89</f>
        <v>2066.89</v>
      </c>
      <c r="T235" s="32" t="n">
        <f>404100</f>
        <v>404100.0</v>
      </c>
      <c r="U235" s="32" t="n">
        <f>115010</f>
        <v>115010.0</v>
      </c>
      <c r="V235" s="32" t="n">
        <f>834813975</f>
        <v>8.34813975E8</v>
      </c>
      <c r="W235" s="32" t="n">
        <f>237686145</f>
        <v>2.37686145E8</v>
      </c>
      <c r="X235" s="36" t="n">
        <f>22</f>
        <v>22.0</v>
      </c>
    </row>
    <row r="236">
      <c r="A236" s="27" t="s">
        <v>42</v>
      </c>
      <c r="B236" s="27" t="s">
        <v>756</v>
      </c>
      <c r="C236" s="27" t="s">
        <v>757</v>
      </c>
      <c r="D236" s="27" t="s">
        <v>758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1975.5</f>
        <v>1975.5</v>
      </c>
      <c r="L236" s="34" t="s">
        <v>48</v>
      </c>
      <c r="M236" s="33" t="n">
        <f>2016.5</f>
        <v>2016.5</v>
      </c>
      <c r="N236" s="34" t="s">
        <v>49</v>
      </c>
      <c r="O236" s="33" t="n">
        <f>1944.5</f>
        <v>1944.5</v>
      </c>
      <c r="P236" s="34" t="s">
        <v>50</v>
      </c>
      <c r="Q236" s="33" t="n">
        <f>1972.5</f>
        <v>1972.5</v>
      </c>
      <c r="R236" s="34" t="s">
        <v>75</v>
      </c>
      <c r="S236" s="35" t="n">
        <f>1979.5</f>
        <v>1979.5</v>
      </c>
      <c r="T236" s="32" t="n">
        <f>61860</f>
        <v>61860.0</v>
      </c>
      <c r="U236" s="32" t="n">
        <f>51150</f>
        <v>51150.0</v>
      </c>
      <c r="V236" s="32" t="n">
        <f>121002422</f>
        <v>1.21002422E8</v>
      </c>
      <c r="W236" s="32" t="n">
        <f>99977787</f>
        <v>9.9977787E7</v>
      </c>
      <c r="X236" s="36" t="n">
        <f>11</f>
        <v>11.0</v>
      </c>
    </row>
    <row r="237">
      <c r="A237" s="27" t="s">
        <v>42</v>
      </c>
      <c r="B237" s="27" t="s">
        <v>759</v>
      </c>
      <c r="C237" s="27" t="s">
        <v>760</v>
      </c>
      <c r="D237" s="27" t="s">
        <v>761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15760</f>
        <v>15760.0</v>
      </c>
      <c r="L237" s="34" t="s">
        <v>48</v>
      </c>
      <c r="M237" s="33" t="n">
        <f>16775</f>
        <v>16775.0</v>
      </c>
      <c r="N237" s="34" t="s">
        <v>182</v>
      </c>
      <c r="O237" s="33" t="n">
        <f>15360</f>
        <v>15360.0</v>
      </c>
      <c r="P237" s="34" t="s">
        <v>50</v>
      </c>
      <c r="Q237" s="33" t="n">
        <f>15975</f>
        <v>15975.0</v>
      </c>
      <c r="R237" s="34" t="s">
        <v>51</v>
      </c>
      <c r="S237" s="35" t="n">
        <f>16169.77</f>
        <v>16169.77</v>
      </c>
      <c r="T237" s="32" t="n">
        <f>1030978</f>
        <v>1030978.0</v>
      </c>
      <c r="U237" s="32" t="n">
        <f>166824</f>
        <v>166824.0</v>
      </c>
      <c r="V237" s="32" t="n">
        <f>16726758793</f>
        <v>1.6726758793E10</v>
      </c>
      <c r="W237" s="32" t="n">
        <f>2742790313</f>
        <v>2.742790313E9</v>
      </c>
      <c r="X237" s="36" t="n">
        <f>22</f>
        <v>22.0</v>
      </c>
    </row>
    <row r="238">
      <c r="A238" s="27" t="s">
        <v>42</v>
      </c>
      <c r="B238" s="27" t="s">
        <v>762</v>
      </c>
      <c r="C238" s="27" t="s">
        <v>763</v>
      </c>
      <c r="D238" s="27" t="s">
        <v>764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13970</f>
        <v>13970.0</v>
      </c>
      <c r="L238" s="34" t="s">
        <v>48</v>
      </c>
      <c r="M238" s="33" t="n">
        <f>14625</f>
        <v>14625.0</v>
      </c>
      <c r="N238" s="34" t="s">
        <v>182</v>
      </c>
      <c r="O238" s="33" t="n">
        <f>13610</f>
        <v>13610.0</v>
      </c>
      <c r="P238" s="34" t="s">
        <v>50</v>
      </c>
      <c r="Q238" s="33" t="n">
        <f>14175</f>
        <v>14175.0</v>
      </c>
      <c r="R238" s="34" t="s">
        <v>51</v>
      </c>
      <c r="S238" s="35" t="n">
        <f>14253.41</f>
        <v>14253.41</v>
      </c>
      <c r="T238" s="32" t="n">
        <f>146863</f>
        <v>146863.0</v>
      </c>
      <c r="U238" s="32" t="str">
        <f>"－"</f>
        <v>－</v>
      </c>
      <c r="V238" s="32" t="n">
        <f>2088078840</f>
        <v>2.08807884E9</v>
      </c>
      <c r="W238" s="32" t="str">
        <f>"－"</f>
        <v>－</v>
      </c>
      <c r="X238" s="36" t="n">
        <f>22</f>
        <v>22.0</v>
      </c>
    </row>
    <row r="239">
      <c r="A239" s="27" t="s">
        <v>42</v>
      </c>
      <c r="B239" s="27" t="s">
        <v>765</v>
      </c>
      <c r="C239" s="27" t="s">
        <v>766</v>
      </c>
      <c r="D239" s="27" t="s">
        <v>767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25835</f>
        <v>25835.0</v>
      </c>
      <c r="L239" s="34" t="s">
        <v>189</v>
      </c>
      <c r="M239" s="33" t="n">
        <f>26720</f>
        <v>26720.0</v>
      </c>
      <c r="N239" s="34" t="s">
        <v>49</v>
      </c>
      <c r="O239" s="33" t="n">
        <f>25835</f>
        <v>25835.0</v>
      </c>
      <c r="P239" s="34" t="s">
        <v>189</v>
      </c>
      <c r="Q239" s="33" t="n">
        <f>26315</f>
        <v>26315.0</v>
      </c>
      <c r="R239" s="34" t="s">
        <v>89</v>
      </c>
      <c r="S239" s="35" t="n">
        <f>26413.75</f>
        <v>26413.75</v>
      </c>
      <c r="T239" s="32" t="n">
        <f>69</f>
        <v>69.0</v>
      </c>
      <c r="U239" s="32" t="str">
        <f>"－"</f>
        <v>－</v>
      </c>
      <c r="V239" s="32" t="n">
        <f>1820815</f>
        <v>1820815.0</v>
      </c>
      <c r="W239" s="32" t="str">
        <f>"－"</f>
        <v>－</v>
      </c>
      <c r="X239" s="36" t="n">
        <f>8</f>
        <v>8.0</v>
      </c>
    </row>
    <row r="240">
      <c r="A240" s="27" t="s">
        <v>42</v>
      </c>
      <c r="B240" s="27" t="s">
        <v>768</v>
      </c>
      <c r="C240" s="27" t="s">
        <v>769</v>
      </c>
      <c r="D240" s="27" t="s">
        <v>770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2596</f>
        <v>2596.0</v>
      </c>
      <c r="L240" s="34" t="s">
        <v>48</v>
      </c>
      <c r="M240" s="33" t="n">
        <f>2616</f>
        <v>2616.0</v>
      </c>
      <c r="N240" s="34" t="s">
        <v>49</v>
      </c>
      <c r="O240" s="33" t="n">
        <f>2578</f>
        <v>2578.0</v>
      </c>
      <c r="P240" s="34" t="s">
        <v>75</v>
      </c>
      <c r="Q240" s="33" t="n">
        <f>2588</f>
        <v>2588.0</v>
      </c>
      <c r="R240" s="34" t="s">
        <v>51</v>
      </c>
      <c r="S240" s="35" t="n">
        <f>2596</f>
        <v>2596.0</v>
      </c>
      <c r="T240" s="32" t="n">
        <f>313282</f>
        <v>313282.0</v>
      </c>
      <c r="U240" s="32" t="n">
        <f>73790</f>
        <v>73790.0</v>
      </c>
      <c r="V240" s="32" t="n">
        <f>814316547</f>
        <v>8.14316547E8</v>
      </c>
      <c r="W240" s="32" t="n">
        <f>191955944</f>
        <v>1.91955944E8</v>
      </c>
      <c r="X240" s="36" t="n">
        <f>22</f>
        <v>22.0</v>
      </c>
    </row>
    <row r="241">
      <c r="A241" s="27" t="s">
        <v>42</v>
      </c>
      <c r="B241" s="27" t="s">
        <v>771</v>
      </c>
      <c r="C241" s="27" t="s">
        <v>772</v>
      </c>
      <c r="D241" s="27" t="s">
        <v>773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2795</f>
        <v>2795.0</v>
      </c>
      <c r="L241" s="34" t="s">
        <v>48</v>
      </c>
      <c r="M241" s="33" t="n">
        <f>2914.5</f>
        <v>2914.5</v>
      </c>
      <c r="N241" s="34" t="s">
        <v>49</v>
      </c>
      <c r="O241" s="33" t="n">
        <f>2650</f>
        <v>2650.0</v>
      </c>
      <c r="P241" s="34" t="s">
        <v>79</v>
      </c>
      <c r="Q241" s="33" t="n">
        <f>2722</f>
        <v>2722.0</v>
      </c>
      <c r="R241" s="34" t="s">
        <v>51</v>
      </c>
      <c r="S241" s="35" t="n">
        <f>2815.39</f>
        <v>2815.39</v>
      </c>
      <c r="T241" s="32" t="n">
        <f>2783270</f>
        <v>2783270.0</v>
      </c>
      <c r="U241" s="32" t="n">
        <f>1850330</f>
        <v>1850330.0</v>
      </c>
      <c r="V241" s="32" t="n">
        <f>7810181772</f>
        <v>7.810181772E9</v>
      </c>
      <c r="W241" s="32" t="n">
        <f>5140948902</f>
        <v>5.140948902E9</v>
      </c>
      <c r="X241" s="36" t="n">
        <f>22</f>
        <v>22.0</v>
      </c>
    </row>
    <row r="242">
      <c r="A242" s="27" t="s">
        <v>42</v>
      </c>
      <c r="B242" s="27" t="s">
        <v>774</v>
      </c>
      <c r="C242" s="27" t="s">
        <v>775</v>
      </c>
      <c r="D242" s="27" t="s">
        <v>776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264.7</f>
        <v>264.7</v>
      </c>
      <c r="L242" s="34" t="s">
        <v>48</v>
      </c>
      <c r="M242" s="33" t="n">
        <f>275.4</f>
        <v>275.4</v>
      </c>
      <c r="N242" s="34" t="s">
        <v>49</v>
      </c>
      <c r="O242" s="33" t="n">
        <f>254.1</f>
        <v>254.1</v>
      </c>
      <c r="P242" s="34" t="s">
        <v>51</v>
      </c>
      <c r="Q242" s="33" t="n">
        <f>256</f>
        <v>256.0</v>
      </c>
      <c r="R242" s="34" t="s">
        <v>51</v>
      </c>
      <c r="S242" s="35" t="n">
        <f>266.09</f>
        <v>266.09</v>
      </c>
      <c r="T242" s="32" t="n">
        <f>53506460</f>
        <v>5.350646E7</v>
      </c>
      <c r="U242" s="32" t="n">
        <f>14564410</f>
        <v>1.456441E7</v>
      </c>
      <c r="V242" s="32" t="n">
        <f>14115129186</f>
        <v>1.4115129186E10</v>
      </c>
      <c r="W242" s="32" t="n">
        <f>3773648651</f>
        <v>3.773648651E9</v>
      </c>
      <c r="X242" s="36" t="n">
        <f>22</f>
        <v>22.0</v>
      </c>
    </row>
    <row r="243">
      <c r="A243" s="27" t="s">
        <v>42</v>
      </c>
      <c r="B243" s="27" t="s">
        <v>777</v>
      </c>
      <c r="C243" s="27" t="s">
        <v>778</v>
      </c>
      <c r="D243" s="27" t="s">
        <v>779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2000</f>
        <v>2000.0</v>
      </c>
      <c r="L243" s="34" t="s">
        <v>48</v>
      </c>
      <c r="M243" s="33" t="n">
        <f>2095</f>
        <v>2095.0</v>
      </c>
      <c r="N243" s="34" t="s">
        <v>175</v>
      </c>
      <c r="O243" s="33" t="n">
        <f>1990</f>
        <v>1990.0</v>
      </c>
      <c r="P243" s="34" t="s">
        <v>50</v>
      </c>
      <c r="Q243" s="33" t="n">
        <f>2054</f>
        <v>2054.0</v>
      </c>
      <c r="R243" s="34" t="s">
        <v>51</v>
      </c>
      <c r="S243" s="35" t="n">
        <f>2034.36</f>
        <v>2034.36</v>
      </c>
      <c r="T243" s="32" t="n">
        <f>214253</f>
        <v>214253.0</v>
      </c>
      <c r="U243" s="32" t="n">
        <f>89715</f>
        <v>89715.0</v>
      </c>
      <c r="V243" s="32" t="n">
        <f>435760363</f>
        <v>4.35760363E8</v>
      </c>
      <c r="W243" s="32" t="n">
        <f>183843978</f>
        <v>1.83843978E8</v>
      </c>
      <c r="X243" s="36" t="n">
        <f>22</f>
        <v>22.0</v>
      </c>
    </row>
    <row r="244">
      <c r="A244" s="27" t="s">
        <v>42</v>
      </c>
      <c r="B244" s="27" t="s">
        <v>780</v>
      </c>
      <c r="C244" s="27" t="s">
        <v>781</v>
      </c>
      <c r="D244" s="27" t="s">
        <v>782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1123</f>
        <v>1123.0</v>
      </c>
      <c r="L244" s="34" t="s">
        <v>48</v>
      </c>
      <c r="M244" s="33" t="n">
        <f>1149</f>
        <v>1149.0</v>
      </c>
      <c r="N244" s="34" t="s">
        <v>75</v>
      </c>
      <c r="O244" s="33" t="n">
        <f>1112</f>
        <v>1112.0</v>
      </c>
      <c r="P244" s="34" t="s">
        <v>89</v>
      </c>
      <c r="Q244" s="33" t="n">
        <f>1137</f>
        <v>1137.0</v>
      </c>
      <c r="R244" s="34" t="s">
        <v>51</v>
      </c>
      <c r="S244" s="35" t="n">
        <f>1127.45</f>
        <v>1127.45</v>
      </c>
      <c r="T244" s="32" t="n">
        <f>1329138</f>
        <v>1329138.0</v>
      </c>
      <c r="U244" s="32" t="n">
        <f>972200</f>
        <v>972200.0</v>
      </c>
      <c r="V244" s="32" t="n">
        <f>1500541330</f>
        <v>1.50054133E9</v>
      </c>
      <c r="W244" s="32" t="n">
        <f>1097983142</f>
        <v>1.097983142E9</v>
      </c>
      <c r="X244" s="36" t="n">
        <f>22</f>
        <v>22.0</v>
      </c>
    </row>
    <row r="245">
      <c r="A245" s="27" t="s">
        <v>42</v>
      </c>
      <c r="B245" s="27" t="s">
        <v>783</v>
      </c>
      <c r="C245" s="27" t="s">
        <v>784</v>
      </c>
      <c r="D245" s="27" t="s">
        <v>785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1143</f>
        <v>1143.0</v>
      </c>
      <c r="L245" s="34" t="s">
        <v>48</v>
      </c>
      <c r="M245" s="33" t="n">
        <f>1155.5</f>
        <v>1155.5</v>
      </c>
      <c r="N245" s="34" t="s">
        <v>51</v>
      </c>
      <c r="O245" s="33" t="n">
        <f>1124.5</f>
        <v>1124.5</v>
      </c>
      <c r="P245" s="34" t="s">
        <v>74</v>
      </c>
      <c r="Q245" s="33" t="n">
        <f>1152</f>
        <v>1152.0</v>
      </c>
      <c r="R245" s="34" t="s">
        <v>51</v>
      </c>
      <c r="S245" s="35" t="n">
        <f>1138.43</f>
        <v>1138.43</v>
      </c>
      <c r="T245" s="32" t="n">
        <f>487200</f>
        <v>487200.0</v>
      </c>
      <c r="U245" s="32" t="n">
        <f>200000</f>
        <v>200000.0</v>
      </c>
      <c r="V245" s="32" t="n">
        <f>556424850</f>
        <v>5.5642485E8</v>
      </c>
      <c r="W245" s="32" t="n">
        <f>228600000</f>
        <v>2.286E8</v>
      </c>
      <c r="X245" s="36" t="n">
        <f>21</f>
        <v>21.0</v>
      </c>
    </row>
    <row r="246">
      <c r="A246" s="27" t="s">
        <v>42</v>
      </c>
      <c r="B246" s="27" t="s">
        <v>786</v>
      </c>
      <c r="C246" s="27" t="s">
        <v>787</v>
      </c>
      <c r="D246" s="27" t="s">
        <v>788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252</f>
        <v>252.0</v>
      </c>
      <c r="L246" s="34" t="s">
        <v>48</v>
      </c>
      <c r="M246" s="33" t="n">
        <f>258</f>
        <v>258.0</v>
      </c>
      <c r="N246" s="34" t="s">
        <v>103</v>
      </c>
      <c r="O246" s="33" t="n">
        <f>242</f>
        <v>242.0</v>
      </c>
      <c r="P246" s="34" t="s">
        <v>89</v>
      </c>
      <c r="Q246" s="33" t="n">
        <f>247.5</f>
        <v>247.5</v>
      </c>
      <c r="R246" s="34" t="s">
        <v>69</v>
      </c>
      <c r="S246" s="35" t="n">
        <f>251.22</f>
        <v>251.22</v>
      </c>
      <c r="T246" s="32" t="n">
        <f>24400</f>
        <v>24400.0</v>
      </c>
      <c r="U246" s="32" t="str">
        <f>"－"</f>
        <v>－</v>
      </c>
      <c r="V246" s="32" t="n">
        <f>6202438</f>
        <v>6202438.0</v>
      </c>
      <c r="W246" s="32" t="str">
        <f>"－"</f>
        <v>－</v>
      </c>
      <c r="X246" s="36" t="n">
        <f>18</f>
        <v>18.0</v>
      </c>
    </row>
    <row r="247">
      <c r="A247" s="27" t="s">
        <v>42</v>
      </c>
      <c r="B247" s="27" t="s">
        <v>789</v>
      </c>
      <c r="C247" s="27" t="s">
        <v>790</v>
      </c>
      <c r="D247" s="27" t="s">
        <v>791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2961</f>
        <v>2961.0</v>
      </c>
      <c r="L247" s="34" t="s">
        <v>48</v>
      </c>
      <c r="M247" s="33" t="n">
        <f>3166</f>
        <v>3166.0</v>
      </c>
      <c r="N247" s="34" t="s">
        <v>182</v>
      </c>
      <c r="O247" s="33" t="n">
        <f>2892.5</f>
        <v>2892.5</v>
      </c>
      <c r="P247" s="34" t="s">
        <v>50</v>
      </c>
      <c r="Q247" s="33" t="n">
        <f>2964.5</f>
        <v>2964.5</v>
      </c>
      <c r="R247" s="34" t="s">
        <v>51</v>
      </c>
      <c r="S247" s="35" t="n">
        <f>3047.95</f>
        <v>3047.95</v>
      </c>
      <c r="T247" s="32" t="n">
        <f>3021810</f>
        <v>3021810.0</v>
      </c>
      <c r="U247" s="32" t="n">
        <f>1350000</f>
        <v>1350000.0</v>
      </c>
      <c r="V247" s="32" t="n">
        <f>9127784480</f>
        <v>9.12778448E9</v>
      </c>
      <c r="W247" s="32" t="n">
        <f>4055062500</f>
        <v>4.0550625E9</v>
      </c>
      <c r="X247" s="36" t="n">
        <f>22</f>
        <v>22.0</v>
      </c>
    </row>
    <row r="248">
      <c r="A248" s="27" t="s">
        <v>42</v>
      </c>
      <c r="B248" s="27" t="s">
        <v>792</v>
      </c>
      <c r="C248" s="27" t="s">
        <v>793</v>
      </c>
      <c r="D248" s="27" t="s">
        <v>794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2277.5</f>
        <v>2277.5</v>
      </c>
      <c r="L248" s="34" t="s">
        <v>48</v>
      </c>
      <c r="M248" s="33" t="n">
        <f>2409</f>
        <v>2409.0</v>
      </c>
      <c r="N248" s="34" t="s">
        <v>140</v>
      </c>
      <c r="O248" s="33" t="n">
        <f>2172</f>
        <v>2172.0</v>
      </c>
      <c r="P248" s="34" t="s">
        <v>51</v>
      </c>
      <c r="Q248" s="33" t="n">
        <f>2188.5</f>
        <v>2188.5</v>
      </c>
      <c r="R248" s="34" t="s">
        <v>51</v>
      </c>
      <c r="S248" s="35" t="n">
        <f>2308.77</f>
        <v>2308.77</v>
      </c>
      <c r="T248" s="32" t="n">
        <f>4605360</f>
        <v>4605360.0</v>
      </c>
      <c r="U248" s="32" t="n">
        <f>1442000</f>
        <v>1442000.0</v>
      </c>
      <c r="V248" s="32" t="n">
        <f>10629311977</f>
        <v>1.0629311977E10</v>
      </c>
      <c r="W248" s="32" t="n">
        <f>3401749352</f>
        <v>3.401749352E9</v>
      </c>
      <c r="X248" s="36" t="n">
        <f>22</f>
        <v>22.0</v>
      </c>
    </row>
    <row r="249">
      <c r="A249" s="27" t="s">
        <v>42</v>
      </c>
      <c r="B249" s="27" t="s">
        <v>795</v>
      </c>
      <c r="C249" s="27" t="s">
        <v>796</v>
      </c>
      <c r="D249" s="27" t="s">
        <v>797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3005</f>
        <v>3005.0</v>
      </c>
      <c r="L249" s="34" t="s">
        <v>48</v>
      </c>
      <c r="M249" s="33" t="n">
        <f>3115</f>
        <v>3115.0</v>
      </c>
      <c r="N249" s="34" t="s">
        <v>69</v>
      </c>
      <c r="O249" s="33" t="n">
        <f>2949</f>
        <v>2949.0</v>
      </c>
      <c r="P249" s="34" t="s">
        <v>50</v>
      </c>
      <c r="Q249" s="33" t="n">
        <f>3100</f>
        <v>3100.0</v>
      </c>
      <c r="R249" s="34" t="s">
        <v>51</v>
      </c>
      <c r="S249" s="35" t="n">
        <f>3040.14</f>
        <v>3040.14</v>
      </c>
      <c r="T249" s="32" t="n">
        <f>4833559</f>
        <v>4833559.0</v>
      </c>
      <c r="U249" s="32" t="n">
        <f>4283579</f>
        <v>4283579.0</v>
      </c>
      <c r="V249" s="32" t="n">
        <f>14719355405</f>
        <v>1.4719355405E10</v>
      </c>
      <c r="W249" s="32" t="n">
        <f>13063034620</f>
        <v>1.306303462E10</v>
      </c>
      <c r="X249" s="36" t="n">
        <f>22</f>
        <v>22.0</v>
      </c>
    </row>
    <row r="250">
      <c r="A250" s="27" t="s">
        <v>42</v>
      </c>
      <c r="B250" s="27" t="s">
        <v>798</v>
      </c>
      <c r="C250" s="27" t="s">
        <v>799</v>
      </c>
      <c r="D250" s="27" t="s">
        <v>800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1754</f>
        <v>1754.0</v>
      </c>
      <c r="L250" s="34" t="s">
        <v>48</v>
      </c>
      <c r="M250" s="33" t="n">
        <f>1802</f>
        <v>1802.0</v>
      </c>
      <c r="N250" s="34" t="s">
        <v>50</v>
      </c>
      <c r="O250" s="33" t="n">
        <f>1646</f>
        <v>1646.0</v>
      </c>
      <c r="P250" s="34" t="s">
        <v>64</v>
      </c>
      <c r="Q250" s="33" t="n">
        <f>1678</f>
        <v>1678.0</v>
      </c>
      <c r="R250" s="34" t="s">
        <v>51</v>
      </c>
      <c r="S250" s="35" t="n">
        <f>1714.41</f>
        <v>1714.41</v>
      </c>
      <c r="T250" s="32" t="n">
        <f>3699272</f>
        <v>3699272.0</v>
      </c>
      <c r="U250" s="32" t="n">
        <f>2417605</f>
        <v>2417605.0</v>
      </c>
      <c r="V250" s="32" t="n">
        <f>6298404795</f>
        <v>6.298404795E9</v>
      </c>
      <c r="W250" s="32" t="n">
        <f>4108694511</f>
        <v>4.108694511E9</v>
      </c>
      <c r="X250" s="36" t="n">
        <f>22</f>
        <v>22.0</v>
      </c>
    </row>
    <row r="251">
      <c r="A251" s="27" t="s">
        <v>42</v>
      </c>
      <c r="B251" s="27" t="s">
        <v>801</v>
      </c>
      <c r="C251" s="27" t="s">
        <v>802</v>
      </c>
      <c r="D251" s="27" t="s">
        <v>803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1940</f>
        <v>1940.0</v>
      </c>
      <c r="L251" s="34" t="s">
        <v>48</v>
      </c>
      <c r="M251" s="33" t="n">
        <f>2015</f>
        <v>2015.0</v>
      </c>
      <c r="N251" s="34" t="s">
        <v>49</v>
      </c>
      <c r="O251" s="33" t="n">
        <f>1893</f>
        <v>1893.0</v>
      </c>
      <c r="P251" s="34" t="s">
        <v>69</v>
      </c>
      <c r="Q251" s="33" t="n">
        <f>1907</f>
        <v>1907.0</v>
      </c>
      <c r="R251" s="34" t="s">
        <v>51</v>
      </c>
      <c r="S251" s="35" t="n">
        <f>1942.77</f>
        <v>1942.77</v>
      </c>
      <c r="T251" s="32" t="n">
        <f>161758</f>
        <v>161758.0</v>
      </c>
      <c r="U251" s="32" t="n">
        <f>130000</f>
        <v>130000.0</v>
      </c>
      <c r="V251" s="32" t="n">
        <f>314938346</f>
        <v>3.14938346E8</v>
      </c>
      <c r="W251" s="32" t="n">
        <f>253389984</f>
        <v>2.53389984E8</v>
      </c>
      <c r="X251" s="36" t="n">
        <f>22</f>
        <v>22.0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2291</f>
        <v>2291.0</v>
      </c>
      <c r="L252" s="34" t="s">
        <v>74</v>
      </c>
      <c r="M252" s="33" t="n">
        <f>2340</f>
        <v>2340.0</v>
      </c>
      <c r="N252" s="34" t="s">
        <v>140</v>
      </c>
      <c r="O252" s="33" t="n">
        <f>2193</f>
        <v>2193.0</v>
      </c>
      <c r="P252" s="34" t="s">
        <v>51</v>
      </c>
      <c r="Q252" s="33" t="n">
        <f>2194</f>
        <v>2194.0</v>
      </c>
      <c r="R252" s="34" t="s">
        <v>51</v>
      </c>
      <c r="S252" s="35" t="n">
        <f>2248.79</f>
        <v>2248.79</v>
      </c>
      <c r="T252" s="32" t="n">
        <f>7233</f>
        <v>7233.0</v>
      </c>
      <c r="U252" s="32" t="str">
        <f>"－"</f>
        <v>－</v>
      </c>
      <c r="V252" s="32" t="n">
        <f>16416578</f>
        <v>1.6416578E7</v>
      </c>
      <c r="W252" s="32" t="str">
        <f>"－"</f>
        <v>－</v>
      </c>
      <c r="X252" s="36" t="n">
        <f>19</f>
        <v>19.0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2788</f>
        <v>2788.0</v>
      </c>
      <c r="L253" s="34" t="s">
        <v>48</v>
      </c>
      <c r="M253" s="33" t="n">
        <f>2929</f>
        <v>2929.0</v>
      </c>
      <c r="N253" s="34" t="s">
        <v>49</v>
      </c>
      <c r="O253" s="33" t="n">
        <f>2762</f>
        <v>2762.0</v>
      </c>
      <c r="P253" s="34" t="s">
        <v>50</v>
      </c>
      <c r="Q253" s="33" t="n">
        <f>2819</f>
        <v>2819.0</v>
      </c>
      <c r="R253" s="34" t="s">
        <v>51</v>
      </c>
      <c r="S253" s="35" t="n">
        <f>2843.05</f>
        <v>2843.05</v>
      </c>
      <c r="T253" s="32" t="n">
        <f>1980150</f>
        <v>1980150.0</v>
      </c>
      <c r="U253" s="32" t="n">
        <f>1464000</f>
        <v>1464000.0</v>
      </c>
      <c r="V253" s="32" t="n">
        <f>5561111769</f>
        <v>5.561111769E9</v>
      </c>
      <c r="W253" s="32" t="n">
        <f>4094606400</f>
        <v>4.0946064E9</v>
      </c>
      <c r="X253" s="36" t="n">
        <f>22</f>
        <v>22.0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1942</f>
        <v>1942.0</v>
      </c>
      <c r="L254" s="34" t="s">
        <v>48</v>
      </c>
      <c r="M254" s="33" t="n">
        <f>2010</f>
        <v>2010.0</v>
      </c>
      <c r="N254" s="34" t="s">
        <v>49</v>
      </c>
      <c r="O254" s="33" t="n">
        <f>1926</f>
        <v>1926.0</v>
      </c>
      <c r="P254" s="34" t="s">
        <v>50</v>
      </c>
      <c r="Q254" s="33" t="n">
        <f>1965</f>
        <v>1965.0</v>
      </c>
      <c r="R254" s="34" t="s">
        <v>51</v>
      </c>
      <c r="S254" s="35" t="n">
        <f>1966.14</f>
        <v>1966.14</v>
      </c>
      <c r="T254" s="32" t="n">
        <f>436570</f>
        <v>436570.0</v>
      </c>
      <c r="U254" s="32" t="n">
        <f>35251</f>
        <v>35251.0</v>
      </c>
      <c r="V254" s="32" t="n">
        <f>858494398</f>
        <v>8.58494398E8</v>
      </c>
      <c r="W254" s="32" t="n">
        <f>69655565</f>
        <v>6.9655565E7</v>
      </c>
      <c r="X254" s="36" t="n">
        <f>22</f>
        <v>22.0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1941</f>
        <v>1941.0</v>
      </c>
      <c r="L255" s="34" t="s">
        <v>48</v>
      </c>
      <c r="M255" s="33" t="n">
        <f>1990</f>
        <v>1990.0</v>
      </c>
      <c r="N255" s="34" t="s">
        <v>182</v>
      </c>
      <c r="O255" s="33" t="n">
        <f>1879</f>
        <v>1879.0</v>
      </c>
      <c r="P255" s="34" t="s">
        <v>69</v>
      </c>
      <c r="Q255" s="33" t="n">
        <f>1908</f>
        <v>1908.0</v>
      </c>
      <c r="R255" s="34" t="s">
        <v>51</v>
      </c>
      <c r="S255" s="35" t="n">
        <f>1936.41</f>
        <v>1936.41</v>
      </c>
      <c r="T255" s="32" t="n">
        <f>100828</f>
        <v>100828.0</v>
      </c>
      <c r="U255" s="32" t="str">
        <f>"－"</f>
        <v>－</v>
      </c>
      <c r="V255" s="32" t="n">
        <f>196170886</f>
        <v>1.96170886E8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1579</f>
        <v>1579.0</v>
      </c>
      <c r="L256" s="34" t="s">
        <v>48</v>
      </c>
      <c r="M256" s="33" t="n">
        <f>1642</f>
        <v>1642.0</v>
      </c>
      <c r="N256" s="34" t="s">
        <v>49</v>
      </c>
      <c r="O256" s="33" t="n">
        <f>1504</f>
        <v>1504.0</v>
      </c>
      <c r="P256" s="34" t="s">
        <v>69</v>
      </c>
      <c r="Q256" s="33" t="n">
        <f>1555</f>
        <v>1555.0</v>
      </c>
      <c r="R256" s="34" t="s">
        <v>51</v>
      </c>
      <c r="S256" s="35" t="n">
        <f>1587.45</f>
        <v>1587.45</v>
      </c>
      <c r="T256" s="32" t="n">
        <f>35903</f>
        <v>35903.0</v>
      </c>
      <c r="U256" s="32" t="str">
        <f>"－"</f>
        <v>－</v>
      </c>
      <c r="V256" s="32" t="n">
        <f>57392827</f>
        <v>5.7392827E7</v>
      </c>
      <c r="W256" s="32" t="str">
        <f>"－"</f>
        <v>－</v>
      </c>
      <c r="X256" s="36" t="n">
        <f>22</f>
        <v>22.0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2168</f>
        <v>2168.0</v>
      </c>
      <c r="L257" s="34" t="s">
        <v>48</v>
      </c>
      <c r="M257" s="33" t="n">
        <f>2374</f>
        <v>2374.0</v>
      </c>
      <c r="N257" s="34" t="s">
        <v>73</v>
      </c>
      <c r="O257" s="33" t="n">
        <f>2107</f>
        <v>2107.0</v>
      </c>
      <c r="P257" s="34" t="s">
        <v>69</v>
      </c>
      <c r="Q257" s="33" t="n">
        <f>2130</f>
        <v>2130.0</v>
      </c>
      <c r="R257" s="34" t="s">
        <v>51</v>
      </c>
      <c r="S257" s="35" t="n">
        <f>2239.45</f>
        <v>2239.45</v>
      </c>
      <c r="T257" s="32" t="n">
        <f>12310</f>
        <v>12310.0</v>
      </c>
      <c r="U257" s="32" t="str">
        <f>"－"</f>
        <v>－</v>
      </c>
      <c r="V257" s="32" t="n">
        <f>27468053</f>
        <v>2.7468053E7</v>
      </c>
      <c r="W257" s="32" t="str">
        <f>"－"</f>
        <v>－</v>
      </c>
      <c r="X257" s="36" t="n">
        <f>22</f>
        <v>22.0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2500</f>
        <v>2500.0</v>
      </c>
      <c r="L258" s="34" t="s">
        <v>48</v>
      </c>
      <c r="M258" s="33" t="n">
        <f>2570</f>
        <v>2570.0</v>
      </c>
      <c r="N258" s="34" t="s">
        <v>182</v>
      </c>
      <c r="O258" s="33" t="n">
        <f>2390</f>
        <v>2390.0</v>
      </c>
      <c r="P258" s="34" t="s">
        <v>50</v>
      </c>
      <c r="Q258" s="33" t="n">
        <f>2529</f>
        <v>2529.0</v>
      </c>
      <c r="R258" s="34" t="s">
        <v>51</v>
      </c>
      <c r="S258" s="35" t="n">
        <f>2506.18</f>
        <v>2506.18</v>
      </c>
      <c r="T258" s="32" t="n">
        <f>4221</f>
        <v>4221.0</v>
      </c>
      <c r="U258" s="32" t="str">
        <f>"－"</f>
        <v>－</v>
      </c>
      <c r="V258" s="32" t="n">
        <f>10592692</f>
        <v>1.0592692E7</v>
      </c>
      <c r="W258" s="32" t="str">
        <f>"－"</f>
        <v>－</v>
      </c>
      <c r="X258" s="36" t="n">
        <f>22</f>
        <v>22.0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10460</f>
        <v>10460.0</v>
      </c>
      <c r="L259" s="34" t="s">
        <v>48</v>
      </c>
      <c r="M259" s="33" t="n">
        <f>10950</f>
        <v>10950.0</v>
      </c>
      <c r="N259" s="34" t="s">
        <v>49</v>
      </c>
      <c r="O259" s="33" t="n">
        <f>10110</f>
        <v>10110.0</v>
      </c>
      <c r="P259" s="34" t="s">
        <v>51</v>
      </c>
      <c r="Q259" s="33" t="n">
        <f>10175</f>
        <v>10175.0</v>
      </c>
      <c r="R259" s="34" t="s">
        <v>51</v>
      </c>
      <c r="S259" s="35" t="n">
        <f>10565.68</f>
        <v>10565.68</v>
      </c>
      <c r="T259" s="32" t="n">
        <f>469194</f>
        <v>469194.0</v>
      </c>
      <c r="U259" s="32" t="n">
        <f>206000</f>
        <v>206000.0</v>
      </c>
      <c r="V259" s="32" t="n">
        <f>4853452065</f>
        <v>4.853452065E9</v>
      </c>
      <c r="W259" s="32" t="n">
        <f>2095363470</f>
        <v>2.09536347E9</v>
      </c>
      <c r="X259" s="36" t="n">
        <f>22</f>
        <v>22.0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12365</f>
        <v>12365.0</v>
      </c>
      <c r="L260" s="34" t="s">
        <v>48</v>
      </c>
      <c r="M260" s="33" t="n">
        <f>13220</f>
        <v>13220.0</v>
      </c>
      <c r="N260" s="34" t="s">
        <v>182</v>
      </c>
      <c r="O260" s="33" t="n">
        <f>12075</f>
        <v>12075.0</v>
      </c>
      <c r="P260" s="34" t="s">
        <v>50</v>
      </c>
      <c r="Q260" s="33" t="n">
        <f>12390</f>
        <v>12390.0</v>
      </c>
      <c r="R260" s="34" t="s">
        <v>51</v>
      </c>
      <c r="S260" s="35" t="n">
        <f>12725</f>
        <v>12725.0</v>
      </c>
      <c r="T260" s="32" t="n">
        <f>1098228</f>
        <v>1098228.0</v>
      </c>
      <c r="U260" s="32" t="n">
        <f>242000</f>
        <v>242000.0</v>
      </c>
      <c r="V260" s="32" t="n">
        <f>13931917870</f>
        <v>1.393191787E10</v>
      </c>
      <c r="W260" s="32" t="n">
        <f>3056654400</f>
        <v>3.0566544E9</v>
      </c>
      <c r="X260" s="36" t="n">
        <f>22</f>
        <v>22.0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9542</f>
        <v>9542.0</v>
      </c>
      <c r="L261" s="34" t="s">
        <v>48</v>
      </c>
      <c r="M261" s="33" t="n">
        <f>10090</f>
        <v>10090.0</v>
      </c>
      <c r="N261" s="34" t="s">
        <v>49</v>
      </c>
      <c r="O261" s="33" t="n">
        <f>9114</f>
        <v>9114.0</v>
      </c>
      <c r="P261" s="34" t="s">
        <v>51</v>
      </c>
      <c r="Q261" s="33" t="n">
        <f>9183</f>
        <v>9183.0</v>
      </c>
      <c r="R261" s="34" t="s">
        <v>51</v>
      </c>
      <c r="S261" s="35" t="n">
        <f>9675.64</f>
        <v>9675.64</v>
      </c>
      <c r="T261" s="32" t="n">
        <f>832222</f>
        <v>832222.0</v>
      </c>
      <c r="U261" s="32" t="n">
        <f>254001</f>
        <v>254001.0</v>
      </c>
      <c r="V261" s="32" t="n">
        <f>7921084564</f>
        <v>7.921084564E9</v>
      </c>
      <c r="W261" s="32" t="n">
        <f>2333996416</f>
        <v>2.333996416E9</v>
      </c>
      <c r="X261" s="36" t="n">
        <f>22</f>
        <v>22.0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2550</f>
        <v>2550.0</v>
      </c>
      <c r="L262" s="34" t="s">
        <v>48</v>
      </c>
      <c r="M262" s="33" t="n">
        <f>2714.5</f>
        <v>2714.5</v>
      </c>
      <c r="N262" s="34" t="s">
        <v>182</v>
      </c>
      <c r="O262" s="33" t="n">
        <f>2486.5</f>
        <v>2486.5</v>
      </c>
      <c r="P262" s="34" t="s">
        <v>50</v>
      </c>
      <c r="Q262" s="33" t="n">
        <f>2586</f>
        <v>2586.0</v>
      </c>
      <c r="R262" s="34" t="s">
        <v>51</v>
      </c>
      <c r="S262" s="35" t="n">
        <f>2616.82</f>
        <v>2616.82</v>
      </c>
      <c r="T262" s="32" t="n">
        <f>2208070</f>
        <v>2208070.0</v>
      </c>
      <c r="U262" s="32" t="n">
        <f>702460</f>
        <v>702460.0</v>
      </c>
      <c r="V262" s="32" t="n">
        <f>5758031624</f>
        <v>5.758031624E9</v>
      </c>
      <c r="W262" s="32" t="n">
        <f>1837930994</f>
        <v>1.837930994E9</v>
      </c>
      <c r="X262" s="36" t="n">
        <f>22</f>
        <v>22.0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2059.5</f>
        <v>2059.5</v>
      </c>
      <c r="L263" s="34" t="s">
        <v>48</v>
      </c>
      <c r="M263" s="33" t="n">
        <f>2155</f>
        <v>2155.0</v>
      </c>
      <c r="N263" s="34" t="s">
        <v>49</v>
      </c>
      <c r="O263" s="33" t="n">
        <f>1991</f>
        <v>1991.0</v>
      </c>
      <c r="P263" s="34" t="s">
        <v>51</v>
      </c>
      <c r="Q263" s="33" t="n">
        <f>2003.5</f>
        <v>2003.5</v>
      </c>
      <c r="R263" s="34" t="s">
        <v>51</v>
      </c>
      <c r="S263" s="35" t="n">
        <f>2080.39</f>
        <v>2080.39</v>
      </c>
      <c r="T263" s="32" t="n">
        <f>5515670</f>
        <v>5515670.0</v>
      </c>
      <c r="U263" s="32" t="n">
        <f>3645670</f>
        <v>3645670.0</v>
      </c>
      <c r="V263" s="32" t="n">
        <f>11394205845</f>
        <v>1.1394205845E10</v>
      </c>
      <c r="W263" s="32" t="n">
        <f>7538268470</f>
        <v>7.53826847E9</v>
      </c>
      <c r="X263" s="36" t="n">
        <f>22</f>
        <v>22.0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2620.5</f>
        <v>2620.5</v>
      </c>
      <c r="L264" s="34" t="s">
        <v>48</v>
      </c>
      <c r="M264" s="33" t="n">
        <f>2787</f>
        <v>2787.0</v>
      </c>
      <c r="N264" s="34" t="s">
        <v>182</v>
      </c>
      <c r="O264" s="33" t="n">
        <f>2550</f>
        <v>2550.0</v>
      </c>
      <c r="P264" s="34" t="s">
        <v>50</v>
      </c>
      <c r="Q264" s="33" t="n">
        <f>2644.5</f>
        <v>2644.5</v>
      </c>
      <c r="R264" s="34" t="s">
        <v>51</v>
      </c>
      <c r="S264" s="35" t="n">
        <f>2682.8</f>
        <v>2682.8</v>
      </c>
      <c r="T264" s="32" t="n">
        <f>187130</f>
        <v>187130.0</v>
      </c>
      <c r="U264" s="32" t="str">
        <f>"－"</f>
        <v>－</v>
      </c>
      <c r="V264" s="32" t="n">
        <f>495311785</f>
        <v>4.95311785E8</v>
      </c>
      <c r="W264" s="32" t="str">
        <f>"－"</f>
        <v>－</v>
      </c>
      <c r="X264" s="36" t="n">
        <f>22</f>
        <v>22.0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2575</f>
        <v>2575.0</v>
      </c>
      <c r="L265" s="34" t="s">
        <v>48</v>
      </c>
      <c r="M265" s="33" t="n">
        <f>2684</f>
        <v>2684.0</v>
      </c>
      <c r="N265" s="34" t="s">
        <v>49</v>
      </c>
      <c r="O265" s="33" t="n">
        <f>2547</f>
        <v>2547.0</v>
      </c>
      <c r="P265" s="34" t="s">
        <v>69</v>
      </c>
      <c r="Q265" s="33" t="n">
        <f>2571</f>
        <v>2571.0</v>
      </c>
      <c r="R265" s="34" t="s">
        <v>51</v>
      </c>
      <c r="S265" s="35" t="n">
        <f>2613.05</f>
        <v>2613.05</v>
      </c>
      <c r="T265" s="32" t="n">
        <f>1279</f>
        <v>1279.0</v>
      </c>
      <c r="U265" s="32" t="str">
        <f>"－"</f>
        <v>－</v>
      </c>
      <c r="V265" s="32" t="n">
        <f>3359465</f>
        <v>3359465.0</v>
      </c>
      <c r="W265" s="32" t="str">
        <f>"－"</f>
        <v>－</v>
      </c>
      <c r="X265" s="36" t="n">
        <f>21</f>
        <v>21.0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1565</f>
        <v>1565.0</v>
      </c>
      <c r="L266" s="34" t="s">
        <v>48</v>
      </c>
      <c r="M266" s="33" t="n">
        <f>1649</f>
        <v>1649.0</v>
      </c>
      <c r="N266" s="34" t="s">
        <v>182</v>
      </c>
      <c r="O266" s="33" t="n">
        <f>1546</f>
        <v>1546.0</v>
      </c>
      <c r="P266" s="34" t="s">
        <v>50</v>
      </c>
      <c r="Q266" s="33" t="n">
        <f>1606</f>
        <v>1606.0</v>
      </c>
      <c r="R266" s="34" t="s">
        <v>51</v>
      </c>
      <c r="S266" s="35" t="n">
        <f>1600.32</f>
        <v>1600.32</v>
      </c>
      <c r="T266" s="32" t="n">
        <f>107255</f>
        <v>107255.0</v>
      </c>
      <c r="U266" s="32" t="str">
        <f>"－"</f>
        <v>－</v>
      </c>
      <c r="V266" s="32" t="n">
        <f>172623549</f>
        <v>1.72623549E8</v>
      </c>
      <c r="W266" s="32" t="str">
        <f>"－"</f>
        <v>－</v>
      </c>
      <c r="X266" s="36" t="n">
        <f>22</f>
        <v>22.0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1960</f>
        <v>1960.0</v>
      </c>
      <c r="L267" s="34" t="s">
        <v>48</v>
      </c>
      <c r="M267" s="33" t="n">
        <f>2099</f>
        <v>2099.0</v>
      </c>
      <c r="N267" s="34" t="s">
        <v>49</v>
      </c>
      <c r="O267" s="33" t="n">
        <f>1899</f>
        <v>1899.0</v>
      </c>
      <c r="P267" s="34" t="s">
        <v>69</v>
      </c>
      <c r="Q267" s="33" t="n">
        <f>1995</f>
        <v>1995.0</v>
      </c>
      <c r="R267" s="34" t="s">
        <v>51</v>
      </c>
      <c r="S267" s="35" t="n">
        <f>2022.64</f>
        <v>2022.64</v>
      </c>
      <c r="T267" s="32" t="n">
        <f>226133</f>
        <v>226133.0</v>
      </c>
      <c r="U267" s="32" t="str">
        <f>"－"</f>
        <v>－</v>
      </c>
      <c r="V267" s="32" t="n">
        <f>457404983</f>
        <v>4.57404983E8</v>
      </c>
      <c r="W267" s="32" t="str">
        <f>"－"</f>
        <v>－</v>
      </c>
      <c r="X267" s="36" t="n">
        <f>22</f>
        <v>22.0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1692</f>
        <v>1692.0</v>
      </c>
      <c r="L268" s="34" t="s">
        <v>48</v>
      </c>
      <c r="M268" s="33" t="n">
        <f>1741</f>
        <v>1741.0</v>
      </c>
      <c r="N268" s="34" t="s">
        <v>49</v>
      </c>
      <c r="O268" s="33" t="n">
        <f>1634</f>
        <v>1634.0</v>
      </c>
      <c r="P268" s="34" t="s">
        <v>99</v>
      </c>
      <c r="Q268" s="33" t="n">
        <f>1665</f>
        <v>1665.0</v>
      </c>
      <c r="R268" s="34" t="s">
        <v>51</v>
      </c>
      <c r="S268" s="35" t="n">
        <f>1684.05</f>
        <v>1684.05</v>
      </c>
      <c r="T268" s="32" t="n">
        <f>68772</f>
        <v>68772.0</v>
      </c>
      <c r="U268" s="32" t="str">
        <f>"－"</f>
        <v>－</v>
      </c>
      <c r="V268" s="32" t="n">
        <f>116698738</f>
        <v>1.16698738E8</v>
      </c>
      <c r="W268" s="32" t="str">
        <f>"－"</f>
        <v>－</v>
      </c>
      <c r="X268" s="36" t="n">
        <f>22</f>
        <v>22.0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2673</f>
        <v>2673.0</v>
      </c>
      <c r="L269" s="34" t="s">
        <v>48</v>
      </c>
      <c r="M269" s="33" t="n">
        <f>2770</f>
        <v>2770.0</v>
      </c>
      <c r="N269" s="34" t="s">
        <v>182</v>
      </c>
      <c r="O269" s="33" t="n">
        <f>2595</f>
        <v>2595.0</v>
      </c>
      <c r="P269" s="34" t="s">
        <v>69</v>
      </c>
      <c r="Q269" s="33" t="n">
        <f>2637</f>
        <v>2637.0</v>
      </c>
      <c r="R269" s="34" t="s">
        <v>51</v>
      </c>
      <c r="S269" s="35" t="n">
        <f>2673.45</f>
        <v>2673.45</v>
      </c>
      <c r="T269" s="32" t="n">
        <f>37384</f>
        <v>37384.0</v>
      </c>
      <c r="U269" s="32" t="str">
        <f>"－"</f>
        <v>－</v>
      </c>
      <c r="V269" s="32" t="n">
        <f>99881503</f>
        <v>9.9881503E7</v>
      </c>
      <c r="W269" s="32" t="str">
        <f>"－"</f>
        <v>－</v>
      </c>
      <c r="X269" s="36" t="n">
        <f>22</f>
        <v>22.0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2027</f>
        <v>2027.0</v>
      </c>
      <c r="L270" s="34" t="s">
        <v>48</v>
      </c>
      <c r="M270" s="33" t="n">
        <f>2112</f>
        <v>2112.0</v>
      </c>
      <c r="N270" s="34" t="s">
        <v>49</v>
      </c>
      <c r="O270" s="33" t="n">
        <f>2006</f>
        <v>2006.0</v>
      </c>
      <c r="P270" s="34" t="s">
        <v>50</v>
      </c>
      <c r="Q270" s="33" t="n">
        <f>2045</f>
        <v>2045.0</v>
      </c>
      <c r="R270" s="34" t="s">
        <v>51</v>
      </c>
      <c r="S270" s="35" t="n">
        <f>2058.68</f>
        <v>2058.68</v>
      </c>
      <c r="T270" s="32" t="n">
        <f>73859</f>
        <v>73859.0</v>
      </c>
      <c r="U270" s="32" t="str">
        <f>"－"</f>
        <v>－</v>
      </c>
      <c r="V270" s="32" t="n">
        <f>151881646</f>
        <v>1.51881646E8</v>
      </c>
      <c r="W270" s="32" t="str">
        <f>"－"</f>
        <v>－</v>
      </c>
      <c r="X270" s="36" t="n">
        <f>22</f>
        <v>22.0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25840</f>
        <v>25840.0</v>
      </c>
      <c r="L271" s="34" t="s">
        <v>48</v>
      </c>
      <c r="M271" s="33" t="n">
        <f>26420</f>
        <v>26420.0</v>
      </c>
      <c r="N271" s="34" t="s">
        <v>182</v>
      </c>
      <c r="O271" s="33" t="n">
        <f>25500</f>
        <v>25500.0</v>
      </c>
      <c r="P271" s="34" t="s">
        <v>50</v>
      </c>
      <c r="Q271" s="33" t="n">
        <f>25690</f>
        <v>25690.0</v>
      </c>
      <c r="R271" s="34" t="s">
        <v>69</v>
      </c>
      <c r="S271" s="35" t="n">
        <f>25916.58</f>
        <v>25916.58</v>
      </c>
      <c r="T271" s="32" t="n">
        <f>73</f>
        <v>73.0</v>
      </c>
      <c r="U271" s="32" t="str">
        <f>"－"</f>
        <v>－</v>
      </c>
      <c r="V271" s="32" t="n">
        <f>1892815</f>
        <v>1892815.0</v>
      </c>
      <c r="W271" s="32" t="str">
        <f>"－"</f>
        <v>－</v>
      </c>
      <c r="X271" s="36" t="n">
        <f>19</f>
        <v>19.0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2029</f>
        <v>2029.0</v>
      </c>
      <c r="L272" s="34" t="s">
        <v>48</v>
      </c>
      <c r="M272" s="33" t="n">
        <f>2085</f>
        <v>2085.0</v>
      </c>
      <c r="N272" s="34" t="s">
        <v>49</v>
      </c>
      <c r="O272" s="33" t="n">
        <f>2000</f>
        <v>2000.0</v>
      </c>
      <c r="P272" s="34" t="s">
        <v>189</v>
      </c>
      <c r="Q272" s="33" t="n">
        <f>2021</f>
        <v>2021.0</v>
      </c>
      <c r="R272" s="34" t="s">
        <v>51</v>
      </c>
      <c r="S272" s="35" t="n">
        <f>2038.45</f>
        <v>2038.45</v>
      </c>
      <c r="T272" s="32" t="n">
        <f>17471</f>
        <v>17471.0</v>
      </c>
      <c r="U272" s="32" t="str">
        <f>"－"</f>
        <v>－</v>
      </c>
      <c r="V272" s="32" t="n">
        <f>35727052</f>
        <v>3.5727052E7</v>
      </c>
      <c r="W272" s="32" t="str">
        <f>"－"</f>
        <v>－</v>
      </c>
      <c r="X272" s="36" t="n">
        <f>20</f>
        <v>20.0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2052</f>
        <v>2052.0</v>
      </c>
      <c r="L273" s="34" t="s">
        <v>48</v>
      </c>
      <c r="M273" s="33" t="n">
        <f>2182</f>
        <v>2182.0</v>
      </c>
      <c r="N273" s="34" t="s">
        <v>182</v>
      </c>
      <c r="O273" s="33" t="n">
        <f>1910</f>
        <v>1910.0</v>
      </c>
      <c r="P273" s="34" t="s">
        <v>69</v>
      </c>
      <c r="Q273" s="33" t="n">
        <f>2082</f>
        <v>2082.0</v>
      </c>
      <c r="R273" s="34" t="s">
        <v>51</v>
      </c>
      <c r="S273" s="35" t="n">
        <f>2119.77</f>
        <v>2119.77</v>
      </c>
      <c r="T273" s="32" t="n">
        <f>332755</f>
        <v>332755.0</v>
      </c>
      <c r="U273" s="32" t="str">
        <f>"－"</f>
        <v>－</v>
      </c>
      <c r="V273" s="32" t="n">
        <f>708068034</f>
        <v>7.08068034E8</v>
      </c>
      <c r="W273" s="32" t="str">
        <f>"－"</f>
        <v>－</v>
      </c>
      <c r="X273" s="36" t="n">
        <f>22</f>
        <v>22.0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1822</f>
        <v>1822.0</v>
      </c>
      <c r="L274" s="34" t="s">
        <v>48</v>
      </c>
      <c r="M274" s="33" t="n">
        <f>1924</f>
        <v>1924.0</v>
      </c>
      <c r="N274" s="34" t="s">
        <v>182</v>
      </c>
      <c r="O274" s="33" t="n">
        <f>1809</f>
        <v>1809.0</v>
      </c>
      <c r="P274" s="34" t="s">
        <v>69</v>
      </c>
      <c r="Q274" s="33" t="n">
        <f>1844</f>
        <v>1844.0</v>
      </c>
      <c r="R274" s="34" t="s">
        <v>51</v>
      </c>
      <c r="S274" s="35" t="n">
        <f>1871.14</f>
        <v>1871.14</v>
      </c>
      <c r="T274" s="32" t="n">
        <f>21396</f>
        <v>21396.0</v>
      </c>
      <c r="U274" s="32" t="str">
        <f>"－"</f>
        <v>－</v>
      </c>
      <c r="V274" s="32" t="n">
        <f>40385649</f>
        <v>4.0385649E7</v>
      </c>
      <c r="W274" s="32" t="str">
        <f>"－"</f>
        <v>－</v>
      </c>
      <c r="X274" s="36" t="n">
        <f>22</f>
        <v>22.0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1343</f>
        <v>1343.0</v>
      </c>
      <c r="L275" s="34" t="s">
        <v>48</v>
      </c>
      <c r="M275" s="33" t="n">
        <f>1405</f>
        <v>1405.0</v>
      </c>
      <c r="N275" s="34" t="s">
        <v>175</v>
      </c>
      <c r="O275" s="33" t="n">
        <f>1315</f>
        <v>1315.0</v>
      </c>
      <c r="P275" s="34" t="s">
        <v>74</v>
      </c>
      <c r="Q275" s="33" t="n">
        <f>1386</f>
        <v>1386.0</v>
      </c>
      <c r="R275" s="34" t="s">
        <v>51</v>
      </c>
      <c r="S275" s="35" t="n">
        <f>1364.32</f>
        <v>1364.32</v>
      </c>
      <c r="T275" s="32" t="n">
        <f>19421</f>
        <v>19421.0</v>
      </c>
      <c r="U275" s="32" t="str">
        <f>"－"</f>
        <v>－</v>
      </c>
      <c r="V275" s="32" t="n">
        <f>26717057</f>
        <v>2.6717057E7</v>
      </c>
      <c r="W275" s="32" t="str">
        <f>"－"</f>
        <v>－</v>
      </c>
      <c r="X275" s="36" t="n">
        <f>22</f>
        <v>22.0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5402</f>
        <v>5402.0</v>
      </c>
      <c r="L276" s="34" t="s">
        <v>48</v>
      </c>
      <c r="M276" s="33" t="n">
        <f>5459</f>
        <v>5459.0</v>
      </c>
      <c r="N276" s="34" t="s">
        <v>51</v>
      </c>
      <c r="O276" s="33" t="n">
        <f>5320</f>
        <v>5320.0</v>
      </c>
      <c r="P276" s="34" t="s">
        <v>274</v>
      </c>
      <c r="Q276" s="33" t="n">
        <f>5459</f>
        <v>5459.0</v>
      </c>
      <c r="R276" s="34" t="s">
        <v>51</v>
      </c>
      <c r="S276" s="35" t="n">
        <f>5405.11</f>
        <v>5405.11</v>
      </c>
      <c r="T276" s="32" t="n">
        <f>165110</f>
        <v>165110.0</v>
      </c>
      <c r="U276" s="32" t="n">
        <f>81140</f>
        <v>81140.0</v>
      </c>
      <c r="V276" s="32" t="n">
        <f>892223450</f>
        <v>8.9222345E8</v>
      </c>
      <c r="W276" s="32" t="n">
        <f>439616000</f>
        <v>4.39616E8</v>
      </c>
      <c r="X276" s="36" t="n">
        <f>18</f>
        <v>18.0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4560</f>
        <v>4560.0</v>
      </c>
      <c r="L277" s="34" t="s">
        <v>48</v>
      </c>
      <c r="M277" s="33" t="n">
        <f>4601</f>
        <v>4601.0</v>
      </c>
      <c r="N277" s="34" t="s">
        <v>50</v>
      </c>
      <c r="O277" s="33" t="n">
        <f>4384</f>
        <v>4384.0</v>
      </c>
      <c r="P277" s="34" t="s">
        <v>51</v>
      </c>
      <c r="Q277" s="33" t="n">
        <f>4384</f>
        <v>4384.0</v>
      </c>
      <c r="R277" s="34" t="s">
        <v>51</v>
      </c>
      <c r="S277" s="35" t="n">
        <f>4482.05</f>
        <v>4482.05</v>
      </c>
      <c r="T277" s="32" t="n">
        <f>3081410</f>
        <v>3081410.0</v>
      </c>
      <c r="U277" s="32" t="n">
        <f>2888250</f>
        <v>2888250.0</v>
      </c>
      <c r="V277" s="32" t="n">
        <f>13673607030</f>
        <v>1.367360703E10</v>
      </c>
      <c r="W277" s="32" t="n">
        <f>12807885600</f>
        <v>1.28078856E10</v>
      </c>
      <c r="X277" s="36" t="n">
        <f>19</f>
        <v>19.0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744.4</f>
        <v>744.4</v>
      </c>
      <c r="L278" s="34" t="s">
        <v>189</v>
      </c>
      <c r="M278" s="33" t="n">
        <f>749.7</f>
        <v>749.7</v>
      </c>
      <c r="N278" s="34" t="s">
        <v>103</v>
      </c>
      <c r="O278" s="33" t="n">
        <f>730.6</f>
        <v>730.6</v>
      </c>
      <c r="P278" s="34" t="s">
        <v>51</v>
      </c>
      <c r="Q278" s="33" t="n">
        <f>740.1</f>
        <v>740.1</v>
      </c>
      <c r="R278" s="34" t="s">
        <v>51</v>
      </c>
      <c r="S278" s="35" t="n">
        <f>742.14</f>
        <v>742.14</v>
      </c>
      <c r="T278" s="32" t="n">
        <f>65850</f>
        <v>65850.0</v>
      </c>
      <c r="U278" s="32" t="n">
        <f>33000</f>
        <v>33000.0</v>
      </c>
      <c r="V278" s="32" t="n">
        <f>48757470</f>
        <v>4.875747E7</v>
      </c>
      <c r="W278" s="32" t="n">
        <f>24553188</f>
        <v>2.4553188E7</v>
      </c>
      <c r="X278" s="36" t="n">
        <f>9</f>
        <v>9.0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2097</f>
        <v>2097.0</v>
      </c>
      <c r="L279" s="34" t="s">
        <v>48</v>
      </c>
      <c r="M279" s="33" t="n">
        <f>2215</f>
        <v>2215.0</v>
      </c>
      <c r="N279" s="34" t="s">
        <v>49</v>
      </c>
      <c r="O279" s="33" t="n">
        <f>2030</f>
        <v>2030.0</v>
      </c>
      <c r="P279" s="34" t="s">
        <v>69</v>
      </c>
      <c r="Q279" s="33" t="n">
        <f>2098</f>
        <v>2098.0</v>
      </c>
      <c r="R279" s="34" t="s">
        <v>51</v>
      </c>
      <c r="S279" s="35" t="n">
        <f>2145.27</f>
        <v>2145.27</v>
      </c>
      <c r="T279" s="32" t="n">
        <f>72309</f>
        <v>72309.0</v>
      </c>
      <c r="U279" s="32" t="str">
        <f>"－"</f>
        <v>－</v>
      </c>
      <c r="V279" s="32" t="n">
        <f>154839502</f>
        <v>1.54839502E8</v>
      </c>
      <c r="W279" s="32" t="str">
        <f>"－"</f>
        <v>－</v>
      </c>
      <c r="X279" s="36" t="n">
        <f>22</f>
        <v>22.0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1925</f>
        <v>1925.0</v>
      </c>
      <c r="L280" s="34" t="s">
        <v>48</v>
      </c>
      <c r="M280" s="33" t="n">
        <f>2016</f>
        <v>2016.0</v>
      </c>
      <c r="N280" s="34" t="s">
        <v>182</v>
      </c>
      <c r="O280" s="33" t="n">
        <f>1856</f>
        <v>1856.0</v>
      </c>
      <c r="P280" s="34" t="s">
        <v>69</v>
      </c>
      <c r="Q280" s="33" t="n">
        <f>1913</f>
        <v>1913.0</v>
      </c>
      <c r="R280" s="34" t="s">
        <v>51</v>
      </c>
      <c r="S280" s="35" t="n">
        <f>1958</f>
        <v>1958.0</v>
      </c>
      <c r="T280" s="32" t="n">
        <f>121414</f>
        <v>121414.0</v>
      </c>
      <c r="U280" s="32" t="n">
        <f>100000</f>
        <v>100000.0</v>
      </c>
      <c r="V280" s="32" t="n">
        <f>241169386</f>
        <v>2.41169386E8</v>
      </c>
      <c r="W280" s="32" t="n">
        <f>199185000</f>
        <v>1.99185E8</v>
      </c>
      <c r="X280" s="36" t="n">
        <f>22</f>
        <v>22.0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8063</f>
        <v>8063.0</v>
      </c>
      <c r="L281" s="34" t="s">
        <v>48</v>
      </c>
      <c r="M281" s="33" t="n">
        <f>8119</f>
        <v>8119.0</v>
      </c>
      <c r="N281" s="34" t="s">
        <v>73</v>
      </c>
      <c r="O281" s="33" t="n">
        <f>7907</f>
        <v>7907.0</v>
      </c>
      <c r="P281" s="34" t="s">
        <v>274</v>
      </c>
      <c r="Q281" s="33" t="n">
        <f>8092</f>
        <v>8092.0</v>
      </c>
      <c r="R281" s="34" t="s">
        <v>51</v>
      </c>
      <c r="S281" s="35" t="n">
        <f>8047.77</f>
        <v>8047.77</v>
      </c>
      <c r="T281" s="32" t="n">
        <f>40432</f>
        <v>40432.0</v>
      </c>
      <c r="U281" s="32" t="n">
        <f>37195</f>
        <v>37195.0</v>
      </c>
      <c r="V281" s="32" t="n">
        <f>326859760</f>
        <v>3.2685976E8</v>
      </c>
      <c r="W281" s="32" t="n">
        <f>300766853</f>
        <v>3.00766853E8</v>
      </c>
      <c r="X281" s="36" t="n">
        <f>22</f>
        <v>22.0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6788</f>
        <v>6788.0</v>
      </c>
      <c r="L282" s="34" t="s">
        <v>48</v>
      </c>
      <c r="M282" s="33" t="n">
        <f>6861</f>
        <v>6861.0</v>
      </c>
      <c r="N282" s="34" t="s">
        <v>50</v>
      </c>
      <c r="O282" s="33" t="n">
        <f>6519</f>
        <v>6519.0</v>
      </c>
      <c r="P282" s="34" t="s">
        <v>69</v>
      </c>
      <c r="Q282" s="33" t="n">
        <f>6520</f>
        <v>6520.0</v>
      </c>
      <c r="R282" s="34" t="s">
        <v>51</v>
      </c>
      <c r="S282" s="35" t="n">
        <f>6658.55</f>
        <v>6658.55</v>
      </c>
      <c r="T282" s="32" t="n">
        <f>25572</f>
        <v>25572.0</v>
      </c>
      <c r="U282" s="32" t="n">
        <f>23826</f>
        <v>23826.0</v>
      </c>
      <c r="V282" s="32" t="n">
        <f>170289378</f>
        <v>1.70289378E8</v>
      </c>
      <c r="W282" s="32" t="n">
        <f>158528671</f>
        <v>1.58528671E8</v>
      </c>
      <c r="X282" s="36" t="n">
        <f>20</f>
        <v>20.0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16225</f>
        <v>16225.0</v>
      </c>
      <c r="L283" s="34" t="s">
        <v>48</v>
      </c>
      <c r="M283" s="33" t="n">
        <f>17345</f>
        <v>17345.0</v>
      </c>
      <c r="N283" s="34" t="s">
        <v>182</v>
      </c>
      <c r="O283" s="33" t="n">
        <f>15840</f>
        <v>15840.0</v>
      </c>
      <c r="P283" s="34" t="s">
        <v>50</v>
      </c>
      <c r="Q283" s="33" t="n">
        <f>16245</f>
        <v>16245.0</v>
      </c>
      <c r="R283" s="34" t="s">
        <v>51</v>
      </c>
      <c r="S283" s="35" t="n">
        <f>16693.18</f>
        <v>16693.18</v>
      </c>
      <c r="T283" s="32" t="n">
        <f>119338</f>
        <v>119338.0</v>
      </c>
      <c r="U283" s="32" t="str">
        <f>"－"</f>
        <v>－</v>
      </c>
      <c r="V283" s="32" t="n">
        <f>1972924525</f>
        <v>1.972924525E9</v>
      </c>
      <c r="W283" s="32" t="str">
        <f>"－"</f>
        <v>－</v>
      </c>
      <c r="X283" s="36" t="n">
        <f>22</f>
        <v>22.0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8991</f>
        <v>8991.0</v>
      </c>
      <c r="L284" s="34" t="s">
        <v>48</v>
      </c>
      <c r="M284" s="33" t="n">
        <f>9506</f>
        <v>9506.0</v>
      </c>
      <c r="N284" s="34" t="s">
        <v>140</v>
      </c>
      <c r="O284" s="33" t="n">
        <f>8577</f>
        <v>8577.0</v>
      </c>
      <c r="P284" s="34" t="s">
        <v>51</v>
      </c>
      <c r="Q284" s="33" t="n">
        <f>8640</f>
        <v>8640.0</v>
      </c>
      <c r="R284" s="34" t="s">
        <v>51</v>
      </c>
      <c r="S284" s="35" t="n">
        <f>9108.32</f>
        <v>9108.32</v>
      </c>
      <c r="T284" s="32" t="n">
        <f>481736</f>
        <v>481736.0</v>
      </c>
      <c r="U284" s="32" t="n">
        <f>242004</f>
        <v>242004.0</v>
      </c>
      <c r="V284" s="32" t="n">
        <f>4426066016</f>
        <v>4.426066016E9</v>
      </c>
      <c r="W284" s="32" t="n">
        <f>2270612534</f>
        <v>2.270612534E9</v>
      </c>
      <c r="X284" s="36" t="n">
        <f>22</f>
        <v>22.0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28975</f>
        <v>28975.0</v>
      </c>
      <c r="L285" s="34" t="s">
        <v>48</v>
      </c>
      <c r="M285" s="33" t="n">
        <f>30170</f>
        <v>30170.0</v>
      </c>
      <c r="N285" s="34" t="s">
        <v>51</v>
      </c>
      <c r="O285" s="33" t="n">
        <f>27340</f>
        <v>27340.0</v>
      </c>
      <c r="P285" s="34" t="s">
        <v>140</v>
      </c>
      <c r="Q285" s="33" t="n">
        <f>29970</f>
        <v>29970.0</v>
      </c>
      <c r="R285" s="34" t="s">
        <v>51</v>
      </c>
      <c r="S285" s="35" t="n">
        <f>28552.27</f>
        <v>28552.27</v>
      </c>
      <c r="T285" s="32" t="n">
        <f>347570</f>
        <v>347570.0</v>
      </c>
      <c r="U285" s="32" t="n">
        <f>15800</f>
        <v>15800.0</v>
      </c>
      <c r="V285" s="32" t="n">
        <f>10042966342</f>
        <v>1.0042966342E10</v>
      </c>
      <c r="W285" s="32" t="n">
        <f>447305977</f>
        <v>4.47305977E8</v>
      </c>
      <c r="X285" s="36" t="n">
        <f>22</f>
        <v>22.0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10.0</v>
      </c>
      <c r="K286" s="33" t="n">
        <f>4942</f>
        <v>4942.0</v>
      </c>
      <c r="L286" s="34" t="s">
        <v>50</v>
      </c>
      <c r="M286" s="33" t="n">
        <f>4942</f>
        <v>4942.0</v>
      </c>
      <c r="N286" s="34" t="s">
        <v>50</v>
      </c>
      <c r="O286" s="33" t="n">
        <f>4440</f>
        <v>4440.0</v>
      </c>
      <c r="P286" s="34" t="s">
        <v>69</v>
      </c>
      <c r="Q286" s="33" t="n">
        <f>4440</f>
        <v>4440.0</v>
      </c>
      <c r="R286" s="34" t="s">
        <v>69</v>
      </c>
      <c r="S286" s="35" t="n">
        <f>4552.27</f>
        <v>4552.27</v>
      </c>
      <c r="T286" s="32" t="n">
        <f>1270</f>
        <v>1270.0</v>
      </c>
      <c r="U286" s="32" t="str">
        <f>"－"</f>
        <v>－</v>
      </c>
      <c r="V286" s="32" t="n">
        <f>5865950</f>
        <v>5865950.0</v>
      </c>
      <c r="W286" s="32" t="str">
        <f>"－"</f>
        <v>－</v>
      </c>
      <c r="X286" s="36" t="n">
        <f>11</f>
        <v>11.0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5236</f>
        <v>5236.0</v>
      </c>
      <c r="L287" s="34" t="s">
        <v>48</v>
      </c>
      <c r="M287" s="33" t="n">
        <f>5300</f>
        <v>5300.0</v>
      </c>
      <c r="N287" s="34" t="s">
        <v>73</v>
      </c>
      <c r="O287" s="33" t="n">
        <f>5137</f>
        <v>5137.0</v>
      </c>
      <c r="P287" s="34" t="s">
        <v>64</v>
      </c>
      <c r="Q287" s="33" t="n">
        <f>5199</f>
        <v>5199.0</v>
      </c>
      <c r="R287" s="34" t="s">
        <v>175</v>
      </c>
      <c r="S287" s="35" t="n">
        <f>5214.69</f>
        <v>5214.69</v>
      </c>
      <c r="T287" s="32" t="n">
        <f>99370</f>
        <v>99370.0</v>
      </c>
      <c r="U287" s="32" t="n">
        <f>70000</f>
        <v>70000.0</v>
      </c>
      <c r="V287" s="32" t="n">
        <f>521949858</f>
        <v>5.21949858E8</v>
      </c>
      <c r="W287" s="32" t="n">
        <f>368401488</f>
        <v>3.68401488E8</v>
      </c>
      <c r="X287" s="36" t="n">
        <f>13</f>
        <v>13.0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1873</f>
        <v>1873.0</v>
      </c>
      <c r="L288" s="34" t="s">
        <v>48</v>
      </c>
      <c r="M288" s="33" t="n">
        <f>1976.5</f>
        <v>1976.5</v>
      </c>
      <c r="N288" s="34" t="s">
        <v>49</v>
      </c>
      <c r="O288" s="33" t="n">
        <f>1785.5</f>
        <v>1785.5</v>
      </c>
      <c r="P288" s="34" t="s">
        <v>51</v>
      </c>
      <c r="Q288" s="33" t="n">
        <f>1800</f>
        <v>1800.0</v>
      </c>
      <c r="R288" s="34" t="s">
        <v>51</v>
      </c>
      <c r="S288" s="35" t="n">
        <f>1897.11</f>
        <v>1897.11</v>
      </c>
      <c r="T288" s="32" t="n">
        <f>859770</f>
        <v>859770.0</v>
      </c>
      <c r="U288" s="32" t="str">
        <f>"－"</f>
        <v>－</v>
      </c>
      <c r="V288" s="32" t="n">
        <f>1608874005</f>
        <v>1.608874005E9</v>
      </c>
      <c r="W288" s="32" t="str">
        <f>"－"</f>
        <v>－</v>
      </c>
      <c r="X288" s="36" t="n">
        <f>22</f>
        <v>22.0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1902.5</f>
        <v>1902.5</v>
      </c>
      <c r="L289" s="34" t="s">
        <v>48</v>
      </c>
      <c r="M289" s="33" t="n">
        <f>1996.5</f>
        <v>1996.5</v>
      </c>
      <c r="N289" s="34" t="s">
        <v>49</v>
      </c>
      <c r="O289" s="33" t="n">
        <f>1860</f>
        <v>1860.0</v>
      </c>
      <c r="P289" s="34" t="s">
        <v>51</v>
      </c>
      <c r="Q289" s="33" t="n">
        <f>1867</f>
        <v>1867.0</v>
      </c>
      <c r="R289" s="34" t="s">
        <v>51</v>
      </c>
      <c r="S289" s="35" t="n">
        <f>1932.41</f>
        <v>1932.41</v>
      </c>
      <c r="T289" s="32" t="n">
        <f>2730440</f>
        <v>2730440.0</v>
      </c>
      <c r="U289" s="32" t="n">
        <f>1796500</f>
        <v>1796500.0</v>
      </c>
      <c r="V289" s="32" t="n">
        <f>5382671745</f>
        <v>5.382671745E9</v>
      </c>
      <c r="W289" s="32" t="n">
        <f>3560382375</f>
        <v>3.560382375E9</v>
      </c>
      <c r="X289" s="36" t="n">
        <f>22</f>
        <v>22.0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1550</f>
        <v>1550.0</v>
      </c>
      <c r="L290" s="34" t="s">
        <v>48</v>
      </c>
      <c r="M290" s="33" t="n">
        <f>1616</f>
        <v>1616.0</v>
      </c>
      <c r="N290" s="34" t="s">
        <v>182</v>
      </c>
      <c r="O290" s="33" t="n">
        <f>1547</f>
        <v>1547.0</v>
      </c>
      <c r="P290" s="34" t="s">
        <v>99</v>
      </c>
      <c r="Q290" s="33" t="n">
        <f>1585</f>
        <v>1585.0</v>
      </c>
      <c r="R290" s="34" t="s">
        <v>51</v>
      </c>
      <c r="S290" s="35" t="n">
        <f>1583.5</f>
        <v>1583.5</v>
      </c>
      <c r="T290" s="32" t="n">
        <f>146127</f>
        <v>146127.0</v>
      </c>
      <c r="U290" s="32" t="str">
        <f>"－"</f>
        <v>－</v>
      </c>
      <c r="V290" s="32" t="n">
        <f>230590595</f>
        <v>2.30590595E8</v>
      </c>
      <c r="W290" s="32" t="str">
        <f>"－"</f>
        <v>－</v>
      </c>
      <c r="X290" s="36" t="n">
        <f>22</f>
        <v>22.0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1550</f>
        <v>1550.0</v>
      </c>
      <c r="L291" s="34" t="s">
        <v>48</v>
      </c>
      <c r="M291" s="33" t="n">
        <f>1605</f>
        <v>1605.0</v>
      </c>
      <c r="N291" s="34" t="s">
        <v>49</v>
      </c>
      <c r="O291" s="33" t="n">
        <f>1505</f>
        <v>1505.0</v>
      </c>
      <c r="P291" s="34" t="s">
        <v>69</v>
      </c>
      <c r="Q291" s="33" t="n">
        <f>1558</f>
        <v>1558.0</v>
      </c>
      <c r="R291" s="34" t="s">
        <v>51</v>
      </c>
      <c r="S291" s="35" t="n">
        <f>1568.14</f>
        <v>1568.14</v>
      </c>
      <c r="T291" s="32" t="n">
        <f>23616</f>
        <v>23616.0</v>
      </c>
      <c r="U291" s="32" t="str">
        <f>"－"</f>
        <v>－</v>
      </c>
      <c r="V291" s="32" t="n">
        <f>36946245</f>
        <v>3.6946245E7</v>
      </c>
      <c r="W291" s="32" t="str">
        <f>"－"</f>
        <v>－</v>
      </c>
      <c r="X291" s="36" t="n">
        <f>22</f>
        <v>22.0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3175</f>
        <v>3175.0</v>
      </c>
      <c r="L292" s="34" t="s">
        <v>48</v>
      </c>
      <c r="M292" s="33" t="n">
        <f>3210</f>
        <v>3210.0</v>
      </c>
      <c r="N292" s="34" t="s">
        <v>165</v>
      </c>
      <c r="O292" s="33" t="n">
        <f>3080</f>
        <v>3080.0</v>
      </c>
      <c r="P292" s="34" t="s">
        <v>189</v>
      </c>
      <c r="Q292" s="33" t="n">
        <f>3160</f>
        <v>3160.0</v>
      </c>
      <c r="R292" s="34" t="s">
        <v>51</v>
      </c>
      <c r="S292" s="35" t="n">
        <f>3150.68</f>
        <v>3150.68</v>
      </c>
      <c r="T292" s="32" t="n">
        <f>6957</f>
        <v>6957.0</v>
      </c>
      <c r="U292" s="32" t="str">
        <f>"－"</f>
        <v>－</v>
      </c>
      <c r="V292" s="32" t="n">
        <f>21788610</f>
        <v>2.178861E7</v>
      </c>
      <c r="W292" s="32" t="str">
        <f>"－"</f>
        <v>－</v>
      </c>
      <c r="X292" s="36" t="n">
        <f>22</f>
        <v>22.0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1978</f>
        <v>1978.0</v>
      </c>
      <c r="L293" s="34" t="s">
        <v>50</v>
      </c>
      <c r="M293" s="33" t="n">
        <f>2078.5</f>
        <v>2078.5</v>
      </c>
      <c r="N293" s="34" t="s">
        <v>165</v>
      </c>
      <c r="O293" s="33" t="n">
        <f>1978</f>
        <v>1978.0</v>
      </c>
      <c r="P293" s="34" t="s">
        <v>50</v>
      </c>
      <c r="Q293" s="33" t="n">
        <f>1999</f>
        <v>1999.0</v>
      </c>
      <c r="R293" s="34" t="s">
        <v>51</v>
      </c>
      <c r="S293" s="35" t="n">
        <f>2029.7</f>
        <v>2029.7</v>
      </c>
      <c r="T293" s="32" t="n">
        <f>8150</f>
        <v>8150.0</v>
      </c>
      <c r="U293" s="32" t="str">
        <f>"－"</f>
        <v>－</v>
      </c>
      <c r="V293" s="32" t="n">
        <f>16229255</f>
        <v>1.6229255E7</v>
      </c>
      <c r="W293" s="32" t="str">
        <f>"－"</f>
        <v>－</v>
      </c>
      <c r="X293" s="36" t="n">
        <f>10</f>
        <v>10.0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202</f>
        <v>202.0</v>
      </c>
      <c r="L294" s="34" t="s">
        <v>48</v>
      </c>
      <c r="M294" s="33" t="n">
        <f>210</f>
        <v>210.0</v>
      </c>
      <c r="N294" s="34" t="s">
        <v>64</v>
      </c>
      <c r="O294" s="33" t="n">
        <f>197</f>
        <v>197.0</v>
      </c>
      <c r="P294" s="34" t="s">
        <v>48</v>
      </c>
      <c r="Q294" s="33" t="n">
        <f>199</f>
        <v>199.0</v>
      </c>
      <c r="R294" s="34" t="s">
        <v>51</v>
      </c>
      <c r="S294" s="35" t="n">
        <f>201.42</f>
        <v>201.42</v>
      </c>
      <c r="T294" s="32" t="n">
        <f>6480</f>
        <v>6480.0</v>
      </c>
      <c r="U294" s="32" t="str">
        <f>"－"</f>
        <v>－</v>
      </c>
      <c r="V294" s="32" t="n">
        <f>1304654</f>
        <v>1304654.0</v>
      </c>
      <c r="W294" s="32" t="str">
        <f>"－"</f>
        <v>－</v>
      </c>
      <c r="X294" s="36" t="n">
        <f>21</f>
        <v>21.0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204.5</f>
        <v>204.5</v>
      </c>
      <c r="L295" s="34" t="s">
        <v>48</v>
      </c>
      <c r="M295" s="33" t="n">
        <f>210</f>
        <v>210.0</v>
      </c>
      <c r="N295" s="34" t="s">
        <v>51</v>
      </c>
      <c r="O295" s="33" t="n">
        <f>200</f>
        <v>200.0</v>
      </c>
      <c r="P295" s="34" t="s">
        <v>140</v>
      </c>
      <c r="Q295" s="33" t="n">
        <f>206.1</f>
        <v>206.1</v>
      </c>
      <c r="R295" s="34" t="s">
        <v>51</v>
      </c>
      <c r="S295" s="35" t="n">
        <f>204.65</f>
        <v>204.65</v>
      </c>
      <c r="T295" s="32" t="n">
        <f>14620</f>
        <v>14620.0</v>
      </c>
      <c r="U295" s="32" t="str">
        <f>"－"</f>
        <v>－</v>
      </c>
      <c r="V295" s="32" t="n">
        <f>2994123</f>
        <v>2994123.0</v>
      </c>
      <c r="W295" s="32" t="str">
        <f>"－"</f>
        <v>－</v>
      </c>
      <c r="X295" s="36" t="n">
        <f>22</f>
        <v>22.0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10.0</v>
      </c>
      <c r="K296" s="33" t="n">
        <f>800.3</f>
        <v>800.3</v>
      </c>
      <c r="L296" s="34" t="s">
        <v>48</v>
      </c>
      <c r="M296" s="33" t="n">
        <f>811.4</f>
        <v>811.4</v>
      </c>
      <c r="N296" s="34" t="s">
        <v>50</v>
      </c>
      <c r="O296" s="33" t="n">
        <f>760.6</f>
        <v>760.6</v>
      </c>
      <c r="P296" s="34" t="s">
        <v>51</v>
      </c>
      <c r="Q296" s="33" t="n">
        <f>760.6</f>
        <v>760.6</v>
      </c>
      <c r="R296" s="34" t="s">
        <v>51</v>
      </c>
      <c r="S296" s="35" t="n">
        <f>786.1</f>
        <v>786.1</v>
      </c>
      <c r="T296" s="32" t="n">
        <f>21360</f>
        <v>21360.0</v>
      </c>
      <c r="U296" s="32" t="n">
        <f>16530</f>
        <v>16530.0</v>
      </c>
      <c r="V296" s="32" t="n">
        <f>16795350</f>
        <v>1.679535E7</v>
      </c>
      <c r="W296" s="32" t="n">
        <f>13049907</f>
        <v>1.3049907E7</v>
      </c>
      <c r="X296" s="36" t="n">
        <f>19</f>
        <v>19.0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1080</f>
        <v>1080.0</v>
      </c>
      <c r="L297" s="34" t="s">
        <v>48</v>
      </c>
      <c r="M297" s="33" t="n">
        <f>1139</f>
        <v>1139.0</v>
      </c>
      <c r="N297" s="34" t="s">
        <v>49</v>
      </c>
      <c r="O297" s="33" t="n">
        <f>1052</f>
        <v>1052.0</v>
      </c>
      <c r="P297" s="34" t="s">
        <v>69</v>
      </c>
      <c r="Q297" s="33" t="n">
        <f>1066</f>
        <v>1066.0</v>
      </c>
      <c r="R297" s="34" t="s">
        <v>51</v>
      </c>
      <c r="S297" s="35" t="n">
        <f>1101.09</f>
        <v>1101.09</v>
      </c>
      <c r="T297" s="32" t="n">
        <f>138982</f>
        <v>138982.0</v>
      </c>
      <c r="U297" s="32" t="str">
        <f>"－"</f>
        <v>－</v>
      </c>
      <c r="V297" s="32" t="n">
        <f>154944703</f>
        <v>1.54944703E8</v>
      </c>
      <c r="W297" s="32" t="str">
        <f>"－"</f>
        <v>－</v>
      </c>
      <c r="X297" s="36" t="n">
        <f>22</f>
        <v>22.0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1062</f>
        <v>1062.0</v>
      </c>
      <c r="L298" s="34" t="s">
        <v>48</v>
      </c>
      <c r="M298" s="33" t="n">
        <f>1084</f>
        <v>1084.0</v>
      </c>
      <c r="N298" s="34" t="s">
        <v>51</v>
      </c>
      <c r="O298" s="33" t="n">
        <f>1055</f>
        <v>1055.0</v>
      </c>
      <c r="P298" s="34" t="s">
        <v>74</v>
      </c>
      <c r="Q298" s="33" t="n">
        <f>1075</f>
        <v>1075.0</v>
      </c>
      <c r="R298" s="34" t="s">
        <v>51</v>
      </c>
      <c r="S298" s="35" t="n">
        <f>1066.14</f>
        <v>1066.14</v>
      </c>
      <c r="T298" s="32" t="n">
        <f>15883</f>
        <v>15883.0</v>
      </c>
      <c r="U298" s="32" t="str">
        <f>"－"</f>
        <v>－</v>
      </c>
      <c r="V298" s="32" t="n">
        <f>16929696</f>
        <v>1.6929696E7</v>
      </c>
      <c r="W298" s="32" t="str">
        <f>"－"</f>
        <v>－</v>
      </c>
      <c r="X298" s="36" t="n">
        <f>22</f>
        <v>22.0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806.3</f>
        <v>806.3</v>
      </c>
      <c r="L299" s="34" t="s">
        <v>48</v>
      </c>
      <c r="M299" s="33" t="n">
        <f>809.5</f>
        <v>809.5</v>
      </c>
      <c r="N299" s="34" t="s">
        <v>50</v>
      </c>
      <c r="O299" s="33" t="n">
        <f>783.6</f>
        <v>783.6</v>
      </c>
      <c r="P299" s="34" t="s">
        <v>51</v>
      </c>
      <c r="Q299" s="33" t="n">
        <f>784.4</f>
        <v>784.4</v>
      </c>
      <c r="R299" s="34" t="s">
        <v>51</v>
      </c>
      <c r="S299" s="35" t="n">
        <f>794.55</f>
        <v>794.55</v>
      </c>
      <c r="T299" s="32" t="n">
        <f>140790</f>
        <v>140790.0</v>
      </c>
      <c r="U299" s="32" t="n">
        <f>127000</f>
        <v>127000.0</v>
      </c>
      <c r="V299" s="32" t="n">
        <f>110726094</f>
        <v>1.10726094E8</v>
      </c>
      <c r="W299" s="32" t="n">
        <f>99695000</f>
        <v>9.9695E7</v>
      </c>
      <c r="X299" s="36" t="n">
        <f>19</f>
        <v>19.0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816</f>
        <v>816.0</v>
      </c>
      <c r="L300" s="34" t="s">
        <v>48</v>
      </c>
      <c r="M300" s="33" t="n">
        <f>827.9</f>
        <v>827.9</v>
      </c>
      <c r="N300" s="34" t="s">
        <v>73</v>
      </c>
      <c r="O300" s="33" t="n">
        <f>770.2</f>
        <v>770.2</v>
      </c>
      <c r="P300" s="34" t="s">
        <v>75</v>
      </c>
      <c r="Q300" s="33" t="n">
        <f>778</f>
        <v>778.0</v>
      </c>
      <c r="R300" s="34" t="s">
        <v>75</v>
      </c>
      <c r="S300" s="35" t="n">
        <f>801.44</f>
        <v>801.44</v>
      </c>
      <c r="T300" s="32" t="n">
        <f>8293730</f>
        <v>8293730.0</v>
      </c>
      <c r="U300" s="32" t="n">
        <f>8136410</f>
        <v>8136410.0</v>
      </c>
      <c r="V300" s="32" t="n">
        <f>6771305935</f>
        <v>6.771305935E9</v>
      </c>
      <c r="W300" s="32" t="n">
        <f>6645206757</f>
        <v>6.645206757E9</v>
      </c>
      <c r="X300" s="36" t="n">
        <f>19</f>
        <v>19.0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1003</f>
        <v>1003.0</v>
      </c>
      <c r="L301" s="34" t="s">
        <v>48</v>
      </c>
      <c r="M301" s="33" t="n">
        <f>1009</f>
        <v>1009.0</v>
      </c>
      <c r="N301" s="34" t="s">
        <v>49</v>
      </c>
      <c r="O301" s="33" t="n">
        <f>997</f>
        <v>997.0</v>
      </c>
      <c r="P301" s="34" t="s">
        <v>69</v>
      </c>
      <c r="Q301" s="33" t="n">
        <f>1003</f>
        <v>1003.0</v>
      </c>
      <c r="R301" s="34" t="s">
        <v>51</v>
      </c>
      <c r="S301" s="35" t="n">
        <f>1003.59</f>
        <v>1003.59</v>
      </c>
      <c r="T301" s="32" t="n">
        <f>95557</f>
        <v>95557.0</v>
      </c>
      <c r="U301" s="32" t="str">
        <f>"－"</f>
        <v>－</v>
      </c>
      <c r="V301" s="32" t="n">
        <f>95856604</f>
        <v>9.5856604E7</v>
      </c>
      <c r="W301" s="32" t="str">
        <f>"－"</f>
        <v>－</v>
      </c>
      <c r="X301" s="36" t="n">
        <f>22</f>
        <v>22.0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957</v>
      </c>
      <c r="F302" s="29" t="s">
        <v>958</v>
      </c>
      <c r="G302" s="30" t="s">
        <v>959</v>
      </c>
      <c r="H302" s="31"/>
      <c r="I302" s="31" t="s">
        <v>47</v>
      </c>
      <c r="J302" s="32" t="n">
        <v>10.0</v>
      </c>
      <c r="K302" s="33" t="n">
        <f>5080</f>
        <v>5080.0</v>
      </c>
      <c r="L302" s="34" t="s">
        <v>49</v>
      </c>
      <c r="M302" s="33" t="n">
        <f>5080</f>
        <v>5080.0</v>
      </c>
      <c r="N302" s="34" t="s">
        <v>49</v>
      </c>
      <c r="O302" s="33" t="n">
        <f>4836</f>
        <v>4836.0</v>
      </c>
      <c r="P302" s="34" t="s">
        <v>69</v>
      </c>
      <c r="Q302" s="33" t="n">
        <f>4897</f>
        <v>4897.0</v>
      </c>
      <c r="R302" s="34" t="s">
        <v>75</v>
      </c>
      <c r="S302" s="35" t="n">
        <f>4917.11</f>
        <v>4917.11</v>
      </c>
      <c r="T302" s="32" t="n">
        <f>43820</f>
        <v>43820.0</v>
      </c>
      <c r="U302" s="32" t="str">
        <f>"－"</f>
        <v>－</v>
      </c>
      <c r="V302" s="32" t="n">
        <f>216743570</f>
        <v>2.1674357E8</v>
      </c>
      <c r="W302" s="32" t="str">
        <f>"－"</f>
        <v>－</v>
      </c>
      <c r="X302" s="36" t="n">
        <f>9</f>
        <v>9.0</v>
      </c>
    </row>
    <row r="303">
      <c r="A303" s="27" t="s">
        <v>42</v>
      </c>
      <c r="B303" s="27" t="s">
        <v>960</v>
      </c>
      <c r="C303" s="27" t="s">
        <v>961</v>
      </c>
      <c r="D303" s="27" t="s">
        <v>962</v>
      </c>
      <c r="E303" s="28" t="s">
        <v>957</v>
      </c>
      <c r="F303" s="29" t="s">
        <v>958</v>
      </c>
      <c r="G303" s="30" t="s">
        <v>959</v>
      </c>
      <c r="H303" s="31"/>
      <c r="I303" s="31" t="s">
        <v>47</v>
      </c>
      <c r="J303" s="32" t="n">
        <v>10.0</v>
      </c>
      <c r="K303" s="33" t="n">
        <f>4998</f>
        <v>4998.0</v>
      </c>
      <c r="L303" s="34" t="s">
        <v>49</v>
      </c>
      <c r="M303" s="33" t="n">
        <f>5044</f>
        <v>5044.0</v>
      </c>
      <c r="N303" s="34" t="s">
        <v>49</v>
      </c>
      <c r="O303" s="33" t="n">
        <f>4702</f>
        <v>4702.0</v>
      </c>
      <c r="P303" s="34" t="s">
        <v>75</v>
      </c>
      <c r="Q303" s="33" t="n">
        <f>4702</f>
        <v>4702.0</v>
      </c>
      <c r="R303" s="34" t="s">
        <v>75</v>
      </c>
      <c r="S303" s="35" t="n">
        <f>4859.2</f>
        <v>4859.2</v>
      </c>
      <c r="T303" s="32" t="n">
        <f>435420</f>
        <v>435420.0</v>
      </c>
      <c r="U303" s="32" t="n">
        <f>435000</f>
        <v>435000.0</v>
      </c>
      <c r="V303" s="32" t="n">
        <f>2097310907</f>
        <v>2.097310907E9</v>
      </c>
      <c r="W303" s="32" t="n">
        <f>2095234167</f>
        <v>2.095234167E9</v>
      </c>
      <c r="X303" s="36" t="n">
        <f>5</f>
        <v>5.0</v>
      </c>
    </row>
    <row r="304">
      <c r="A304" s="27" t="s">
        <v>42</v>
      </c>
      <c r="B304" s="27" t="s">
        <v>963</v>
      </c>
      <c r="C304" s="27" t="s">
        <v>964</v>
      </c>
      <c r="D304" s="27" t="s">
        <v>965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119800</f>
        <v>119800.0</v>
      </c>
      <c r="L304" s="34" t="s">
        <v>48</v>
      </c>
      <c r="M304" s="33" t="n">
        <f>121800</f>
        <v>121800.0</v>
      </c>
      <c r="N304" s="34" t="s">
        <v>175</v>
      </c>
      <c r="O304" s="33" t="n">
        <f>116000</f>
        <v>116000.0</v>
      </c>
      <c r="P304" s="34" t="s">
        <v>103</v>
      </c>
      <c r="Q304" s="33" t="n">
        <f>120700</f>
        <v>120700.0</v>
      </c>
      <c r="R304" s="34" t="s">
        <v>51</v>
      </c>
      <c r="S304" s="35" t="n">
        <f>119000</f>
        <v>119000.0</v>
      </c>
      <c r="T304" s="32" t="n">
        <f>37204</f>
        <v>37204.0</v>
      </c>
      <c r="U304" s="32" t="n">
        <f>3724</f>
        <v>3724.0</v>
      </c>
      <c r="V304" s="32" t="n">
        <f>4427304181</f>
        <v>4.427304181E9</v>
      </c>
      <c r="W304" s="32" t="n">
        <f>440704381</f>
        <v>4.40704381E8</v>
      </c>
      <c r="X304" s="36" t="n">
        <f>22</f>
        <v>22.0</v>
      </c>
    </row>
    <row r="305">
      <c r="A305" s="27" t="s">
        <v>42</v>
      </c>
      <c r="B305" s="27" t="s">
        <v>966</v>
      </c>
      <c r="C305" s="27" t="s">
        <v>967</v>
      </c>
      <c r="D305" s="27" t="s">
        <v>968</v>
      </c>
      <c r="E305" s="28" t="s">
        <v>46</v>
      </c>
      <c r="F305" s="29" t="s">
        <v>46</v>
      </c>
      <c r="G305" s="30" t="s">
        <v>46</v>
      </c>
      <c r="H305" s="31"/>
      <c r="I305" s="31" t="s">
        <v>598</v>
      </c>
      <c r="J305" s="32" t="n">
        <v>1.0</v>
      </c>
      <c r="K305" s="33" t="n">
        <f>100800</f>
        <v>100800.0</v>
      </c>
      <c r="L305" s="34" t="s">
        <v>48</v>
      </c>
      <c r="M305" s="33" t="n">
        <f>100800</f>
        <v>100800.0</v>
      </c>
      <c r="N305" s="34" t="s">
        <v>48</v>
      </c>
      <c r="O305" s="33" t="n">
        <f>96200</f>
        <v>96200.0</v>
      </c>
      <c r="P305" s="34" t="s">
        <v>75</v>
      </c>
      <c r="Q305" s="33" t="n">
        <f>97200</f>
        <v>97200.0</v>
      </c>
      <c r="R305" s="34" t="s">
        <v>51</v>
      </c>
      <c r="S305" s="35" t="n">
        <f>99481.82</f>
        <v>99481.82</v>
      </c>
      <c r="T305" s="32" t="n">
        <f>64005</f>
        <v>64005.0</v>
      </c>
      <c r="U305" s="32" t="n">
        <f>8340</f>
        <v>8340.0</v>
      </c>
      <c r="V305" s="32" t="n">
        <f>6351117719</f>
        <v>6.351117719E9</v>
      </c>
      <c r="W305" s="32" t="n">
        <f>827577619</f>
        <v>8.27577619E8</v>
      </c>
      <c r="X305" s="36" t="n">
        <f>22</f>
        <v>22.0</v>
      </c>
    </row>
    <row r="306">
      <c r="A306" s="27" t="s">
        <v>42</v>
      </c>
      <c r="B306" s="27" t="s">
        <v>969</v>
      </c>
      <c r="C306" s="27" t="s">
        <v>970</v>
      </c>
      <c r="D306" s="27" t="s">
        <v>971</v>
      </c>
      <c r="E306" s="28" t="s">
        <v>46</v>
      </c>
      <c r="F306" s="29" t="s">
        <v>46</v>
      </c>
      <c r="G306" s="30" t="s">
        <v>46</v>
      </c>
      <c r="H306" s="31"/>
      <c r="I306" s="31" t="s">
        <v>598</v>
      </c>
      <c r="J306" s="32" t="n">
        <v>1.0</v>
      </c>
      <c r="K306" s="33" t="n">
        <f>154300</f>
        <v>154300.0</v>
      </c>
      <c r="L306" s="34" t="s">
        <v>48</v>
      </c>
      <c r="M306" s="33" t="n">
        <f>159500</f>
        <v>159500.0</v>
      </c>
      <c r="N306" s="34" t="s">
        <v>51</v>
      </c>
      <c r="O306" s="33" t="n">
        <f>151900</f>
        <v>151900.0</v>
      </c>
      <c r="P306" s="34" t="s">
        <v>74</v>
      </c>
      <c r="Q306" s="33" t="n">
        <f>157800</f>
        <v>157800.0</v>
      </c>
      <c r="R306" s="34" t="s">
        <v>51</v>
      </c>
      <c r="S306" s="35" t="n">
        <f>155272.73</f>
        <v>155272.73</v>
      </c>
      <c r="T306" s="32" t="n">
        <f>27831</f>
        <v>27831.0</v>
      </c>
      <c r="U306" s="32" t="n">
        <f>5537</f>
        <v>5537.0</v>
      </c>
      <c r="V306" s="32" t="n">
        <f>4329452678</f>
        <v>4.329452678E9</v>
      </c>
      <c r="W306" s="32" t="n">
        <f>863197678</f>
        <v>8.63197678E8</v>
      </c>
      <c r="X306" s="36" t="n">
        <f>22</f>
        <v>22.0</v>
      </c>
    </row>
    <row r="307">
      <c r="A307" s="27" t="s">
        <v>42</v>
      </c>
      <c r="B307" s="27" t="s">
        <v>972</v>
      </c>
      <c r="C307" s="27" t="s">
        <v>973</v>
      </c>
      <c r="D307" s="27" t="s">
        <v>974</v>
      </c>
      <c r="E307" s="28" t="s">
        <v>46</v>
      </c>
      <c r="F307" s="29" t="s">
        <v>46</v>
      </c>
      <c r="G307" s="30" t="s">
        <v>46</v>
      </c>
      <c r="H307" s="31"/>
      <c r="I307" s="31" t="s">
        <v>598</v>
      </c>
      <c r="J307" s="32" t="n">
        <v>1.0</v>
      </c>
      <c r="K307" s="33" t="n">
        <f>125000</f>
        <v>125000.0</v>
      </c>
      <c r="L307" s="34" t="s">
        <v>48</v>
      </c>
      <c r="M307" s="33" t="n">
        <f>125400</f>
        <v>125400.0</v>
      </c>
      <c r="N307" s="34" t="s">
        <v>75</v>
      </c>
      <c r="O307" s="33" t="n">
        <f>122100</f>
        <v>122100.0</v>
      </c>
      <c r="P307" s="34" t="s">
        <v>274</v>
      </c>
      <c r="Q307" s="33" t="n">
        <f>122700</f>
        <v>122700.0</v>
      </c>
      <c r="R307" s="34" t="s">
        <v>51</v>
      </c>
      <c r="S307" s="35" t="n">
        <f>123572.73</f>
        <v>123572.73</v>
      </c>
      <c r="T307" s="32" t="n">
        <f>16095</f>
        <v>16095.0</v>
      </c>
      <c r="U307" s="32" t="n">
        <f>3001</f>
        <v>3001.0</v>
      </c>
      <c r="V307" s="32" t="n">
        <f>1989203647</f>
        <v>1.989203647E9</v>
      </c>
      <c r="W307" s="32" t="n">
        <f>370477447</f>
        <v>3.70477447E8</v>
      </c>
      <c r="X307" s="36" t="n">
        <f>22</f>
        <v>22.0</v>
      </c>
    </row>
    <row r="308">
      <c r="A308" s="27" t="s">
        <v>42</v>
      </c>
      <c r="B308" s="27" t="s">
        <v>975</v>
      </c>
      <c r="C308" s="27" t="s">
        <v>976</v>
      </c>
      <c r="D308" s="27" t="s">
        <v>977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697000</f>
        <v>697000.0</v>
      </c>
      <c r="L308" s="34" t="s">
        <v>48</v>
      </c>
      <c r="M308" s="33" t="n">
        <f>699000</f>
        <v>699000.0</v>
      </c>
      <c r="N308" s="34" t="s">
        <v>48</v>
      </c>
      <c r="O308" s="33" t="n">
        <f>673000</f>
        <v>673000.0</v>
      </c>
      <c r="P308" s="34" t="s">
        <v>74</v>
      </c>
      <c r="Q308" s="33" t="n">
        <f>683000</f>
        <v>683000.0</v>
      </c>
      <c r="R308" s="34" t="s">
        <v>51</v>
      </c>
      <c r="S308" s="35" t="n">
        <f>682545.45</f>
        <v>682545.45</v>
      </c>
      <c r="T308" s="32" t="n">
        <f>24540</f>
        <v>24540.0</v>
      </c>
      <c r="U308" s="32" t="n">
        <f>4598</f>
        <v>4598.0</v>
      </c>
      <c r="V308" s="32" t="n">
        <f>16728715964</f>
        <v>1.6728715964E10</v>
      </c>
      <c r="W308" s="32" t="n">
        <f>3137328964</f>
        <v>3.137328964E9</v>
      </c>
      <c r="X308" s="36" t="n">
        <f>22</f>
        <v>22.0</v>
      </c>
    </row>
    <row r="309">
      <c r="A309" s="27" t="s">
        <v>42</v>
      </c>
      <c r="B309" s="27" t="s">
        <v>978</v>
      </c>
      <c r="C309" s="27" t="s">
        <v>979</v>
      </c>
      <c r="D309" s="27" t="s">
        <v>980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153000</f>
        <v>153000.0</v>
      </c>
      <c r="L309" s="34" t="s">
        <v>48</v>
      </c>
      <c r="M309" s="33" t="n">
        <f>157400</f>
        <v>157400.0</v>
      </c>
      <c r="N309" s="34" t="s">
        <v>51</v>
      </c>
      <c r="O309" s="33" t="n">
        <f>150600</f>
        <v>150600.0</v>
      </c>
      <c r="P309" s="34" t="s">
        <v>74</v>
      </c>
      <c r="Q309" s="33" t="n">
        <f>156400</f>
        <v>156400.0</v>
      </c>
      <c r="R309" s="34" t="s">
        <v>51</v>
      </c>
      <c r="S309" s="35" t="n">
        <f>153831.82</f>
        <v>153831.82</v>
      </c>
      <c r="T309" s="32" t="n">
        <f>126988</f>
        <v>126988.0</v>
      </c>
      <c r="U309" s="32" t="n">
        <f>33199</f>
        <v>33199.0</v>
      </c>
      <c r="V309" s="32" t="n">
        <f>19562388365</f>
        <v>1.9562388365E10</v>
      </c>
      <c r="W309" s="32" t="n">
        <f>5122365965</f>
        <v>5.122365965E9</v>
      </c>
      <c r="X309" s="36" t="n">
        <f>22</f>
        <v>22.0</v>
      </c>
    </row>
    <row r="310">
      <c r="A310" s="27" t="s">
        <v>42</v>
      </c>
      <c r="B310" s="27" t="s">
        <v>981</v>
      </c>
      <c r="C310" s="27" t="s">
        <v>982</v>
      </c>
      <c r="D310" s="27" t="s">
        <v>983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186400</f>
        <v>186400.0</v>
      </c>
      <c r="L310" s="34" t="s">
        <v>48</v>
      </c>
      <c r="M310" s="33" t="n">
        <f>187400</f>
        <v>187400.0</v>
      </c>
      <c r="N310" s="34" t="s">
        <v>50</v>
      </c>
      <c r="O310" s="33" t="n">
        <f>178000</f>
        <v>178000.0</v>
      </c>
      <c r="P310" s="34" t="s">
        <v>50</v>
      </c>
      <c r="Q310" s="33" t="n">
        <f>183800</f>
        <v>183800.0</v>
      </c>
      <c r="R310" s="34" t="s">
        <v>51</v>
      </c>
      <c r="S310" s="35" t="n">
        <f>182659.09</f>
        <v>182659.09</v>
      </c>
      <c r="T310" s="32" t="n">
        <f>145569</f>
        <v>145569.0</v>
      </c>
      <c r="U310" s="32" t="n">
        <f>32872</f>
        <v>32872.0</v>
      </c>
      <c r="V310" s="32" t="n">
        <f>26603298957</f>
        <v>2.6603298957E10</v>
      </c>
      <c r="W310" s="32" t="n">
        <f>6013362757</f>
        <v>6.013362757E9</v>
      </c>
      <c r="X310" s="36" t="n">
        <f>22</f>
        <v>22.0</v>
      </c>
    </row>
    <row r="311">
      <c r="A311" s="27" t="s">
        <v>42</v>
      </c>
      <c r="B311" s="27" t="s">
        <v>984</v>
      </c>
      <c r="C311" s="27" t="s">
        <v>985</v>
      </c>
      <c r="D311" s="27" t="s">
        <v>986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367500</f>
        <v>367500.0</v>
      </c>
      <c r="L311" s="34" t="s">
        <v>48</v>
      </c>
      <c r="M311" s="33" t="n">
        <f>373000</f>
        <v>373000.0</v>
      </c>
      <c r="N311" s="34" t="s">
        <v>51</v>
      </c>
      <c r="O311" s="33" t="n">
        <f>356000</f>
        <v>356000.0</v>
      </c>
      <c r="P311" s="34" t="s">
        <v>274</v>
      </c>
      <c r="Q311" s="33" t="n">
        <f>368000</f>
        <v>368000.0</v>
      </c>
      <c r="R311" s="34" t="s">
        <v>51</v>
      </c>
      <c r="S311" s="35" t="n">
        <f>362681.82</f>
        <v>362681.82</v>
      </c>
      <c r="T311" s="32" t="n">
        <f>65119</f>
        <v>65119.0</v>
      </c>
      <c r="U311" s="32" t="n">
        <f>14580</f>
        <v>14580.0</v>
      </c>
      <c r="V311" s="32" t="n">
        <f>23622452286</f>
        <v>2.3622452286E10</v>
      </c>
      <c r="W311" s="32" t="n">
        <f>5291577286</f>
        <v>5.291577286E9</v>
      </c>
      <c r="X311" s="36" t="n">
        <f>22</f>
        <v>22.0</v>
      </c>
    </row>
    <row r="312">
      <c r="A312" s="27" t="s">
        <v>42</v>
      </c>
      <c r="B312" s="27" t="s">
        <v>987</v>
      </c>
      <c r="C312" s="27" t="s">
        <v>988</v>
      </c>
      <c r="D312" s="27" t="s">
        <v>989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223700</f>
        <v>223700.0</v>
      </c>
      <c r="L312" s="34" t="s">
        <v>48</v>
      </c>
      <c r="M312" s="33" t="n">
        <f>228200</f>
        <v>228200.0</v>
      </c>
      <c r="N312" s="34" t="s">
        <v>51</v>
      </c>
      <c r="O312" s="33" t="n">
        <f>216000</f>
        <v>216000.0</v>
      </c>
      <c r="P312" s="34" t="s">
        <v>99</v>
      </c>
      <c r="Q312" s="33" t="n">
        <f>226100</f>
        <v>226100.0</v>
      </c>
      <c r="R312" s="34" t="s">
        <v>51</v>
      </c>
      <c r="S312" s="35" t="n">
        <f>220504.55</f>
        <v>220504.55</v>
      </c>
      <c r="T312" s="32" t="n">
        <f>67795</f>
        <v>67795.0</v>
      </c>
      <c r="U312" s="32" t="n">
        <f>16451</f>
        <v>16451.0</v>
      </c>
      <c r="V312" s="32" t="n">
        <f>14947905828</f>
        <v>1.4947905828E10</v>
      </c>
      <c r="W312" s="32" t="n">
        <f>3618595228</f>
        <v>3.618595228E9</v>
      </c>
      <c r="X312" s="36" t="n">
        <f>22</f>
        <v>22.0</v>
      </c>
    </row>
    <row r="313">
      <c r="A313" s="27" t="s">
        <v>42</v>
      </c>
      <c r="B313" s="27" t="s">
        <v>990</v>
      </c>
      <c r="C313" s="27" t="s">
        <v>991</v>
      </c>
      <c r="D313" s="27" t="s">
        <v>992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420000</f>
        <v>420000.0</v>
      </c>
      <c r="L313" s="34" t="s">
        <v>48</v>
      </c>
      <c r="M313" s="33" t="n">
        <f>438000</f>
        <v>438000.0</v>
      </c>
      <c r="N313" s="34" t="s">
        <v>75</v>
      </c>
      <c r="O313" s="33" t="n">
        <f>413500</f>
        <v>413500.0</v>
      </c>
      <c r="P313" s="34" t="s">
        <v>74</v>
      </c>
      <c r="Q313" s="33" t="n">
        <f>432500</f>
        <v>432500.0</v>
      </c>
      <c r="R313" s="34" t="s">
        <v>51</v>
      </c>
      <c r="S313" s="35" t="n">
        <f>424000</f>
        <v>424000.0</v>
      </c>
      <c r="T313" s="32" t="n">
        <f>39859</f>
        <v>39859.0</v>
      </c>
      <c r="U313" s="32" t="n">
        <f>8445</f>
        <v>8445.0</v>
      </c>
      <c r="V313" s="32" t="n">
        <f>16928965857</f>
        <v>1.6928965857E10</v>
      </c>
      <c r="W313" s="32" t="n">
        <f>3588961357</f>
        <v>3.588961357E9</v>
      </c>
      <c r="X313" s="36" t="n">
        <f>22</f>
        <v>22.0</v>
      </c>
    </row>
    <row r="314">
      <c r="A314" s="27" t="s">
        <v>42</v>
      </c>
      <c r="B314" s="27" t="s">
        <v>993</v>
      </c>
      <c r="C314" s="27" t="s">
        <v>994</v>
      </c>
      <c r="D314" s="27" t="s">
        <v>995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175100</f>
        <v>175100.0</v>
      </c>
      <c r="L314" s="34" t="s">
        <v>48</v>
      </c>
      <c r="M314" s="33" t="n">
        <f>178400</f>
        <v>178400.0</v>
      </c>
      <c r="N314" s="34" t="s">
        <v>140</v>
      </c>
      <c r="O314" s="33" t="n">
        <f>168900</f>
        <v>168900.0</v>
      </c>
      <c r="P314" s="34" t="s">
        <v>75</v>
      </c>
      <c r="Q314" s="33" t="n">
        <f>169900</f>
        <v>169900.0</v>
      </c>
      <c r="R314" s="34" t="s">
        <v>51</v>
      </c>
      <c r="S314" s="35" t="n">
        <f>174181.82</f>
        <v>174181.82</v>
      </c>
      <c r="T314" s="32" t="n">
        <f>310460</f>
        <v>310460.0</v>
      </c>
      <c r="U314" s="32" t="n">
        <f>69590</f>
        <v>69590.0</v>
      </c>
      <c r="V314" s="32" t="n">
        <f>53969414813</f>
        <v>5.3969414813E10</v>
      </c>
      <c r="W314" s="32" t="n">
        <f>12106238513</f>
        <v>1.2106238513E10</v>
      </c>
      <c r="X314" s="36" t="n">
        <f>22</f>
        <v>22.0</v>
      </c>
    </row>
    <row r="315">
      <c r="A315" s="27" t="s">
        <v>42</v>
      </c>
      <c r="B315" s="27" t="s">
        <v>996</v>
      </c>
      <c r="C315" s="27" t="s">
        <v>997</v>
      </c>
      <c r="D315" s="27" t="s">
        <v>998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337500</f>
        <v>337500.0</v>
      </c>
      <c r="L315" s="34" t="s">
        <v>48</v>
      </c>
      <c r="M315" s="33" t="n">
        <f>341500</f>
        <v>341500.0</v>
      </c>
      <c r="N315" s="34" t="s">
        <v>51</v>
      </c>
      <c r="O315" s="33" t="n">
        <f>329500</f>
        <v>329500.0</v>
      </c>
      <c r="P315" s="34" t="s">
        <v>68</v>
      </c>
      <c r="Q315" s="33" t="n">
        <f>341500</f>
        <v>341500.0</v>
      </c>
      <c r="R315" s="34" t="s">
        <v>51</v>
      </c>
      <c r="S315" s="35" t="n">
        <f>336477.27</f>
        <v>336477.27</v>
      </c>
      <c r="T315" s="32" t="n">
        <f>46982</f>
        <v>46982.0</v>
      </c>
      <c r="U315" s="32" t="n">
        <f>12813</f>
        <v>12813.0</v>
      </c>
      <c r="V315" s="32" t="n">
        <f>15829229028</f>
        <v>1.5829229028E10</v>
      </c>
      <c r="W315" s="32" t="n">
        <f>4332553528</f>
        <v>4.332553528E9</v>
      </c>
      <c r="X315" s="36" t="n">
        <f>22</f>
        <v>22.0</v>
      </c>
    </row>
    <row r="316">
      <c r="A316" s="27" t="s">
        <v>42</v>
      </c>
      <c r="B316" s="27" t="s">
        <v>999</v>
      </c>
      <c r="C316" s="27" t="s">
        <v>1000</v>
      </c>
      <c r="D316" s="27" t="s">
        <v>1001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350000</f>
        <v>350000.0</v>
      </c>
      <c r="L316" s="34" t="s">
        <v>48</v>
      </c>
      <c r="M316" s="33" t="n">
        <f>361500</f>
        <v>361500.0</v>
      </c>
      <c r="N316" s="34" t="s">
        <v>49</v>
      </c>
      <c r="O316" s="33" t="n">
        <f>344000</f>
        <v>344000.0</v>
      </c>
      <c r="P316" s="34" t="s">
        <v>69</v>
      </c>
      <c r="Q316" s="33" t="n">
        <f>350500</f>
        <v>350500.0</v>
      </c>
      <c r="R316" s="34" t="s">
        <v>51</v>
      </c>
      <c r="S316" s="35" t="n">
        <f>351386.36</f>
        <v>351386.36</v>
      </c>
      <c r="T316" s="32" t="n">
        <f>107179</f>
        <v>107179.0</v>
      </c>
      <c r="U316" s="32" t="n">
        <f>22913</f>
        <v>22913.0</v>
      </c>
      <c r="V316" s="32" t="n">
        <f>37594435157</f>
        <v>3.7594435157E10</v>
      </c>
      <c r="W316" s="32" t="n">
        <f>8037402657</f>
        <v>8.037402657E9</v>
      </c>
      <c r="X316" s="36" t="n">
        <f>22</f>
        <v>22.0</v>
      </c>
    </row>
    <row r="317">
      <c r="A317" s="27" t="s">
        <v>42</v>
      </c>
      <c r="B317" s="27" t="s">
        <v>1002</v>
      </c>
      <c r="C317" s="27" t="s">
        <v>1003</v>
      </c>
      <c r="D317" s="27" t="s">
        <v>1004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652000</f>
        <v>652000.0</v>
      </c>
      <c r="L317" s="34" t="s">
        <v>48</v>
      </c>
      <c r="M317" s="33" t="n">
        <f>652000</f>
        <v>652000.0</v>
      </c>
      <c r="N317" s="34" t="s">
        <v>48</v>
      </c>
      <c r="O317" s="33" t="n">
        <f>632000</f>
        <v>632000.0</v>
      </c>
      <c r="P317" s="34" t="s">
        <v>74</v>
      </c>
      <c r="Q317" s="33" t="n">
        <f>649000</f>
        <v>649000.0</v>
      </c>
      <c r="R317" s="34" t="s">
        <v>51</v>
      </c>
      <c r="S317" s="35" t="n">
        <f>643318.18</f>
        <v>643318.18</v>
      </c>
      <c r="T317" s="32" t="n">
        <f>14110</f>
        <v>14110.0</v>
      </c>
      <c r="U317" s="32" t="n">
        <f>2749</f>
        <v>2749.0</v>
      </c>
      <c r="V317" s="32" t="n">
        <f>9077570129</f>
        <v>9.077570129E9</v>
      </c>
      <c r="W317" s="32" t="n">
        <f>1767852129</f>
        <v>1.767852129E9</v>
      </c>
      <c r="X317" s="36" t="n">
        <f>22</f>
        <v>22.0</v>
      </c>
    </row>
    <row r="318">
      <c r="A318" s="27" t="s">
        <v>42</v>
      </c>
      <c r="B318" s="27" t="s">
        <v>1005</v>
      </c>
      <c r="C318" s="27" t="s">
        <v>1006</v>
      </c>
      <c r="D318" s="27" t="s">
        <v>1007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278100</f>
        <v>278100.0</v>
      </c>
      <c r="L318" s="34" t="s">
        <v>48</v>
      </c>
      <c r="M318" s="33" t="n">
        <f>278400</f>
        <v>278400.0</v>
      </c>
      <c r="N318" s="34" t="s">
        <v>182</v>
      </c>
      <c r="O318" s="33" t="n">
        <f>267800</f>
        <v>267800.0</v>
      </c>
      <c r="P318" s="34" t="s">
        <v>75</v>
      </c>
      <c r="Q318" s="33" t="n">
        <f>271700</f>
        <v>271700.0</v>
      </c>
      <c r="R318" s="34" t="s">
        <v>51</v>
      </c>
      <c r="S318" s="35" t="n">
        <f>275109.09</f>
        <v>275109.09</v>
      </c>
      <c r="T318" s="32" t="n">
        <f>24133</f>
        <v>24133.0</v>
      </c>
      <c r="U318" s="32" t="n">
        <f>4096</f>
        <v>4096.0</v>
      </c>
      <c r="V318" s="32" t="n">
        <f>6631125050</f>
        <v>6.63112505E9</v>
      </c>
      <c r="W318" s="32" t="n">
        <f>1125857450</f>
        <v>1.12585745E9</v>
      </c>
      <c r="X318" s="36" t="n">
        <f>22</f>
        <v>22.0</v>
      </c>
    </row>
    <row r="319">
      <c r="A319" s="27" t="s">
        <v>42</v>
      </c>
      <c r="B319" s="27" t="s">
        <v>1008</v>
      </c>
      <c r="C319" s="27" t="s">
        <v>1009</v>
      </c>
      <c r="D319" s="27" t="s">
        <v>1010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155700</f>
        <v>155700.0</v>
      </c>
      <c r="L319" s="34" t="s">
        <v>48</v>
      </c>
      <c r="M319" s="33" t="n">
        <f>158000</f>
        <v>158000.0</v>
      </c>
      <c r="N319" s="34" t="s">
        <v>75</v>
      </c>
      <c r="O319" s="33" t="n">
        <f>147100</f>
        <v>147100.0</v>
      </c>
      <c r="P319" s="34" t="s">
        <v>50</v>
      </c>
      <c r="Q319" s="33" t="n">
        <f>157200</f>
        <v>157200.0</v>
      </c>
      <c r="R319" s="34" t="s">
        <v>51</v>
      </c>
      <c r="S319" s="35" t="n">
        <f>154745.45</f>
        <v>154745.45</v>
      </c>
      <c r="T319" s="32" t="n">
        <f>99391</f>
        <v>99391.0</v>
      </c>
      <c r="U319" s="32" t="n">
        <f>19523</f>
        <v>19523.0</v>
      </c>
      <c r="V319" s="32" t="n">
        <f>15372376315</f>
        <v>1.5372376315E10</v>
      </c>
      <c r="W319" s="32" t="n">
        <f>3025840915</f>
        <v>3.025840915E9</v>
      </c>
      <c r="X319" s="36" t="n">
        <f>22</f>
        <v>22.0</v>
      </c>
    </row>
    <row r="320">
      <c r="A320" s="27" t="s">
        <v>42</v>
      </c>
      <c r="B320" s="27" t="s">
        <v>1011</v>
      </c>
      <c r="C320" s="27" t="s">
        <v>1012</v>
      </c>
      <c r="D320" s="27" t="s">
        <v>1013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167600</f>
        <v>167600.0</v>
      </c>
      <c r="L320" s="34" t="s">
        <v>48</v>
      </c>
      <c r="M320" s="33" t="n">
        <f>169000</f>
        <v>169000.0</v>
      </c>
      <c r="N320" s="34" t="s">
        <v>50</v>
      </c>
      <c r="O320" s="33" t="n">
        <f>163400</f>
        <v>163400.0</v>
      </c>
      <c r="P320" s="34" t="s">
        <v>74</v>
      </c>
      <c r="Q320" s="33" t="n">
        <f>166000</f>
        <v>166000.0</v>
      </c>
      <c r="R320" s="34" t="s">
        <v>51</v>
      </c>
      <c r="S320" s="35" t="n">
        <f>166159.09</f>
        <v>166159.09</v>
      </c>
      <c r="T320" s="32" t="n">
        <f>87988</f>
        <v>87988.0</v>
      </c>
      <c r="U320" s="32" t="n">
        <f>18145</f>
        <v>18145.0</v>
      </c>
      <c r="V320" s="32" t="n">
        <f>14629241171</f>
        <v>1.4629241171E10</v>
      </c>
      <c r="W320" s="32" t="n">
        <f>3016538071</f>
        <v>3.016538071E9</v>
      </c>
      <c r="X320" s="36" t="n">
        <f>22</f>
        <v>22.0</v>
      </c>
    </row>
    <row r="321">
      <c r="A321" s="27" t="s">
        <v>42</v>
      </c>
      <c r="B321" s="27" t="s">
        <v>1014</v>
      </c>
      <c r="C321" s="27" t="s">
        <v>1015</v>
      </c>
      <c r="D321" s="27" t="s">
        <v>1016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375000</f>
        <v>375000.0</v>
      </c>
      <c r="L321" s="34" t="s">
        <v>48</v>
      </c>
      <c r="M321" s="33" t="n">
        <f>384500</f>
        <v>384500.0</v>
      </c>
      <c r="N321" s="34" t="s">
        <v>51</v>
      </c>
      <c r="O321" s="33" t="n">
        <f>366000</f>
        <v>366000.0</v>
      </c>
      <c r="P321" s="34" t="s">
        <v>99</v>
      </c>
      <c r="Q321" s="33" t="n">
        <f>382000</f>
        <v>382000.0</v>
      </c>
      <c r="R321" s="34" t="s">
        <v>51</v>
      </c>
      <c r="S321" s="35" t="n">
        <f>373409.09</f>
        <v>373409.09</v>
      </c>
      <c r="T321" s="32" t="n">
        <f>36212</f>
        <v>36212.0</v>
      </c>
      <c r="U321" s="32" t="n">
        <f>10616</f>
        <v>10616.0</v>
      </c>
      <c r="V321" s="32" t="n">
        <f>13529504867</f>
        <v>1.3529504867E10</v>
      </c>
      <c r="W321" s="32" t="n">
        <f>3954163367</f>
        <v>3.954163367E9</v>
      </c>
      <c r="X321" s="36" t="n">
        <f>22</f>
        <v>22.0</v>
      </c>
    </row>
    <row r="322">
      <c r="A322" s="27" t="s">
        <v>42</v>
      </c>
      <c r="B322" s="27" t="s">
        <v>1017</v>
      </c>
      <c r="C322" s="27" t="s">
        <v>1018</v>
      </c>
      <c r="D322" s="27" t="s">
        <v>1019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83200</f>
        <v>83200.0</v>
      </c>
      <c r="L322" s="34" t="s">
        <v>48</v>
      </c>
      <c r="M322" s="33" t="n">
        <f>85700</f>
        <v>85700.0</v>
      </c>
      <c r="N322" s="34" t="s">
        <v>51</v>
      </c>
      <c r="O322" s="33" t="n">
        <f>82200</f>
        <v>82200.0</v>
      </c>
      <c r="P322" s="34" t="s">
        <v>74</v>
      </c>
      <c r="Q322" s="33" t="n">
        <f>84400</f>
        <v>84400.0</v>
      </c>
      <c r="R322" s="34" t="s">
        <v>51</v>
      </c>
      <c r="S322" s="35" t="n">
        <f>83795.45</f>
        <v>83795.45</v>
      </c>
      <c r="T322" s="32" t="n">
        <f>299857</f>
        <v>299857.0</v>
      </c>
      <c r="U322" s="32" t="n">
        <f>91363</f>
        <v>91363.0</v>
      </c>
      <c r="V322" s="32" t="n">
        <f>25140534038</f>
        <v>2.5140534038E10</v>
      </c>
      <c r="W322" s="32" t="n">
        <f>7668554338</f>
        <v>7.668554338E9</v>
      </c>
      <c r="X322" s="36" t="n">
        <f>22</f>
        <v>22.0</v>
      </c>
    </row>
    <row r="323">
      <c r="A323" s="27" t="s">
        <v>42</v>
      </c>
      <c r="B323" s="27" t="s">
        <v>1020</v>
      </c>
      <c r="C323" s="27" t="s">
        <v>1021</v>
      </c>
      <c r="D323" s="27" t="s">
        <v>1022</v>
      </c>
      <c r="E323" s="28" t="s">
        <v>46</v>
      </c>
      <c r="F323" s="29" t="s">
        <v>46</v>
      </c>
      <c r="G323" s="30" t="s">
        <v>46</v>
      </c>
      <c r="H323" s="31"/>
      <c r="I323" s="31" t="s">
        <v>598</v>
      </c>
      <c r="J323" s="32" t="n">
        <v>1.0</v>
      </c>
      <c r="K323" s="33" t="n">
        <f>138600</f>
        <v>138600.0</v>
      </c>
      <c r="L323" s="34" t="s">
        <v>48</v>
      </c>
      <c r="M323" s="33" t="n">
        <f>140300</f>
        <v>140300.0</v>
      </c>
      <c r="N323" s="34" t="s">
        <v>51</v>
      </c>
      <c r="O323" s="33" t="n">
        <f>135100</f>
        <v>135100.0</v>
      </c>
      <c r="P323" s="34" t="s">
        <v>99</v>
      </c>
      <c r="Q323" s="33" t="n">
        <f>139600</f>
        <v>139600.0</v>
      </c>
      <c r="R323" s="34" t="s">
        <v>51</v>
      </c>
      <c r="S323" s="35" t="n">
        <f>137677.27</f>
        <v>137677.27</v>
      </c>
      <c r="T323" s="32" t="n">
        <f>27269</f>
        <v>27269.0</v>
      </c>
      <c r="U323" s="32" t="n">
        <f>4458</f>
        <v>4458.0</v>
      </c>
      <c r="V323" s="32" t="n">
        <f>3760568763</f>
        <v>3.760568763E9</v>
      </c>
      <c r="W323" s="32" t="n">
        <f>613417863</f>
        <v>6.13417863E8</v>
      </c>
      <c r="X323" s="36" t="n">
        <f>22</f>
        <v>22.0</v>
      </c>
    </row>
    <row r="324">
      <c r="A324" s="27" t="s">
        <v>42</v>
      </c>
      <c r="B324" s="27" t="s">
        <v>1023</v>
      </c>
      <c r="C324" s="27" t="s">
        <v>1024</v>
      </c>
      <c r="D324" s="27" t="s">
        <v>1025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285700</f>
        <v>285700.0</v>
      </c>
      <c r="L324" s="34" t="s">
        <v>48</v>
      </c>
      <c r="M324" s="33" t="n">
        <f>287800</f>
        <v>287800.0</v>
      </c>
      <c r="N324" s="34" t="s">
        <v>75</v>
      </c>
      <c r="O324" s="33" t="n">
        <f>278700</f>
        <v>278700.0</v>
      </c>
      <c r="P324" s="34" t="s">
        <v>74</v>
      </c>
      <c r="Q324" s="33" t="n">
        <f>285100</f>
        <v>285100.0</v>
      </c>
      <c r="R324" s="34" t="s">
        <v>51</v>
      </c>
      <c r="S324" s="35" t="n">
        <f>283613.64</f>
        <v>283613.64</v>
      </c>
      <c r="T324" s="32" t="n">
        <f>37774</f>
        <v>37774.0</v>
      </c>
      <c r="U324" s="32" t="n">
        <f>7646</f>
        <v>7646.0</v>
      </c>
      <c r="V324" s="32" t="n">
        <f>10709683282</f>
        <v>1.0709683282E10</v>
      </c>
      <c r="W324" s="32" t="n">
        <f>2169051282</f>
        <v>2.169051282E9</v>
      </c>
      <c r="X324" s="36" t="n">
        <f>22</f>
        <v>22.0</v>
      </c>
    </row>
    <row r="325">
      <c r="A325" s="27" t="s">
        <v>42</v>
      </c>
      <c r="B325" s="27" t="s">
        <v>1026</v>
      </c>
      <c r="C325" s="27" t="s">
        <v>1027</v>
      </c>
      <c r="D325" s="27" t="s">
        <v>1028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173400</f>
        <v>173400.0</v>
      </c>
      <c r="L325" s="34" t="s">
        <v>48</v>
      </c>
      <c r="M325" s="33" t="n">
        <f>191000</f>
        <v>191000.0</v>
      </c>
      <c r="N325" s="34" t="s">
        <v>64</v>
      </c>
      <c r="O325" s="33" t="n">
        <f>166600</f>
        <v>166600.0</v>
      </c>
      <c r="P325" s="34" t="s">
        <v>74</v>
      </c>
      <c r="Q325" s="33" t="n">
        <f>184500</f>
        <v>184500.0</v>
      </c>
      <c r="R325" s="34" t="s">
        <v>51</v>
      </c>
      <c r="S325" s="35" t="n">
        <f>176586.36</f>
        <v>176586.36</v>
      </c>
      <c r="T325" s="32" t="n">
        <f>35297</f>
        <v>35297.0</v>
      </c>
      <c r="U325" s="32" t="n">
        <f>6675</f>
        <v>6675.0</v>
      </c>
      <c r="V325" s="32" t="n">
        <f>6315946703</f>
        <v>6.315946703E9</v>
      </c>
      <c r="W325" s="32" t="n">
        <f>1182281803</f>
        <v>1.182281803E9</v>
      </c>
      <c r="X325" s="36" t="n">
        <f>22</f>
        <v>22.0</v>
      </c>
    </row>
    <row r="326">
      <c r="A326" s="27" t="s">
        <v>42</v>
      </c>
      <c r="B326" s="27" t="s">
        <v>1029</v>
      </c>
      <c r="C326" s="27" t="s">
        <v>1030</v>
      </c>
      <c r="D326" s="27" t="s">
        <v>1031</v>
      </c>
      <c r="E326" s="28" t="s">
        <v>46</v>
      </c>
      <c r="F326" s="29" t="s">
        <v>46</v>
      </c>
      <c r="G326" s="30" t="s">
        <v>46</v>
      </c>
      <c r="H326" s="31"/>
      <c r="I326" s="31" t="s">
        <v>598</v>
      </c>
      <c r="J326" s="32" t="n">
        <v>1.0</v>
      </c>
      <c r="K326" s="33" t="n">
        <f>126300</f>
        <v>126300.0</v>
      </c>
      <c r="L326" s="34" t="s">
        <v>48</v>
      </c>
      <c r="M326" s="33" t="n">
        <f>127900</f>
        <v>127900.0</v>
      </c>
      <c r="N326" s="34" t="s">
        <v>75</v>
      </c>
      <c r="O326" s="33" t="n">
        <f>123800</f>
        <v>123800.0</v>
      </c>
      <c r="P326" s="34" t="s">
        <v>74</v>
      </c>
      <c r="Q326" s="33" t="n">
        <f>127100</f>
        <v>127100.0</v>
      </c>
      <c r="R326" s="34" t="s">
        <v>51</v>
      </c>
      <c r="S326" s="35" t="n">
        <f>126363.64</f>
        <v>126363.64</v>
      </c>
      <c r="T326" s="32" t="n">
        <f>59762</f>
        <v>59762.0</v>
      </c>
      <c r="U326" s="32" t="n">
        <f>10539</f>
        <v>10539.0</v>
      </c>
      <c r="V326" s="32" t="n">
        <f>7501181372</f>
        <v>7.501181372E9</v>
      </c>
      <c r="W326" s="32" t="n">
        <f>1318114472</f>
        <v>1.318114472E9</v>
      </c>
      <c r="X326" s="36" t="n">
        <f>22</f>
        <v>22.0</v>
      </c>
    </row>
    <row r="327">
      <c r="A327" s="27" t="s">
        <v>42</v>
      </c>
      <c r="B327" s="27" t="s">
        <v>1032</v>
      </c>
      <c r="C327" s="27" t="s">
        <v>1033</v>
      </c>
      <c r="D327" s="27" t="s">
        <v>1034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168500</f>
        <v>168500.0</v>
      </c>
      <c r="L327" s="34" t="s">
        <v>48</v>
      </c>
      <c r="M327" s="33" t="n">
        <f>171300</f>
        <v>171300.0</v>
      </c>
      <c r="N327" s="34" t="s">
        <v>140</v>
      </c>
      <c r="O327" s="33" t="n">
        <f>165700</f>
        <v>165700.0</v>
      </c>
      <c r="P327" s="34" t="s">
        <v>348</v>
      </c>
      <c r="Q327" s="33" t="n">
        <f>170200</f>
        <v>170200.0</v>
      </c>
      <c r="R327" s="34" t="s">
        <v>51</v>
      </c>
      <c r="S327" s="35" t="n">
        <f>169377.27</f>
        <v>169377.27</v>
      </c>
      <c r="T327" s="32" t="n">
        <f>299971</f>
        <v>299971.0</v>
      </c>
      <c r="U327" s="32" t="n">
        <f>71638</f>
        <v>71638.0</v>
      </c>
      <c r="V327" s="32" t="n">
        <f>50727049840</f>
        <v>5.072704984E10</v>
      </c>
      <c r="W327" s="32" t="n">
        <f>12127900540</f>
        <v>1.212790054E10</v>
      </c>
      <c r="X327" s="36" t="n">
        <f>22</f>
        <v>22.0</v>
      </c>
    </row>
    <row r="328">
      <c r="A328" s="27" t="s">
        <v>42</v>
      </c>
      <c r="B328" s="27" t="s">
        <v>1035</v>
      </c>
      <c r="C328" s="27" t="s">
        <v>1036</v>
      </c>
      <c r="D328" s="27" t="s">
        <v>1037</v>
      </c>
      <c r="E328" s="28" t="s">
        <v>46</v>
      </c>
      <c r="F328" s="29" t="s">
        <v>46</v>
      </c>
      <c r="G328" s="30" t="s">
        <v>46</v>
      </c>
      <c r="H328" s="31"/>
      <c r="I328" s="31" t="s">
        <v>598</v>
      </c>
      <c r="J328" s="32" t="n">
        <v>1.0</v>
      </c>
      <c r="K328" s="33" t="n">
        <f>94000</f>
        <v>94000.0</v>
      </c>
      <c r="L328" s="34" t="s">
        <v>48</v>
      </c>
      <c r="M328" s="33" t="n">
        <f>97800</f>
        <v>97800.0</v>
      </c>
      <c r="N328" s="34" t="s">
        <v>75</v>
      </c>
      <c r="O328" s="33" t="n">
        <f>93100</f>
        <v>93100.0</v>
      </c>
      <c r="P328" s="34" t="s">
        <v>74</v>
      </c>
      <c r="Q328" s="33" t="n">
        <f>97100</f>
        <v>97100.0</v>
      </c>
      <c r="R328" s="34" t="s">
        <v>51</v>
      </c>
      <c r="S328" s="35" t="n">
        <f>95086.36</f>
        <v>95086.36</v>
      </c>
      <c r="T328" s="32" t="n">
        <f>21045</f>
        <v>21045.0</v>
      </c>
      <c r="U328" s="32" t="n">
        <f>2370</f>
        <v>2370.0</v>
      </c>
      <c r="V328" s="32" t="n">
        <f>2001025630</f>
        <v>2.00102563E9</v>
      </c>
      <c r="W328" s="32" t="n">
        <f>225308930</f>
        <v>2.2530893E8</v>
      </c>
      <c r="X328" s="36" t="n">
        <f>22</f>
        <v>22.0</v>
      </c>
    </row>
    <row r="329">
      <c r="A329" s="27" t="s">
        <v>42</v>
      </c>
      <c r="B329" s="27" t="s">
        <v>1038</v>
      </c>
      <c r="C329" s="27" t="s">
        <v>1039</v>
      </c>
      <c r="D329" s="27" t="s">
        <v>1040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175000</f>
        <v>175000.0</v>
      </c>
      <c r="L329" s="34" t="s">
        <v>48</v>
      </c>
      <c r="M329" s="33" t="n">
        <f>176600</f>
        <v>176600.0</v>
      </c>
      <c r="N329" s="34" t="s">
        <v>49</v>
      </c>
      <c r="O329" s="33" t="n">
        <f>170800</f>
        <v>170800.0</v>
      </c>
      <c r="P329" s="34" t="s">
        <v>51</v>
      </c>
      <c r="Q329" s="33" t="n">
        <f>172100</f>
        <v>172100.0</v>
      </c>
      <c r="R329" s="34" t="s">
        <v>51</v>
      </c>
      <c r="S329" s="35" t="n">
        <f>173795.45</f>
        <v>173795.45</v>
      </c>
      <c r="T329" s="32" t="n">
        <f>105056</f>
        <v>105056.0</v>
      </c>
      <c r="U329" s="32" t="n">
        <f>27907</f>
        <v>27907.0</v>
      </c>
      <c r="V329" s="32" t="n">
        <f>18221986064</f>
        <v>1.8221986064E10</v>
      </c>
      <c r="W329" s="32" t="n">
        <f>4835667464</f>
        <v>4.835667464E9</v>
      </c>
      <c r="X329" s="36" t="n">
        <f>22</f>
        <v>22.0</v>
      </c>
    </row>
    <row r="330">
      <c r="A330" s="27" t="s">
        <v>42</v>
      </c>
      <c r="B330" s="27" t="s">
        <v>1041</v>
      </c>
      <c r="C330" s="27" t="s">
        <v>1042</v>
      </c>
      <c r="D330" s="27" t="s">
        <v>1043</v>
      </c>
      <c r="E330" s="28" t="s">
        <v>46</v>
      </c>
      <c r="F330" s="29" t="s">
        <v>46</v>
      </c>
      <c r="G330" s="30" t="s">
        <v>46</v>
      </c>
      <c r="H330" s="31"/>
      <c r="I330" s="31" t="s">
        <v>598</v>
      </c>
      <c r="J330" s="32" t="n">
        <v>1.0</v>
      </c>
      <c r="K330" s="33" t="n">
        <f>58900</f>
        <v>58900.0</v>
      </c>
      <c r="L330" s="34" t="s">
        <v>48</v>
      </c>
      <c r="M330" s="33" t="n">
        <f>59500</f>
        <v>59500.0</v>
      </c>
      <c r="N330" s="34" t="s">
        <v>50</v>
      </c>
      <c r="O330" s="33" t="n">
        <f>55600</f>
        <v>55600.0</v>
      </c>
      <c r="P330" s="34" t="s">
        <v>74</v>
      </c>
      <c r="Q330" s="33" t="n">
        <f>57500</f>
        <v>57500.0</v>
      </c>
      <c r="R330" s="34" t="s">
        <v>51</v>
      </c>
      <c r="S330" s="35" t="n">
        <f>56968.18</f>
        <v>56968.18</v>
      </c>
      <c r="T330" s="32" t="n">
        <f>268692</f>
        <v>268692.0</v>
      </c>
      <c r="U330" s="32" t="n">
        <f>46138</f>
        <v>46138.0</v>
      </c>
      <c r="V330" s="32" t="n">
        <f>15327132227</f>
        <v>1.5327132227E10</v>
      </c>
      <c r="W330" s="32" t="n">
        <f>2639234227</f>
        <v>2.639234227E9</v>
      </c>
      <c r="X330" s="36" t="n">
        <f>22</f>
        <v>22.0</v>
      </c>
    </row>
    <row r="331">
      <c r="A331" s="27" t="s">
        <v>42</v>
      </c>
      <c r="B331" s="27" t="s">
        <v>1044</v>
      </c>
      <c r="C331" s="27" t="s">
        <v>1045</v>
      </c>
      <c r="D331" s="27" t="s">
        <v>1046</v>
      </c>
      <c r="E331" s="28" t="s">
        <v>46</v>
      </c>
      <c r="F331" s="29" t="s">
        <v>46</v>
      </c>
      <c r="G331" s="30" t="s">
        <v>46</v>
      </c>
      <c r="H331" s="31"/>
      <c r="I331" s="31" t="s">
        <v>598</v>
      </c>
      <c r="J331" s="32" t="n">
        <v>1.0</v>
      </c>
      <c r="K331" s="33" t="n">
        <f>135500</f>
        <v>135500.0</v>
      </c>
      <c r="L331" s="34" t="s">
        <v>48</v>
      </c>
      <c r="M331" s="33" t="n">
        <f>135800</f>
        <v>135800.0</v>
      </c>
      <c r="N331" s="34" t="s">
        <v>50</v>
      </c>
      <c r="O331" s="33" t="n">
        <f>132000</f>
        <v>132000.0</v>
      </c>
      <c r="P331" s="34" t="s">
        <v>274</v>
      </c>
      <c r="Q331" s="33" t="n">
        <f>133600</f>
        <v>133600.0</v>
      </c>
      <c r="R331" s="34" t="s">
        <v>51</v>
      </c>
      <c r="S331" s="35" t="n">
        <f>133459.09</f>
        <v>133459.09</v>
      </c>
      <c r="T331" s="32" t="n">
        <f>10129</f>
        <v>10129.0</v>
      </c>
      <c r="U331" s="32" t="n">
        <f>2605</f>
        <v>2605.0</v>
      </c>
      <c r="V331" s="32" t="n">
        <f>1351475007</f>
        <v>1.351475007E9</v>
      </c>
      <c r="W331" s="32" t="n">
        <f>347318607</f>
        <v>3.47318607E8</v>
      </c>
      <c r="X331" s="36" t="n">
        <f>22</f>
        <v>22.0</v>
      </c>
    </row>
    <row r="332">
      <c r="A332" s="27" t="s">
        <v>42</v>
      </c>
      <c r="B332" s="27" t="s">
        <v>1047</v>
      </c>
      <c r="C332" s="27" t="s">
        <v>1048</v>
      </c>
      <c r="D332" s="27" t="s">
        <v>1049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525000</f>
        <v>525000.0</v>
      </c>
      <c r="L332" s="34" t="s">
        <v>48</v>
      </c>
      <c r="M332" s="33" t="n">
        <f>559000</f>
        <v>559000.0</v>
      </c>
      <c r="N332" s="34" t="s">
        <v>49</v>
      </c>
      <c r="O332" s="33" t="n">
        <f>521000</f>
        <v>521000.0</v>
      </c>
      <c r="P332" s="34" t="s">
        <v>79</v>
      </c>
      <c r="Q332" s="33" t="n">
        <f>545000</f>
        <v>545000.0</v>
      </c>
      <c r="R332" s="34" t="s">
        <v>51</v>
      </c>
      <c r="S332" s="35" t="n">
        <f>537681.82</f>
        <v>537681.82</v>
      </c>
      <c r="T332" s="32" t="n">
        <f>44375</f>
        <v>44375.0</v>
      </c>
      <c r="U332" s="32" t="n">
        <f>9748</f>
        <v>9748.0</v>
      </c>
      <c r="V332" s="32" t="n">
        <f>23877467649</f>
        <v>2.3877467649E10</v>
      </c>
      <c r="W332" s="32" t="n">
        <f>5241302649</f>
        <v>5.241302649E9</v>
      </c>
      <c r="X332" s="36" t="n">
        <f>22</f>
        <v>22.0</v>
      </c>
    </row>
    <row r="333">
      <c r="A333" s="27" t="s">
        <v>42</v>
      </c>
      <c r="B333" s="27" t="s">
        <v>1050</v>
      </c>
      <c r="C333" s="27" t="s">
        <v>1051</v>
      </c>
      <c r="D333" s="27" t="s">
        <v>1052</v>
      </c>
      <c r="E333" s="28" t="s">
        <v>46</v>
      </c>
      <c r="F333" s="29" t="s">
        <v>46</v>
      </c>
      <c r="G333" s="30" t="s">
        <v>46</v>
      </c>
      <c r="H333" s="31"/>
      <c r="I333" s="31" t="s">
        <v>598</v>
      </c>
      <c r="J333" s="32" t="n">
        <v>1.0</v>
      </c>
      <c r="K333" s="33" t="n">
        <f>68500</f>
        <v>68500.0</v>
      </c>
      <c r="L333" s="34" t="s">
        <v>48</v>
      </c>
      <c r="M333" s="33" t="n">
        <f>68800</f>
        <v>68800.0</v>
      </c>
      <c r="N333" s="34" t="s">
        <v>48</v>
      </c>
      <c r="O333" s="33" t="n">
        <f>66600</f>
        <v>66600.0</v>
      </c>
      <c r="P333" s="34" t="s">
        <v>69</v>
      </c>
      <c r="Q333" s="33" t="n">
        <f>66900</f>
        <v>66900.0</v>
      </c>
      <c r="R333" s="34" t="s">
        <v>51</v>
      </c>
      <c r="S333" s="35" t="n">
        <f>67368.18</f>
        <v>67368.18</v>
      </c>
      <c r="T333" s="32" t="n">
        <f>12963</f>
        <v>12963.0</v>
      </c>
      <c r="U333" s="32" t="n">
        <f>1690</f>
        <v>1690.0</v>
      </c>
      <c r="V333" s="32" t="n">
        <f>872549523</f>
        <v>8.72549523E8</v>
      </c>
      <c r="W333" s="32" t="n">
        <f>113855023</f>
        <v>1.13855023E8</v>
      </c>
      <c r="X333" s="36" t="n">
        <f>22</f>
        <v>22.0</v>
      </c>
    </row>
    <row r="334">
      <c r="A334" s="27" t="s">
        <v>42</v>
      </c>
      <c r="B334" s="27" t="s">
        <v>1053</v>
      </c>
      <c r="C334" s="27" t="s">
        <v>1054</v>
      </c>
      <c r="D334" s="27" t="s">
        <v>1055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50600</f>
        <v>50600.0</v>
      </c>
      <c r="L334" s="34" t="s">
        <v>48</v>
      </c>
      <c r="M334" s="33" t="n">
        <f>51700</f>
        <v>51700.0</v>
      </c>
      <c r="N334" s="34" t="s">
        <v>182</v>
      </c>
      <c r="O334" s="33" t="n">
        <f>49450</f>
        <v>49450.0</v>
      </c>
      <c r="P334" s="34" t="s">
        <v>74</v>
      </c>
      <c r="Q334" s="33" t="n">
        <f>51100</f>
        <v>51100.0</v>
      </c>
      <c r="R334" s="34" t="s">
        <v>51</v>
      </c>
      <c r="S334" s="35" t="n">
        <f>50575</f>
        <v>50575.0</v>
      </c>
      <c r="T334" s="32" t="n">
        <f>85368</f>
        <v>85368.0</v>
      </c>
      <c r="U334" s="32" t="n">
        <f>19545</f>
        <v>19545.0</v>
      </c>
      <c r="V334" s="32" t="n">
        <f>4314027423</f>
        <v>4.314027423E9</v>
      </c>
      <c r="W334" s="32" t="n">
        <f>987370523</f>
        <v>9.87370523E8</v>
      </c>
      <c r="X334" s="36" t="n">
        <f>22</f>
        <v>22.0</v>
      </c>
    </row>
    <row r="335">
      <c r="A335" s="27" t="s">
        <v>42</v>
      </c>
      <c r="B335" s="27" t="s">
        <v>1056</v>
      </c>
      <c r="C335" s="27" t="s">
        <v>1057</v>
      </c>
      <c r="D335" s="27" t="s">
        <v>1058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128500</f>
        <v>128500.0</v>
      </c>
      <c r="L335" s="34" t="s">
        <v>48</v>
      </c>
      <c r="M335" s="33" t="n">
        <f>134200</f>
        <v>134200.0</v>
      </c>
      <c r="N335" s="34" t="s">
        <v>89</v>
      </c>
      <c r="O335" s="33" t="n">
        <f>126000</f>
        <v>126000.0</v>
      </c>
      <c r="P335" s="34" t="s">
        <v>74</v>
      </c>
      <c r="Q335" s="33" t="n">
        <f>132300</f>
        <v>132300.0</v>
      </c>
      <c r="R335" s="34" t="s">
        <v>51</v>
      </c>
      <c r="S335" s="35" t="n">
        <f>131009.09</f>
        <v>131009.09</v>
      </c>
      <c r="T335" s="32" t="n">
        <f>13518</f>
        <v>13518.0</v>
      </c>
      <c r="U335" s="32" t="n">
        <f>1955</f>
        <v>1955.0</v>
      </c>
      <c r="V335" s="32" t="n">
        <f>1769757621</f>
        <v>1.769757621E9</v>
      </c>
      <c r="W335" s="32" t="n">
        <f>255539821</f>
        <v>2.55539821E8</v>
      </c>
      <c r="X335" s="36" t="n">
        <f>22</f>
        <v>22.0</v>
      </c>
    </row>
    <row r="336">
      <c r="A336" s="27" t="s">
        <v>42</v>
      </c>
      <c r="B336" s="27" t="s">
        <v>1059</v>
      </c>
      <c r="C336" s="27" t="s">
        <v>1060</v>
      </c>
      <c r="D336" s="27" t="s">
        <v>1061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479500</f>
        <v>479500.0</v>
      </c>
      <c r="L336" s="34" t="s">
        <v>48</v>
      </c>
      <c r="M336" s="33" t="n">
        <f>488500</f>
        <v>488500.0</v>
      </c>
      <c r="N336" s="34" t="s">
        <v>49</v>
      </c>
      <c r="O336" s="33" t="n">
        <f>467000</f>
        <v>467000.0</v>
      </c>
      <c r="P336" s="34" t="s">
        <v>50</v>
      </c>
      <c r="Q336" s="33" t="n">
        <f>478500</f>
        <v>478500.0</v>
      </c>
      <c r="R336" s="34" t="s">
        <v>51</v>
      </c>
      <c r="S336" s="35" t="n">
        <f>481022.73</f>
        <v>481022.73</v>
      </c>
      <c r="T336" s="32" t="n">
        <f>36455</f>
        <v>36455.0</v>
      </c>
      <c r="U336" s="32" t="n">
        <f>5626</f>
        <v>5626.0</v>
      </c>
      <c r="V336" s="32" t="n">
        <f>17527374491</f>
        <v>1.7527374491E10</v>
      </c>
      <c r="W336" s="32" t="n">
        <f>2704043991</f>
        <v>2.704043991E9</v>
      </c>
      <c r="X336" s="36" t="n">
        <f>22</f>
        <v>22.0</v>
      </c>
    </row>
    <row r="337">
      <c r="A337" s="27" t="s">
        <v>42</v>
      </c>
      <c r="B337" s="27" t="s">
        <v>1062</v>
      </c>
      <c r="C337" s="27" t="s">
        <v>1063</v>
      </c>
      <c r="D337" s="27" t="s">
        <v>1064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204700</f>
        <v>204700.0</v>
      </c>
      <c r="L337" s="34" t="s">
        <v>48</v>
      </c>
      <c r="M337" s="33" t="n">
        <f>216800</f>
        <v>216800.0</v>
      </c>
      <c r="N337" s="34" t="s">
        <v>51</v>
      </c>
      <c r="O337" s="33" t="n">
        <f>199700</f>
        <v>199700.0</v>
      </c>
      <c r="P337" s="34" t="s">
        <v>74</v>
      </c>
      <c r="Q337" s="33" t="n">
        <f>214000</f>
        <v>214000.0</v>
      </c>
      <c r="R337" s="34" t="s">
        <v>51</v>
      </c>
      <c r="S337" s="35" t="n">
        <f>206790.91</f>
        <v>206790.91</v>
      </c>
      <c r="T337" s="32" t="n">
        <f>46473</f>
        <v>46473.0</v>
      </c>
      <c r="U337" s="32" t="n">
        <f>13495</f>
        <v>13495.0</v>
      </c>
      <c r="V337" s="32" t="n">
        <f>9598521800</f>
        <v>9.5985218E9</v>
      </c>
      <c r="W337" s="32" t="n">
        <f>2777160100</f>
        <v>2.7771601E9</v>
      </c>
      <c r="X337" s="36" t="n">
        <f>22</f>
        <v>22.0</v>
      </c>
    </row>
    <row r="338">
      <c r="A338" s="27" t="s">
        <v>42</v>
      </c>
      <c r="B338" s="27" t="s">
        <v>1065</v>
      </c>
      <c r="C338" s="27" t="s">
        <v>1066</v>
      </c>
      <c r="D338" s="27" t="s">
        <v>1067</v>
      </c>
      <c r="E338" s="28" t="s">
        <v>46</v>
      </c>
      <c r="F338" s="29" t="s">
        <v>46</v>
      </c>
      <c r="G338" s="30" t="s">
        <v>46</v>
      </c>
      <c r="H338" s="31"/>
      <c r="I338" s="31" t="s">
        <v>598</v>
      </c>
      <c r="J338" s="32" t="n">
        <v>1.0</v>
      </c>
      <c r="K338" s="33" t="n">
        <f>129400</f>
        <v>129400.0</v>
      </c>
      <c r="L338" s="34" t="s">
        <v>48</v>
      </c>
      <c r="M338" s="33" t="n">
        <f>130100</f>
        <v>130100.0</v>
      </c>
      <c r="N338" s="34" t="s">
        <v>69</v>
      </c>
      <c r="O338" s="33" t="n">
        <f>124600</f>
        <v>124600.0</v>
      </c>
      <c r="P338" s="34" t="s">
        <v>75</v>
      </c>
      <c r="Q338" s="33" t="n">
        <f>126100</f>
        <v>126100.0</v>
      </c>
      <c r="R338" s="34" t="s">
        <v>51</v>
      </c>
      <c r="S338" s="35" t="n">
        <f>128622.73</f>
        <v>128622.73</v>
      </c>
      <c r="T338" s="32" t="n">
        <f>23049</f>
        <v>23049.0</v>
      </c>
      <c r="U338" s="32" t="n">
        <f>2082</f>
        <v>2082.0</v>
      </c>
      <c r="V338" s="32" t="n">
        <f>2959715406</f>
        <v>2.959715406E9</v>
      </c>
      <c r="W338" s="32" t="n">
        <f>267273706</f>
        <v>2.67273706E8</v>
      </c>
      <c r="X338" s="36" t="n">
        <f>22</f>
        <v>22.0</v>
      </c>
    </row>
    <row r="339">
      <c r="A339" s="27" t="s">
        <v>42</v>
      </c>
      <c r="B339" s="27" t="s">
        <v>1068</v>
      </c>
      <c r="C339" s="27" t="s">
        <v>1069</v>
      </c>
      <c r="D339" s="27" t="s">
        <v>1070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116000</f>
        <v>116000.0</v>
      </c>
      <c r="L339" s="34" t="s">
        <v>48</v>
      </c>
      <c r="M339" s="33" t="n">
        <f>116100</f>
        <v>116100.0</v>
      </c>
      <c r="N339" s="34" t="s">
        <v>73</v>
      </c>
      <c r="O339" s="33" t="n">
        <f>105600</f>
        <v>105600.0</v>
      </c>
      <c r="P339" s="34" t="s">
        <v>51</v>
      </c>
      <c r="Q339" s="33" t="n">
        <f>107100</f>
        <v>107100.0</v>
      </c>
      <c r="R339" s="34" t="s">
        <v>51</v>
      </c>
      <c r="S339" s="35" t="n">
        <f>112181.82</f>
        <v>112181.82</v>
      </c>
      <c r="T339" s="32" t="n">
        <f>134058</f>
        <v>134058.0</v>
      </c>
      <c r="U339" s="32" t="n">
        <f>7786</f>
        <v>7786.0</v>
      </c>
      <c r="V339" s="32" t="n">
        <f>14815731038</f>
        <v>1.4815731038E10</v>
      </c>
      <c r="W339" s="32" t="n">
        <f>862415438</f>
        <v>8.62415438E8</v>
      </c>
      <c r="X339" s="36" t="n">
        <f>22</f>
        <v>22.0</v>
      </c>
    </row>
    <row r="340">
      <c r="A340" s="27" t="s">
        <v>42</v>
      </c>
      <c r="B340" s="27" t="s">
        <v>1071</v>
      </c>
      <c r="C340" s="27" t="s">
        <v>1072</v>
      </c>
      <c r="D340" s="27" t="s">
        <v>1073</v>
      </c>
      <c r="E340" s="28" t="s">
        <v>46</v>
      </c>
      <c r="F340" s="29" t="s">
        <v>46</v>
      </c>
      <c r="G340" s="30" t="s">
        <v>46</v>
      </c>
      <c r="H340" s="31"/>
      <c r="I340" s="31" t="s">
        <v>598</v>
      </c>
      <c r="J340" s="32" t="n">
        <v>1.0</v>
      </c>
      <c r="K340" s="33" t="n">
        <f>153600</f>
        <v>153600.0</v>
      </c>
      <c r="L340" s="34" t="s">
        <v>48</v>
      </c>
      <c r="M340" s="33" t="n">
        <f>160500</f>
        <v>160500.0</v>
      </c>
      <c r="N340" s="34" t="s">
        <v>75</v>
      </c>
      <c r="O340" s="33" t="n">
        <f>152500</f>
        <v>152500.0</v>
      </c>
      <c r="P340" s="34" t="s">
        <v>74</v>
      </c>
      <c r="Q340" s="33" t="n">
        <f>159000</f>
        <v>159000.0</v>
      </c>
      <c r="R340" s="34" t="s">
        <v>51</v>
      </c>
      <c r="S340" s="35" t="n">
        <f>155754.55</f>
        <v>155754.55</v>
      </c>
      <c r="T340" s="32" t="n">
        <f>25190</f>
        <v>25190.0</v>
      </c>
      <c r="U340" s="32" t="n">
        <f>4209</f>
        <v>4209.0</v>
      </c>
      <c r="V340" s="32" t="n">
        <f>3927389868</f>
        <v>3.927389868E9</v>
      </c>
      <c r="W340" s="32" t="n">
        <f>656744968</f>
        <v>6.56744968E8</v>
      </c>
      <c r="X340" s="36" t="n">
        <f>22</f>
        <v>22.0</v>
      </c>
    </row>
    <row r="341">
      <c r="A341" s="27" t="s">
        <v>42</v>
      </c>
      <c r="B341" s="27" t="s">
        <v>1074</v>
      </c>
      <c r="C341" s="27" t="s">
        <v>1075</v>
      </c>
      <c r="D341" s="27" t="s">
        <v>1076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706000</f>
        <v>706000.0</v>
      </c>
      <c r="L341" s="34" t="s">
        <v>48</v>
      </c>
      <c r="M341" s="33" t="n">
        <f>709000</f>
        <v>709000.0</v>
      </c>
      <c r="N341" s="34" t="s">
        <v>50</v>
      </c>
      <c r="O341" s="33" t="n">
        <f>683000</f>
        <v>683000.0</v>
      </c>
      <c r="P341" s="34" t="s">
        <v>69</v>
      </c>
      <c r="Q341" s="33" t="n">
        <f>694000</f>
        <v>694000.0</v>
      </c>
      <c r="R341" s="34" t="s">
        <v>51</v>
      </c>
      <c r="S341" s="35" t="n">
        <f>698000</f>
        <v>698000.0</v>
      </c>
      <c r="T341" s="32" t="n">
        <f>85654</f>
        <v>85654.0</v>
      </c>
      <c r="U341" s="32" t="n">
        <f>16300</f>
        <v>16300.0</v>
      </c>
      <c r="V341" s="32" t="n">
        <f>59656254597</f>
        <v>5.9656254597E10</v>
      </c>
      <c r="W341" s="32" t="n">
        <f>11361041597</f>
        <v>1.1361041597E10</v>
      </c>
      <c r="X341" s="36" t="n">
        <f>22</f>
        <v>22.0</v>
      </c>
    </row>
    <row r="342">
      <c r="A342" s="27" t="s">
        <v>42</v>
      </c>
      <c r="B342" s="27" t="s">
        <v>1077</v>
      </c>
      <c r="C342" s="27" t="s">
        <v>1078</v>
      </c>
      <c r="D342" s="27" t="s">
        <v>1079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647000</f>
        <v>647000.0</v>
      </c>
      <c r="L342" s="34" t="s">
        <v>48</v>
      </c>
      <c r="M342" s="33" t="n">
        <f>655000</f>
        <v>655000.0</v>
      </c>
      <c r="N342" s="34" t="s">
        <v>75</v>
      </c>
      <c r="O342" s="33" t="n">
        <f>632000</f>
        <v>632000.0</v>
      </c>
      <c r="P342" s="34" t="s">
        <v>165</v>
      </c>
      <c r="Q342" s="33" t="n">
        <f>645000</f>
        <v>645000.0</v>
      </c>
      <c r="R342" s="34" t="s">
        <v>51</v>
      </c>
      <c r="S342" s="35" t="n">
        <f>643136.36</f>
        <v>643136.36</v>
      </c>
      <c r="T342" s="32" t="n">
        <f>86116</f>
        <v>86116.0</v>
      </c>
      <c r="U342" s="32" t="n">
        <f>20365</f>
        <v>20365.0</v>
      </c>
      <c r="V342" s="32" t="n">
        <f>55385754575</f>
        <v>5.5385754575E10</v>
      </c>
      <c r="W342" s="32" t="n">
        <f>13116518575</f>
        <v>1.3116518575E10</v>
      </c>
      <c r="X342" s="36" t="n">
        <f>22</f>
        <v>22.0</v>
      </c>
    </row>
    <row r="343">
      <c r="A343" s="27" t="s">
        <v>42</v>
      </c>
      <c r="B343" s="27" t="s">
        <v>1080</v>
      </c>
      <c r="C343" s="27" t="s">
        <v>1081</v>
      </c>
      <c r="D343" s="27" t="s">
        <v>1082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109000</f>
        <v>109000.0</v>
      </c>
      <c r="L343" s="34" t="s">
        <v>48</v>
      </c>
      <c r="M343" s="33" t="n">
        <f>112500</f>
        <v>112500.0</v>
      </c>
      <c r="N343" s="34" t="s">
        <v>182</v>
      </c>
      <c r="O343" s="33" t="n">
        <f>107700</f>
        <v>107700.0</v>
      </c>
      <c r="P343" s="34" t="s">
        <v>48</v>
      </c>
      <c r="Q343" s="33" t="n">
        <f>110600</f>
        <v>110600.0</v>
      </c>
      <c r="R343" s="34" t="s">
        <v>51</v>
      </c>
      <c r="S343" s="35" t="n">
        <f>110477.27</f>
        <v>110477.27</v>
      </c>
      <c r="T343" s="32" t="n">
        <f>481273</f>
        <v>481273.0</v>
      </c>
      <c r="U343" s="32" t="n">
        <f>118332</f>
        <v>118332.0</v>
      </c>
      <c r="V343" s="32" t="n">
        <f>53059743232</f>
        <v>5.3059743232E10</v>
      </c>
      <c r="W343" s="32" t="n">
        <f>13060563332</f>
        <v>1.3060563332E10</v>
      </c>
      <c r="X343" s="36" t="n">
        <f>22</f>
        <v>22.0</v>
      </c>
    </row>
    <row r="344">
      <c r="A344" s="27" t="s">
        <v>42</v>
      </c>
      <c r="B344" s="27" t="s">
        <v>1083</v>
      </c>
      <c r="C344" s="27" t="s">
        <v>1084</v>
      </c>
      <c r="D344" s="27" t="s">
        <v>1085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192100</f>
        <v>192100.0</v>
      </c>
      <c r="L344" s="34" t="s">
        <v>48</v>
      </c>
      <c r="M344" s="33" t="n">
        <f>196500</f>
        <v>196500.0</v>
      </c>
      <c r="N344" s="34" t="s">
        <v>182</v>
      </c>
      <c r="O344" s="33" t="n">
        <f>188100</f>
        <v>188100.0</v>
      </c>
      <c r="P344" s="34" t="s">
        <v>75</v>
      </c>
      <c r="Q344" s="33" t="n">
        <f>191500</f>
        <v>191500.0</v>
      </c>
      <c r="R344" s="34" t="s">
        <v>51</v>
      </c>
      <c r="S344" s="35" t="n">
        <f>192700</f>
        <v>192700.0</v>
      </c>
      <c r="T344" s="32" t="n">
        <f>199768</f>
        <v>199768.0</v>
      </c>
      <c r="U344" s="32" t="n">
        <f>45936</f>
        <v>45936.0</v>
      </c>
      <c r="V344" s="32" t="n">
        <f>38422367515</f>
        <v>3.8422367515E10</v>
      </c>
      <c r="W344" s="32" t="n">
        <f>8825637115</f>
        <v>8.825637115E9</v>
      </c>
      <c r="X344" s="36" t="n">
        <f>22</f>
        <v>22.0</v>
      </c>
    </row>
    <row r="345">
      <c r="A345" s="27" t="s">
        <v>42</v>
      </c>
      <c r="B345" s="27" t="s">
        <v>1086</v>
      </c>
      <c r="C345" s="27" t="s">
        <v>1087</v>
      </c>
      <c r="D345" s="27" t="s">
        <v>1088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408000</f>
        <v>408000.0</v>
      </c>
      <c r="L345" s="34" t="s">
        <v>48</v>
      </c>
      <c r="M345" s="33" t="n">
        <f>414500</f>
        <v>414500.0</v>
      </c>
      <c r="N345" s="34" t="s">
        <v>50</v>
      </c>
      <c r="O345" s="33" t="n">
        <f>397500</f>
        <v>397500.0</v>
      </c>
      <c r="P345" s="34" t="s">
        <v>165</v>
      </c>
      <c r="Q345" s="33" t="n">
        <f>412500</f>
        <v>412500.0</v>
      </c>
      <c r="R345" s="34" t="s">
        <v>51</v>
      </c>
      <c r="S345" s="35" t="n">
        <f>407636.36</f>
        <v>407636.36</v>
      </c>
      <c r="T345" s="32" t="n">
        <f>42913</f>
        <v>42913.0</v>
      </c>
      <c r="U345" s="32" t="n">
        <f>9547</f>
        <v>9547.0</v>
      </c>
      <c r="V345" s="32" t="n">
        <f>17484895410</f>
        <v>1.748489541E10</v>
      </c>
      <c r="W345" s="32" t="n">
        <f>3890913910</f>
        <v>3.89091391E9</v>
      </c>
      <c r="X345" s="36" t="n">
        <f>22</f>
        <v>22.0</v>
      </c>
    </row>
    <row r="346">
      <c r="A346" s="27" t="s">
        <v>42</v>
      </c>
      <c r="B346" s="27" t="s">
        <v>1089</v>
      </c>
      <c r="C346" s="27" t="s">
        <v>1090</v>
      </c>
      <c r="D346" s="27" t="s">
        <v>1091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152900</f>
        <v>152900.0</v>
      </c>
      <c r="L346" s="34" t="s">
        <v>48</v>
      </c>
      <c r="M346" s="33" t="n">
        <f>153500</f>
        <v>153500.0</v>
      </c>
      <c r="N346" s="34" t="s">
        <v>48</v>
      </c>
      <c r="O346" s="33" t="n">
        <f>146500</f>
        <v>146500.0</v>
      </c>
      <c r="P346" s="34" t="s">
        <v>274</v>
      </c>
      <c r="Q346" s="33" t="n">
        <f>150500</f>
        <v>150500.0</v>
      </c>
      <c r="R346" s="34" t="s">
        <v>51</v>
      </c>
      <c r="S346" s="35" t="n">
        <f>149168.18</f>
        <v>149168.18</v>
      </c>
      <c r="T346" s="32" t="n">
        <f>77944</f>
        <v>77944.0</v>
      </c>
      <c r="U346" s="32" t="n">
        <f>19389</f>
        <v>19389.0</v>
      </c>
      <c r="V346" s="32" t="n">
        <f>11640506695</f>
        <v>1.1640506695E10</v>
      </c>
      <c r="W346" s="32" t="n">
        <f>2899311295</f>
        <v>2.899311295E9</v>
      </c>
      <c r="X346" s="36" t="n">
        <f>22</f>
        <v>22.0</v>
      </c>
    </row>
    <row r="347">
      <c r="A347" s="27" t="s">
        <v>42</v>
      </c>
      <c r="B347" s="27" t="s">
        <v>1092</v>
      </c>
      <c r="C347" s="27" t="s">
        <v>1093</v>
      </c>
      <c r="D347" s="27" t="s">
        <v>1094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195000</f>
        <v>195000.0</v>
      </c>
      <c r="L347" s="34" t="s">
        <v>48</v>
      </c>
      <c r="M347" s="33" t="n">
        <f>199500</f>
        <v>199500.0</v>
      </c>
      <c r="N347" s="34" t="s">
        <v>51</v>
      </c>
      <c r="O347" s="33" t="n">
        <f>191000</f>
        <v>191000.0</v>
      </c>
      <c r="P347" s="34" t="s">
        <v>74</v>
      </c>
      <c r="Q347" s="33" t="n">
        <f>198500</f>
        <v>198500.0</v>
      </c>
      <c r="R347" s="34" t="s">
        <v>51</v>
      </c>
      <c r="S347" s="35" t="n">
        <f>195631.82</f>
        <v>195631.82</v>
      </c>
      <c r="T347" s="32" t="n">
        <f>49942</f>
        <v>49942.0</v>
      </c>
      <c r="U347" s="32" t="n">
        <f>9410</f>
        <v>9410.0</v>
      </c>
      <c r="V347" s="32" t="n">
        <f>9760906391</f>
        <v>9.760906391E9</v>
      </c>
      <c r="W347" s="32" t="n">
        <f>1843133391</f>
        <v>1.843133391E9</v>
      </c>
      <c r="X347" s="36" t="n">
        <f>22</f>
        <v>22.0</v>
      </c>
    </row>
    <row r="348">
      <c r="A348" s="27" t="s">
        <v>42</v>
      </c>
      <c r="B348" s="27" t="s">
        <v>1095</v>
      </c>
      <c r="C348" s="27" t="s">
        <v>1096</v>
      </c>
      <c r="D348" s="27" t="s">
        <v>1097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109900</f>
        <v>109900.0</v>
      </c>
      <c r="L348" s="34" t="s">
        <v>48</v>
      </c>
      <c r="M348" s="33" t="n">
        <f>112400</f>
        <v>112400.0</v>
      </c>
      <c r="N348" s="34" t="s">
        <v>51</v>
      </c>
      <c r="O348" s="33" t="n">
        <f>108400</f>
        <v>108400.0</v>
      </c>
      <c r="P348" s="34" t="s">
        <v>74</v>
      </c>
      <c r="Q348" s="33" t="n">
        <f>111800</f>
        <v>111800.0</v>
      </c>
      <c r="R348" s="34" t="s">
        <v>51</v>
      </c>
      <c r="S348" s="35" t="n">
        <f>110531.82</f>
        <v>110531.82</v>
      </c>
      <c r="T348" s="32" t="n">
        <f>51721</f>
        <v>51721.0</v>
      </c>
      <c r="U348" s="32" t="n">
        <f>10357</f>
        <v>10357.0</v>
      </c>
      <c r="V348" s="32" t="n">
        <f>5718526605</f>
        <v>5.718526605E9</v>
      </c>
      <c r="W348" s="32" t="n">
        <f>1145338505</f>
        <v>1.145338505E9</v>
      </c>
      <c r="X348" s="36" t="n">
        <f>22</f>
        <v>22.0</v>
      </c>
    </row>
    <row r="349">
      <c r="A349" s="27" t="s">
        <v>42</v>
      </c>
      <c r="B349" s="27" t="s">
        <v>1098</v>
      </c>
      <c r="C349" s="27" t="s">
        <v>1099</v>
      </c>
      <c r="D349" s="27" t="s">
        <v>1100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145200</f>
        <v>145200.0</v>
      </c>
      <c r="L349" s="34" t="s">
        <v>48</v>
      </c>
      <c r="M349" s="33" t="n">
        <f>150500</f>
        <v>150500.0</v>
      </c>
      <c r="N349" s="34" t="s">
        <v>51</v>
      </c>
      <c r="O349" s="33" t="n">
        <f>144400</f>
        <v>144400.0</v>
      </c>
      <c r="P349" s="34" t="s">
        <v>48</v>
      </c>
      <c r="Q349" s="33" t="n">
        <f>148200</f>
        <v>148200.0</v>
      </c>
      <c r="R349" s="34" t="s">
        <v>51</v>
      </c>
      <c r="S349" s="35" t="n">
        <f>147190.91</f>
        <v>147190.91</v>
      </c>
      <c r="T349" s="32" t="n">
        <f>218975</f>
        <v>218975.0</v>
      </c>
      <c r="U349" s="32" t="n">
        <f>60966</f>
        <v>60966.0</v>
      </c>
      <c r="V349" s="32" t="n">
        <f>32242456588</f>
        <v>3.2242456588E10</v>
      </c>
      <c r="W349" s="32" t="n">
        <f>8986051988</f>
        <v>8.986051988E9</v>
      </c>
      <c r="X349" s="36" t="n">
        <f>22</f>
        <v>22.0</v>
      </c>
    </row>
    <row r="350">
      <c r="A350" s="27" t="s">
        <v>42</v>
      </c>
      <c r="B350" s="27" t="s">
        <v>1101</v>
      </c>
      <c r="C350" s="27" t="s">
        <v>1102</v>
      </c>
      <c r="D350" s="27" t="s">
        <v>1103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147400</f>
        <v>147400.0</v>
      </c>
      <c r="L350" s="34" t="s">
        <v>48</v>
      </c>
      <c r="M350" s="33" t="n">
        <f>147500</f>
        <v>147500.0</v>
      </c>
      <c r="N350" s="34" t="s">
        <v>48</v>
      </c>
      <c r="O350" s="33" t="n">
        <f>142000</f>
        <v>142000.0</v>
      </c>
      <c r="P350" s="34" t="s">
        <v>74</v>
      </c>
      <c r="Q350" s="33" t="n">
        <f>145100</f>
        <v>145100.0</v>
      </c>
      <c r="R350" s="34" t="s">
        <v>51</v>
      </c>
      <c r="S350" s="35" t="n">
        <f>144609.09</f>
        <v>144609.09</v>
      </c>
      <c r="T350" s="32" t="n">
        <f>46801</f>
        <v>46801.0</v>
      </c>
      <c r="U350" s="32" t="n">
        <f>8845</f>
        <v>8845.0</v>
      </c>
      <c r="V350" s="32" t="n">
        <f>6766435970</f>
        <v>6.76643597E9</v>
      </c>
      <c r="W350" s="32" t="n">
        <f>1280535670</f>
        <v>1.28053567E9</v>
      </c>
      <c r="X350" s="36" t="n">
        <f>22</f>
        <v>22.0</v>
      </c>
    </row>
    <row r="351">
      <c r="A351" s="27" t="s">
        <v>42</v>
      </c>
      <c r="B351" s="27" t="s">
        <v>1104</v>
      </c>
      <c r="C351" s="27" t="s">
        <v>1105</v>
      </c>
      <c r="D351" s="27" t="s">
        <v>1106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41950</f>
        <v>41950.0</v>
      </c>
      <c r="L351" s="34" t="s">
        <v>48</v>
      </c>
      <c r="M351" s="33" t="n">
        <f>43950</f>
        <v>43950.0</v>
      </c>
      <c r="N351" s="34" t="s">
        <v>68</v>
      </c>
      <c r="O351" s="33" t="n">
        <f>41850</f>
        <v>41850.0</v>
      </c>
      <c r="P351" s="34" t="s">
        <v>48</v>
      </c>
      <c r="Q351" s="33" t="n">
        <f>42900</f>
        <v>42900.0</v>
      </c>
      <c r="R351" s="34" t="s">
        <v>51</v>
      </c>
      <c r="S351" s="35" t="n">
        <f>42931.82</f>
        <v>42931.82</v>
      </c>
      <c r="T351" s="32" t="n">
        <f>663752</f>
        <v>663752.0</v>
      </c>
      <c r="U351" s="32" t="n">
        <f>165774</f>
        <v>165774.0</v>
      </c>
      <c r="V351" s="32" t="n">
        <f>28412308467</f>
        <v>2.8412308467E10</v>
      </c>
      <c r="W351" s="32" t="n">
        <f>7088532367</f>
        <v>7.088532367E9</v>
      </c>
      <c r="X351" s="36" t="n">
        <f>22</f>
        <v>22.0</v>
      </c>
    </row>
    <row r="352">
      <c r="A352" s="27" t="s">
        <v>42</v>
      </c>
      <c r="B352" s="27" t="s">
        <v>1107</v>
      </c>
      <c r="C352" s="27" t="s">
        <v>1108</v>
      </c>
      <c r="D352" s="27" t="s">
        <v>1109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543000</f>
        <v>543000.0</v>
      </c>
      <c r="L352" s="34" t="s">
        <v>48</v>
      </c>
      <c r="M352" s="33" t="n">
        <f>546000</f>
        <v>546000.0</v>
      </c>
      <c r="N352" s="34" t="s">
        <v>48</v>
      </c>
      <c r="O352" s="33" t="n">
        <f>524000</f>
        <v>524000.0</v>
      </c>
      <c r="P352" s="34" t="s">
        <v>348</v>
      </c>
      <c r="Q352" s="33" t="n">
        <f>533000</f>
        <v>533000.0</v>
      </c>
      <c r="R352" s="34" t="s">
        <v>51</v>
      </c>
      <c r="S352" s="35" t="n">
        <f>535636.36</f>
        <v>535636.36</v>
      </c>
      <c r="T352" s="32" t="n">
        <f>35277</f>
        <v>35277.0</v>
      </c>
      <c r="U352" s="32" t="n">
        <f>7487</f>
        <v>7487.0</v>
      </c>
      <c r="V352" s="32" t="n">
        <f>18872520709</f>
        <v>1.8872520709E10</v>
      </c>
      <c r="W352" s="32" t="n">
        <f>4004092709</f>
        <v>4.004092709E9</v>
      </c>
      <c r="X352" s="36" t="n">
        <f>22</f>
        <v>22.0</v>
      </c>
    </row>
    <row r="353">
      <c r="A353" s="27" t="s">
        <v>42</v>
      </c>
      <c r="B353" s="27" t="s">
        <v>1110</v>
      </c>
      <c r="C353" s="27" t="s">
        <v>1111</v>
      </c>
      <c r="D353" s="27" t="s">
        <v>1112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150000</f>
        <v>150000.0</v>
      </c>
      <c r="L353" s="34" t="s">
        <v>48</v>
      </c>
      <c r="M353" s="33" t="n">
        <f>159000</f>
        <v>159000.0</v>
      </c>
      <c r="N353" s="34" t="s">
        <v>51</v>
      </c>
      <c r="O353" s="33" t="n">
        <f>148600</f>
        <v>148600.0</v>
      </c>
      <c r="P353" s="34" t="s">
        <v>50</v>
      </c>
      <c r="Q353" s="33" t="n">
        <f>158000</f>
        <v>158000.0</v>
      </c>
      <c r="R353" s="34" t="s">
        <v>51</v>
      </c>
      <c r="S353" s="35" t="n">
        <f>153640.91</f>
        <v>153640.91</v>
      </c>
      <c r="T353" s="32" t="n">
        <f>68194</f>
        <v>68194.0</v>
      </c>
      <c r="U353" s="32" t="n">
        <f>21442</f>
        <v>21442.0</v>
      </c>
      <c r="V353" s="32" t="n">
        <f>10468848678</f>
        <v>1.0468848678E10</v>
      </c>
      <c r="W353" s="32" t="n">
        <f>3290884178</f>
        <v>3.290884178E9</v>
      </c>
      <c r="X353" s="36" t="n">
        <f>22</f>
        <v>22.0</v>
      </c>
    </row>
    <row r="354">
      <c r="A354" s="27" t="s">
        <v>42</v>
      </c>
      <c r="B354" s="27" t="s">
        <v>1113</v>
      </c>
      <c r="C354" s="27" t="s">
        <v>1114</v>
      </c>
      <c r="D354" s="27" t="s">
        <v>1115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321000</f>
        <v>321000.0</v>
      </c>
      <c r="L354" s="34" t="s">
        <v>48</v>
      </c>
      <c r="M354" s="33" t="n">
        <f>335000</f>
        <v>335000.0</v>
      </c>
      <c r="N354" s="34" t="s">
        <v>75</v>
      </c>
      <c r="O354" s="33" t="n">
        <f>316500</f>
        <v>316500.0</v>
      </c>
      <c r="P354" s="34" t="s">
        <v>74</v>
      </c>
      <c r="Q354" s="33" t="n">
        <f>330500</f>
        <v>330500.0</v>
      </c>
      <c r="R354" s="34" t="s">
        <v>51</v>
      </c>
      <c r="S354" s="35" t="n">
        <f>323977.27</f>
        <v>323977.27</v>
      </c>
      <c r="T354" s="32" t="n">
        <f>44562</f>
        <v>44562.0</v>
      </c>
      <c r="U354" s="32" t="n">
        <f>10025</f>
        <v>10025.0</v>
      </c>
      <c r="V354" s="32" t="n">
        <f>14460479144</f>
        <v>1.4460479144E10</v>
      </c>
      <c r="W354" s="32" t="n">
        <f>3257804144</f>
        <v>3.257804144E9</v>
      </c>
      <c r="X354" s="36" t="n">
        <f>22</f>
        <v>22.0</v>
      </c>
    </row>
    <row r="355">
      <c r="A355" s="27" t="s">
        <v>42</v>
      </c>
      <c r="B355" s="27" t="s">
        <v>1116</v>
      </c>
      <c r="C355" s="27" t="s">
        <v>1117</v>
      </c>
      <c r="D355" s="27" t="s">
        <v>1118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172800</f>
        <v>172800.0</v>
      </c>
      <c r="L355" s="34" t="s">
        <v>48</v>
      </c>
      <c r="M355" s="33" t="n">
        <f>173600</f>
        <v>173600.0</v>
      </c>
      <c r="N355" s="34" t="s">
        <v>48</v>
      </c>
      <c r="O355" s="33" t="n">
        <f>168100</f>
        <v>168100.0</v>
      </c>
      <c r="P355" s="34" t="s">
        <v>75</v>
      </c>
      <c r="Q355" s="33" t="n">
        <f>170300</f>
        <v>170300.0</v>
      </c>
      <c r="R355" s="34" t="s">
        <v>51</v>
      </c>
      <c r="S355" s="35" t="n">
        <f>171213.64</f>
        <v>171213.64</v>
      </c>
      <c r="T355" s="32" t="n">
        <f>35672</f>
        <v>35672.0</v>
      </c>
      <c r="U355" s="32" t="n">
        <f>5999</f>
        <v>5999.0</v>
      </c>
      <c r="V355" s="32" t="n">
        <f>6097855541</f>
        <v>6.097855541E9</v>
      </c>
      <c r="W355" s="32" t="n">
        <f>1026060841</f>
        <v>1.026060841E9</v>
      </c>
      <c r="X355" s="36" t="n">
        <f>22</f>
        <v>22.0</v>
      </c>
    </row>
    <row r="356">
      <c r="A356" s="27" t="s">
        <v>42</v>
      </c>
      <c r="B356" s="27" t="s">
        <v>1119</v>
      </c>
      <c r="C356" s="27" t="s">
        <v>1120</v>
      </c>
      <c r="D356" s="27" t="s">
        <v>1121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719000</f>
        <v>719000.0</v>
      </c>
      <c r="L356" s="34" t="s">
        <v>48</v>
      </c>
      <c r="M356" s="33" t="n">
        <f>726000</f>
        <v>726000.0</v>
      </c>
      <c r="N356" s="34" t="s">
        <v>51</v>
      </c>
      <c r="O356" s="33" t="n">
        <f>701000</f>
        <v>701000.0</v>
      </c>
      <c r="P356" s="34" t="s">
        <v>79</v>
      </c>
      <c r="Q356" s="33" t="n">
        <f>720000</f>
        <v>720000.0</v>
      </c>
      <c r="R356" s="34" t="s">
        <v>51</v>
      </c>
      <c r="S356" s="35" t="n">
        <f>712272.73</f>
        <v>712272.73</v>
      </c>
      <c r="T356" s="32" t="n">
        <f>27423</f>
        <v>27423.0</v>
      </c>
      <c r="U356" s="32" t="n">
        <f>5449</f>
        <v>5449.0</v>
      </c>
      <c r="V356" s="32" t="n">
        <f>19520877333</f>
        <v>1.9520877333E10</v>
      </c>
      <c r="W356" s="32" t="n">
        <f>3878605333</f>
        <v>3.878605333E9</v>
      </c>
      <c r="X356" s="36" t="n">
        <f>22</f>
        <v>22.0</v>
      </c>
    </row>
    <row r="357">
      <c r="A357" s="27" t="s">
        <v>42</v>
      </c>
      <c r="B357" s="27" t="s">
        <v>1122</v>
      </c>
      <c r="C357" s="27" t="s">
        <v>1123</v>
      </c>
      <c r="D357" s="27" t="s">
        <v>1124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85600</f>
        <v>85600.0</v>
      </c>
      <c r="L357" s="34" t="s">
        <v>48</v>
      </c>
      <c r="M357" s="33" t="n">
        <f>87000</f>
        <v>87000.0</v>
      </c>
      <c r="N357" s="34" t="s">
        <v>182</v>
      </c>
      <c r="O357" s="33" t="n">
        <f>83900</f>
        <v>83900.0</v>
      </c>
      <c r="P357" s="34" t="s">
        <v>74</v>
      </c>
      <c r="Q357" s="33" t="n">
        <f>86400</f>
        <v>86400.0</v>
      </c>
      <c r="R357" s="34" t="s">
        <v>51</v>
      </c>
      <c r="S357" s="35" t="n">
        <f>85477.27</f>
        <v>85477.27</v>
      </c>
      <c r="T357" s="32" t="n">
        <f>59387</f>
        <v>59387.0</v>
      </c>
      <c r="U357" s="32" t="n">
        <f>12145</f>
        <v>12145.0</v>
      </c>
      <c r="V357" s="32" t="n">
        <f>5075185963</f>
        <v>5.075185963E9</v>
      </c>
      <c r="W357" s="32" t="n">
        <f>1038634463</f>
        <v>1.038634463E9</v>
      </c>
      <c r="X357" s="36" t="n">
        <f>22</f>
        <v>22.0</v>
      </c>
    </row>
    <row r="358">
      <c r="A358" s="27" t="s">
        <v>42</v>
      </c>
      <c r="B358" s="27" t="s">
        <v>1125</v>
      </c>
      <c r="C358" s="27" t="s">
        <v>1126</v>
      </c>
      <c r="D358" s="27" t="s">
        <v>1127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676000</f>
        <v>676000.0</v>
      </c>
      <c r="L358" s="34" t="s">
        <v>48</v>
      </c>
      <c r="M358" s="33" t="n">
        <f>714000</f>
        <v>714000.0</v>
      </c>
      <c r="N358" s="34" t="s">
        <v>64</v>
      </c>
      <c r="O358" s="33" t="n">
        <f>664000</f>
        <v>664000.0</v>
      </c>
      <c r="P358" s="34" t="s">
        <v>74</v>
      </c>
      <c r="Q358" s="33" t="n">
        <f>704000</f>
        <v>704000.0</v>
      </c>
      <c r="R358" s="34" t="s">
        <v>51</v>
      </c>
      <c r="S358" s="35" t="n">
        <f>687363.64</f>
        <v>687363.64</v>
      </c>
      <c r="T358" s="32" t="n">
        <f>24638</f>
        <v>24638.0</v>
      </c>
      <c r="U358" s="32" t="n">
        <f>5041</f>
        <v>5041.0</v>
      </c>
      <c r="V358" s="32" t="n">
        <f>16958629287</f>
        <v>1.6958629287E10</v>
      </c>
      <c r="W358" s="32" t="n">
        <f>3463800287</f>
        <v>3.463800287E9</v>
      </c>
      <c r="X358" s="36" t="n">
        <f>22</f>
        <v>22.0</v>
      </c>
    </row>
    <row r="359">
      <c r="A359" s="27" t="s">
        <v>42</v>
      </c>
      <c r="B359" s="27" t="s">
        <v>1128</v>
      </c>
      <c r="C359" s="27" t="s">
        <v>1129</v>
      </c>
      <c r="D359" s="27" t="s">
        <v>1130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153900</f>
        <v>153900.0</v>
      </c>
      <c r="L359" s="34" t="s">
        <v>48</v>
      </c>
      <c r="M359" s="33" t="n">
        <f>157700</f>
        <v>157700.0</v>
      </c>
      <c r="N359" s="34" t="s">
        <v>182</v>
      </c>
      <c r="O359" s="33" t="n">
        <f>151900</f>
        <v>151900.0</v>
      </c>
      <c r="P359" s="34" t="s">
        <v>50</v>
      </c>
      <c r="Q359" s="33" t="n">
        <f>155600</f>
        <v>155600.0</v>
      </c>
      <c r="R359" s="34" t="s">
        <v>51</v>
      </c>
      <c r="S359" s="35" t="n">
        <f>154940.91</f>
        <v>154940.91</v>
      </c>
      <c r="T359" s="32" t="n">
        <f>27838</f>
        <v>27838.0</v>
      </c>
      <c r="U359" s="32" t="n">
        <f>5249</f>
        <v>5249.0</v>
      </c>
      <c r="V359" s="32" t="n">
        <f>4312248939</f>
        <v>4.312248939E9</v>
      </c>
      <c r="W359" s="32" t="n">
        <f>813551139</f>
        <v>8.13551139E8</v>
      </c>
      <c r="X359" s="36" t="n">
        <f>22</f>
        <v>22.0</v>
      </c>
    </row>
    <row r="360">
      <c r="A360" s="27" t="s">
        <v>42</v>
      </c>
      <c r="B360" s="27" t="s">
        <v>1131</v>
      </c>
      <c r="C360" s="27" t="s">
        <v>1132</v>
      </c>
      <c r="D360" s="27" t="s">
        <v>1133</v>
      </c>
      <c r="E360" s="28" t="s">
        <v>46</v>
      </c>
      <c r="F360" s="29" t="s">
        <v>46</v>
      </c>
      <c r="G360" s="30" t="s">
        <v>46</v>
      </c>
      <c r="H360" s="31"/>
      <c r="I360" s="31" t="s">
        <v>598</v>
      </c>
      <c r="J360" s="32" t="n">
        <v>1.0</v>
      </c>
      <c r="K360" s="33" t="n">
        <f>257900</f>
        <v>257900.0</v>
      </c>
      <c r="L360" s="34" t="s">
        <v>48</v>
      </c>
      <c r="M360" s="33" t="n">
        <f>261600</f>
        <v>261600.0</v>
      </c>
      <c r="N360" s="34" t="s">
        <v>48</v>
      </c>
      <c r="O360" s="33" t="n">
        <f>245800</f>
        <v>245800.0</v>
      </c>
      <c r="P360" s="34" t="s">
        <v>99</v>
      </c>
      <c r="Q360" s="33" t="n">
        <f>256400</f>
        <v>256400.0</v>
      </c>
      <c r="R360" s="34" t="s">
        <v>51</v>
      </c>
      <c r="S360" s="35" t="n">
        <f>253222.73</f>
        <v>253222.73</v>
      </c>
      <c r="T360" s="32" t="n">
        <f>13194</f>
        <v>13194.0</v>
      </c>
      <c r="U360" s="32" t="n">
        <f>3328</f>
        <v>3328.0</v>
      </c>
      <c r="V360" s="32" t="n">
        <f>3341487989</f>
        <v>3.341487989E9</v>
      </c>
      <c r="W360" s="32" t="n">
        <f>842302189</f>
        <v>8.42302189E8</v>
      </c>
      <c r="X360" s="36" t="n">
        <f>22</f>
        <v>22.0</v>
      </c>
    </row>
    <row r="361">
      <c r="A361" s="27" t="s">
        <v>42</v>
      </c>
      <c r="B361" s="27" t="s">
        <v>1134</v>
      </c>
      <c r="C361" s="27" t="s">
        <v>1135</v>
      </c>
      <c r="D361" s="27" t="s">
        <v>1136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320000</f>
        <v>320000.0</v>
      </c>
      <c r="L361" s="34" t="s">
        <v>48</v>
      </c>
      <c r="M361" s="33" t="n">
        <f>331500</f>
        <v>331500.0</v>
      </c>
      <c r="N361" s="34" t="s">
        <v>69</v>
      </c>
      <c r="O361" s="33" t="n">
        <f>310000</f>
        <v>310000.0</v>
      </c>
      <c r="P361" s="34" t="s">
        <v>348</v>
      </c>
      <c r="Q361" s="33" t="n">
        <f>322000</f>
        <v>322000.0</v>
      </c>
      <c r="R361" s="34" t="s">
        <v>51</v>
      </c>
      <c r="S361" s="35" t="n">
        <f>319863.64</f>
        <v>319863.64</v>
      </c>
      <c r="T361" s="32" t="n">
        <f>188925</f>
        <v>188925.0</v>
      </c>
      <c r="U361" s="32" t="n">
        <f>22601</f>
        <v>22601.0</v>
      </c>
      <c r="V361" s="32" t="n">
        <f>60385923080</f>
        <v>6.038592308E10</v>
      </c>
      <c r="W361" s="32" t="n">
        <f>7244169580</f>
        <v>7.24416958E9</v>
      </c>
      <c r="X361" s="36" t="n">
        <f>22</f>
        <v>22.0</v>
      </c>
    </row>
    <row r="362">
      <c r="A362" s="27" t="s">
        <v>42</v>
      </c>
      <c r="B362" s="27" t="s">
        <v>1137</v>
      </c>
      <c r="C362" s="27" t="s">
        <v>1138</v>
      </c>
      <c r="D362" s="27" t="s">
        <v>1139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69300</f>
        <v>69300.0</v>
      </c>
      <c r="L362" s="34" t="s">
        <v>48</v>
      </c>
      <c r="M362" s="33" t="n">
        <f>70800</f>
        <v>70800.0</v>
      </c>
      <c r="N362" s="34" t="s">
        <v>50</v>
      </c>
      <c r="O362" s="33" t="n">
        <f>67800</f>
        <v>67800.0</v>
      </c>
      <c r="P362" s="34" t="s">
        <v>69</v>
      </c>
      <c r="Q362" s="33" t="n">
        <f>68800</f>
        <v>68800.0</v>
      </c>
      <c r="R362" s="34" t="s">
        <v>51</v>
      </c>
      <c r="S362" s="35" t="n">
        <f>69636.36</f>
        <v>69636.36</v>
      </c>
      <c r="T362" s="32" t="n">
        <f>449752</f>
        <v>449752.0</v>
      </c>
      <c r="U362" s="32" t="n">
        <f>99557</f>
        <v>99557.0</v>
      </c>
      <c r="V362" s="32" t="n">
        <f>31276187476</f>
        <v>3.1276187476E10</v>
      </c>
      <c r="W362" s="32" t="n">
        <f>6926610776</f>
        <v>6.926610776E9</v>
      </c>
      <c r="X362" s="36" t="n">
        <f>22</f>
        <v>22.0</v>
      </c>
    </row>
    <row r="363">
      <c r="A363" s="27" t="s">
        <v>42</v>
      </c>
      <c r="B363" s="27" t="s">
        <v>1140</v>
      </c>
      <c r="C363" s="27" t="s">
        <v>1141</v>
      </c>
      <c r="D363" s="27" t="s">
        <v>1142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125800</f>
        <v>125800.0</v>
      </c>
      <c r="L363" s="34" t="s">
        <v>48</v>
      </c>
      <c r="M363" s="33" t="n">
        <f>126600</f>
        <v>126600.0</v>
      </c>
      <c r="N363" s="34" t="s">
        <v>48</v>
      </c>
      <c r="O363" s="33" t="n">
        <f>119900</f>
        <v>119900.0</v>
      </c>
      <c r="P363" s="34" t="s">
        <v>165</v>
      </c>
      <c r="Q363" s="33" t="n">
        <f>124300</f>
        <v>124300.0</v>
      </c>
      <c r="R363" s="34" t="s">
        <v>51</v>
      </c>
      <c r="S363" s="35" t="n">
        <f>122818.18</f>
        <v>122818.18</v>
      </c>
      <c r="T363" s="32" t="n">
        <f>114164</f>
        <v>114164.0</v>
      </c>
      <c r="U363" s="32" t="n">
        <f>26567</f>
        <v>26567.0</v>
      </c>
      <c r="V363" s="32" t="n">
        <f>14019842963</f>
        <v>1.4019842963E10</v>
      </c>
      <c r="W363" s="32" t="n">
        <f>3265197163</f>
        <v>3.265197163E9</v>
      </c>
      <c r="X363" s="36" t="n">
        <f>22</f>
        <v>22.0</v>
      </c>
    </row>
    <row r="364">
      <c r="A364" s="27" t="s">
        <v>42</v>
      </c>
      <c r="B364" s="27" t="s">
        <v>1143</v>
      </c>
      <c r="C364" s="27" t="s">
        <v>1144</v>
      </c>
      <c r="D364" s="27" t="s">
        <v>1145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126500</f>
        <v>126500.0</v>
      </c>
      <c r="L364" s="34" t="s">
        <v>48</v>
      </c>
      <c r="M364" s="33" t="n">
        <f>132800</f>
        <v>132800.0</v>
      </c>
      <c r="N364" s="34" t="s">
        <v>182</v>
      </c>
      <c r="O364" s="33" t="n">
        <f>123500</f>
        <v>123500.0</v>
      </c>
      <c r="P364" s="34" t="s">
        <v>274</v>
      </c>
      <c r="Q364" s="33" t="n">
        <f>131400</f>
        <v>131400.0</v>
      </c>
      <c r="R364" s="34" t="s">
        <v>51</v>
      </c>
      <c r="S364" s="35" t="n">
        <f>127054.55</f>
        <v>127054.55</v>
      </c>
      <c r="T364" s="32" t="n">
        <f>78404</f>
        <v>78404.0</v>
      </c>
      <c r="U364" s="32" t="n">
        <f>16100</f>
        <v>16100.0</v>
      </c>
      <c r="V364" s="32" t="n">
        <f>10023503820</f>
        <v>1.002350382E10</v>
      </c>
      <c r="W364" s="32" t="n">
        <f>2052876020</f>
        <v>2.05287602E9</v>
      </c>
      <c r="X364" s="36" t="n">
        <f>22</f>
        <v>22.0</v>
      </c>
    </row>
    <row r="365">
      <c r="A365" s="27" t="s">
        <v>42</v>
      </c>
      <c r="B365" s="27" t="s">
        <v>1146</v>
      </c>
      <c r="C365" s="27" t="s">
        <v>1147</v>
      </c>
      <c r="D365" s="27" t="s">
        <v>1148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110900</f>
        <v>110900.0</v>
      </c>
      <c r="L365" s="34" t="s">
        <v>48</v>
      </c>
      <c r="M365" s="33" t="n">
        <f>112200</f>
        <v>112200.0</v>
      </c>
      <c r="N365" s="34" t="s">
        <v>51</v>
      </c>
      <c r="O365" s="33" t="n">
        <f>110000</f>
        <v>110000.0</v>
      </c>
      <c r="P365" s="34" t="s">
        <v>140</v>
      </c>
      <c r="Q365" s="33" t="n">
        <f>112200</f>
        <v>112200.0</v>
      </c>
      <c r="R365" s="34" t="s">
        <v>51</v>
      </c>
      <c r="S365" s="35" t="n">
        <f>110827.27</f>
        <v>110827.27</v>
      </c>
      <c r="T365" s="32" t="n">
        <f>6601</f>
        <v>6601.0</v>
      </c>
      <c r="U365" s="32" t="n">
        <f>157</f>
        <v>157.0</v>
      </c>
      <c r="V365" s="32" t="n">
        <f>731310807</f>
        <v>7.31310807E8</v>
      </c>
      <c r="W365" s="32" t="n">
        <f>17377707</f>
        <v>1.7377707E7</v>
      </c>
      <c r="X365" s="36" t="n">
        <f>22</f>
        <v>22.0</v>
      </c>
    </row>
    <row r="366">
      <c r="A366" s="27" t="s">
        <v>42</v>
      </c>
      <c r="B366" s="27" t="s">
        <v>1149</v>
      </c>
      <c r="C366" s="27" t="s">
        <v>1150</v>
      </c>
      <c r="D366" s="27" t="s">
        <v>1151</v>
      </c>
      <c r="E366" s="28" t="s">
        <v>46</v>
      </c>
      <c r="F366" s="29" t="s">
        <v>46</v>
      </c>
      <c r="G366" s="30" t="s">
        <v>46</v>
      </c>
      <c r="H366" s="31"/>
      <c r="I366" s="31" t="s">
        <v>598</v>
      </c>
      <c r="J366" s="32" t="n">
        <v>1.0</v>
      </c>
      <c r="K366" s="33" t="n">
        <f>69600</f>
        <v>69600.0</v>
      </c>
      <c r="L366" s="34" t="s">
        <v>48</v>
      </c>
      <c r="M366" s="33" t="n">
        <f>71500</f>
        <v>71500.0</v>
      </c>
      <c r="N366" s="34" t="s">
        <v>48</v>
      </c>
      <c r="O366" s="33" t="n">
        <f>67100</f>
        <v>67100.0</v>
      </c>
      <c r="P366" s="34" t="s">
        <v>348</v>
      </c>
      <c r="Q366" s="33" t="n">
        <f>68600</f>
        <v>68600.0</v>
      </c>
      <c r="R366" s="34" t="s">
        <v>51</v>
      </c>
      <c r="S366" s="35" t="n">
        <f>69118.18</f>
        <v>69118.18</v>
      </c>
      <c r="T366" s="32" t="n">
        <f>1597</f>
        <v>1597.0</v>
      </c>
      <c r="U366" s="32" t="n">
        <f>20</f>
        <v>20.0</v>
      </c>
      <c r="V366" s="32" t="n">
        <f>110393100</f>
        <v>1.103931E8</v>
      </c>
      <c r="W366" s="32" t="n">
        <f>1386200</f>
        <v>1386200.0</v>
      </c>
      <c r="X366" s="36" t="n">
        <f>22</f>
        <v>22.0</v>
      </c>
    </row>
    <row r="367">
      <c r="A367" s="27" t="s">
        <v>42</v>
      </c>
      <c r="B367" s="27" t="s">
        <v>1152</v>
      </c>
      <c r="C367" s="27" t="s">
        <v>1153</v>
      </c>
      <c r="D367" s="27" t="s">
        <v>1154</v>
      </c>
      <c r="E367" s="28" t="s">
        <v>1155</v>
      </c>
      <c r="F367" s="29" t="s">
        <v>1156</v>
      </c>
      <c r="G367" s="30" t="s">
        <v>1157</v>
      </c>
      <c r="H367" s="31" t="s">
        <v>1158</v>
      </c>
      <c r="I367" s="31"/>
      <c r="J367" s="32" t="n">
        <v>1.0</v>
      </c>
      <c r="K367" s="33" t="n">
        <f>114600</f>
        <v>114600.0</v>
      </c>
      <c r="L367" s="34" t="s">
        <v>48</v>
      </c>
      <c r="M367" s="33" t="n">
        <f>114800</f>
        <v>114800.0</v>
      </c>
      <c r="N367" s="34" t="s">
        <v>189</v>
      </c>
      <c r="O367" s="33" t="n">
        <f>114600</f>
        <v>114600.0</v>
      </c>
      <c r="P367" s="34" t="s">
        <v>48</v>
      </c>
      <c r="Q367" s="33" t="n">
        <f>114600</f>
        <v>114600.0</v>
      </c>
      <c r="R367" s="34" t="s">
        <v>182</v>
      </c>
      <c r="S367" s="35" t="n">
        <f>114700</f>
        <v>114700.0</v>
      </c>
      <c r="T367" s="32" t="n">
        <f>10317</f>
        <v>10317.0</v>
      </c>
      <c r="U367" s="32" t="n">
        <f>9</f>
        <v>9.0</v>
      </c>
      <c r="V367" s="32" t="n">
        <f>1183312105</f>
        <v>1.183312105E9</v>
      </c>
      <c r="W367" s="32" t="n">
        <f>1031905</f>
        <v>1031905.0</v>
      </c>
      <c r="X367" s="36" t="n">
        <f>14</f>
        <v>14.0</v>
      </c>
    </row>
    <row r="368">
      <c r="A368" s="27" t="s">
        <v>42</v>
      </c>
      <c r="B368" s="27" t="s">
        <v>1159</v>
      </c>
      <c r="C368" s="27" t="s">
        <v>1160</v>
      </c>
      <c r="D368" s="27" t="s">
        <v>1161</v>
      </c>
      <c r="E368" s="28" t="s">
        <v>46</v>
      </c>
      <c r="F368" s="29" t="s">
        <v>46</v>
      </c>
      <c r="G368" s="30" t="s">
        <v>46</v>
      </c>
      <c r="H368" s="31"/>
      <c r="I368" s="31" t="s">
        <v>598</v>
      </c>
      <c r="J368" s="32" t="n">
        <v>1.0</v>
      </c>
      <c r="K368" s="33" t="n">
        <f>122300</f>
        <v>122300.0</v>
      </c>
      <c r="L368" s="34" t="s">
        <v>48</v>
      </c>
      <c r="M368" s="33" t="n">
        <f>124500</f>
        <v>124500.0</v>
      </c>
      <c r="N368" s="34" t="s">
        <v>175</v>
      </c>
      <c r="O368" s="33" t="n">
        <f>121800</f>
        <v>121800.0</v>
      </c>
      <c r="P368" s="34" t="s">
        <v>74</v>
      </c>
      <c r="Q368" s="33" t="n">
        <f>124400</f>
        <v>124400.0</v>
      </c>
      <c r="R368" s="34" t="s">
        <v>51</v>
      </c>
      <c r="S368" s="35" t="n">
        <f>123254.55</f>
        <v>123254.55</v>
      </c>
      <c r="T368" s="32" t="n">
        <f>4213</f>
        <v>4213.0</v>
      </c>
      <c r="U368" s="32" t="n">
        <f>64</f>
        <v>64.0</v>
      </c>
      <c r="V368" s="32" t="n">
        <f>518860597</f>
        <v>5.18860597E8</v>
      </c>
      <c r="W368" s="32" t="n">
        <f>7870897</f>
        <v>7870897.0</v>
      </c>
      <c r="X368" s="36" t="n">
        <f>22</f>
        <v>22.0</v>
      </c>
    </row>
    <row r="369">
      <c r="A369" s="27" t="s">
        <v>42</v>
      </c>
      <c r="B369" s="27" t="s">
        <v>1162</v>
      </c>
      <c r="C369" s="27" t="s">
        <v>1163</v>
      </c>
      <c r="D369" s="27" t="s">
        <v>1164</v>
      </c>
      <c r="E369" s="28" t="s">
        <v>46</v>
      </c>
      <c r="F369" s="29" t="s">
        <v>46</v>
      </c>
      <c r="G369" s="30" t="s">
        <v>46</v>
      </c>
      <c r="H369" s="31"/>
      <c r="I369" s="31" t="s">
        <v>598</v>
      </c>
      <c r="J369" s="32" t="n">
        <v>1.0</v>
      </c>
      <c r="K369" s="33" t="n">
        <f>94000</f>
        <v>94000.0</v>
      </c>
      <c r="L369" s="34" t="s">
        <v>48</v>
      </c>
      <c r="M369" s="33" t="n">
        <f>94100</f>
        <v>94100.0</v>
      </c>
      <c r="N369" s="34" t="s">
        <v>48</v>
      </c>
      <c r="O369" s="33" t="n">
        <f>93100</f>
        <v>93100.0</v>
      </c>
      <c r="P369" s="34" t="s">
        <v>68</v>
      </c>
      <c r="Q369" s="33" t="n">
        <f>94100</f>
        <v>94100.0</v>
      </c>
      <c r="R369" s="34" t="s">
        <v>51</v>
      </c>
      <c r="S369" s="35" t="n">
        <f>93645.45</f>
        <v>93645.45</v>
      </c>
      <c r="T369" s="32" t="n">
        <f>8392</f>
        <v>8392.0</v>
      </c>
      <c r="U369" s="32" t="n">
        <f>32</f>
        <v>32.0</v>
      </c>
      <c r="V369" s="32" t="n">
        <f>785352950</f>
        <v>7.8535295E8</v>
      </c>
      <c r="W369" s="32" t="n">
        <f>2993350</f>
        <v>2993350.0</v>
      </c>
      <c r="X369" s="36" t="n">
        <f>22</f>
        <v>22.0</v>
      </c>
    </row>
    <row r="370">
      <c r="A370" s="27" t="s">
        <v>42</v>
      </c>
      <c r="B370" s="27" t="s">
        <v>1165</v>
      </c>
      <c r="C370" s="27" t="s">
        <v>1166</v>
      </c>
      <c r="D370" s="27" t="s">
        <v>1167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92900</f>
        <v>92900.0</v>
      </c>
      <c r="L370" s="34" t="s">
        <v>48</v>
      </c>
      <c r="M370" s="33" t="n">
        <f>93000</f>
        <v>93000.0</v>
      </c>
      <c r="N370" s="34" t="s">
        <v>50</v>
      </c>
      <c r="O370" s="33" t="n">
        <f>91900</f>
        <v>91900.0</v>
      </c>
      <c r="P370" s="34" t="s">
        <v>79</v>
      </c>
      <c r="Q370" s="33" t="n">
        <f>92800</f>
        <v>92800.0</v>
      </c>
      <c r="R370" s="34" t="s">
        <v>51</v>
      </c>
      <c r="S370" s="35" t="n">
        <f>92522.73</f>
        <v>92522.73</v>
      </c>
      <c r="T370" s="32" t="n">
        <f>7589</f>
        <v>7589.0</v>
      </c>
      <c r="U370" s="32" t="n">
        <f>221</f>
        <v>221.0</v>
      </c>
      <c r="V370" s="32" t="n">
        <f>701789510</f>
        <v>7.0178951E8</v>
      </c>
      <c r="W370" s="32" t="n">
        <f>20608110</f>
        <v>2.060811E7</v>
      </c>
      <c r="X370" s="36" t="n">
        <f>22</f>
        <v>22.0</v>
      </c>
    </row>
    <row r="371">
      <c r="A371" s="27" t="s">
        <v>42</v>
      </c>
      <c r="B371" s="27" t="s">
        <v>1168</v>
      </c>
      <c r="C371" s="27" t="s">
        <v>1169</v>
      </c>
      <c r="D371" s="27" t="s">
        <v>1170</v>
      </c>
      <c r="E371" s="28" t="s">
        <v>46</v>
      </c>
      <c r="F371" s="29" t="s">
        <v>46</v>
      </c>
      <c r="G371" s="30" t="s">
        <v>46</v>
      </c>
      <c r="H371" s="31"/>
      <c r="I371" s="31" t="s">
        <v>598</v>
      </c>
      <c r="J371" s="32" t="n">
        <v>1.0</v>
      </c>
      <c r="K371" s="33" t="n">
        <f>92000</f>
        <v>92000.0</v>
      </c>
      <c r="L371" s="34" t="s">
        <v>48</v>
      </c>
      <c r="M371" s="33" t="n">
        <f>92400</f>
        <v>92400.0</v>
      </c>
      <c r="N371" s="34" t="s">
        <v>50</v>
      </c>
      <c r="O371" s="33" t="n">
        <f>91100</f>
        <v>91100.0</v>
      </c>
      <c r="P371" s="34" t="s">
        <v>79</v>
      </c>
      <c r="Q371" s="33" t="n">
        <f>91900</f>
        <v>91900.0</v>
      </c>
      <c r="R371" s="34" t="s">
        <v>51</v>
      </c>
      <c r="S371" s="35" t="n">
        <f>91718.18</f>
        <v>91718.18</v>
      </c>
      <c r="T371" s="32" t="n">
        <f>8743</f>
        <v>8743.0</v>
      </c>
      <c r="U371" s="32" t="n">
        <f>10</f>
        <v>10.0</v>
      </c>
      <c r="V371" s="32" t="n">
        <f>801548600</f>
        <v>8.015486E8</v>
      </c>
      <c r="W371" s="32" t="n">
        <f>915800</f>
        <v>915800.0</v>
      </c>
      <c r="X371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