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315" windowHeight="12330"/>
  </bookViews>
  <sheets>
    <sheet name="BO_EM0004" sheetId="1" r:id="rId1"/>
  </sheets>
  <definedNames>
    <definedName name="_xlnm.Print_Titles" localSheetId="0">BO_EM0004!$1:$6</definedName>
  </definedNames>
  <calcPr calcId="145621"/>
</workbook>
</file>

<file path=xl/sharedStrings.xml><?xml version="1.0" encoding="utf-8"?>
<sst xmlns="http://schemas.openxmlformats.org/spreadsheetml/2006/main" count="5657" uniqueCount="1474">
  <si>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</si>
  <si>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sb="0" eb="1">
      <t>トウ</t>
    </rPh>
    <rPh sb="2" eb="3">
      <t>シン</t>
    </rPh>
    <rPh sb="4" eb="5">
      <t>トウ</t>
    </rPh>
    <rPh sb="6" eb="7">
      <t>ソウ</t>
    </rPh>
    <rPh sb="8" eb="9">
      <t>バ</t>
    </rPh>
    <rPh sb="10" eb="11">
      <t>ヒョウ</t>
    </rPh>
    <phoneticPr fontId="3"/>
  </si>
  <si>
    <t>Investment Trust Quotations</t>
    <phoneticPr fontId="3"/>
  </si>
  <si>
    <t>年月</t>
  </si>
  <si>
    <t>銘柄コード</t>
    <rPh sb="0" eb="2">
      <t>メイガラ</t>
    </rPh>
    <phoneticPr fontId="3"/>
  </si>
  <si>
    <t>銘柄名称</t>
    <rPh sb="0" eb="2">
      <t>メイガラ</t>
    </rPh>
    <rPh sb="2" eb="4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</si>
  <si>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</si>
  <si>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</si>
  <si>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</si>
  <si>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sb="0" eb="2">
      <t>ヒヅケ</t>
    </rPh>
    <phoneticPr fontId="3"/>
  </si>
  <si>
    <t>区分</t>
  </si>
  <si>
    <t>信用・貸借</t>
    <rPh sb="0" eb="2">
      <t>シンヨウ</t>
    </rPh>
    <rPh sb="3" eb="5">
      <t>タイシャク</t>
    </rPh>
    <phoneticPr fontId="3"/>
  </si>
  <si>
    <t>売買単位</t>
    <rPh sb="0" eb="2">
      <t>バイバイ</t>
    </rPh>
    <rPh sb="2" eb="4">
      <t>タンイ</t>
    </rPh>
    <phoneticPr fontId="3"/>
  </si>
  <si>
    <t>始値</t>
    <rPh sb="0" eb="2">
      <t>ハジメネ</t>
    </rPh>
    <phoneticPr fontId="3"/>
  </si>
  <si>
    <t>高値</t>
    <rPh sb="0" eb="1">
      <t>タカ</t>
    </rPh>
    <rPh sb="1" eb="2">
      <t>ネ</t>
    </rPh>
    <phoneticPr fontId="3"/>
  </si>
  <si>
    <t>安値</t>
    <rPh sb="0" eb="2">
      <t>ヤスネ</t>
    </rPh>
    <phoneticPr fontId="3"/>
  </si>
  <si>
    <t>終値</t>
    <rPh sb="0" eb="2">
      <t>オワリネ</t>
    </rPh>
    <phoneticPr fontId="3"/>
  </si>
  <si>
    <t>終値平均</t>
    <rPh sb="0" eb="2">
      <t>オワリネ</t>
    </rPh>
    <rPh sb="2" eb="4">
      <t>ヘイキン</t>
    </rPh>
    <phoneticPr fontId="3"/>
  </si>
  <si>
    <t>売買高</t>
    <rPh sb="0" eb="3">
      <t>バイバイダカ</t>
    </rPh>
    <phoneticPr fontId="3"/>
  </si>
  <si>
    <t>うちToSTNeT売買高</t>
  </si>
  <si>
    <t>売買代金</t>
    <rPh sb="0" eb="2">
      <t>バイバイ</t>
    </rPh>
    <rPh sb="2" eb="4">
      <t>ダイキン</t>
    </rPh>
    <phoneticPr fontId="3"/>
  </si>
  <si>
    <t>うちToSTNeT売買代金</t>
  </si>
  <si>
    <t>値付日数</t>
    <rPh sb="0" eb="2">
      <t>ネツ</t>
    </rPh>
    <rPh sb="2" eb="4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</si>
  <si>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</si>
  <si>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</si>
  <si>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</si>
  <si>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</si>
  <si>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</si>
  <si>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</si>
  <si>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</si>
  <si>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</si>
  <si>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</si>
  <si>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</si>
  <si>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</si>
  <si>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</si>
  <si>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</si>
  <si>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</si>
  <si>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</si>
  <si>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</si>
  <si>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</si>
  <si>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</si>
  <si>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</si>
  <si>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2025/10</t>
  </si>
  <si>
    <t>1305</t>
  </si>
  <si>
    <t>ｉＦｒｅｅＥＴＦ　ＴＯＰＩＸ（年１回決算型）　受益証券</t>
  </si>
  <si>
    <t>iFreeETF TOPIX (Yearly Dividend Type)</t>
  </si>
  <si>
    <t/>
  </si>
  <si>
    <t>貸借</t>
  </si>
  <si>
    <t>1</t>
  </si>
  <si>
    <t>31</t>
  </si>
  <si>
    <t>2</t>
  </si>
  <si>
    <t>1306</t>
  </si>
  <si>
    <t>ＮＥＸＴ　ＦＵＮＤＳ　ＴＯＰＩＸ連動型上場投信　受益証券</t>
  </si>
  <si>
    <t>NEXT FUNDS TOPIX Exchange Traded Fund</t>
  </si>
  <si>
    <t>1308</t>
  </si>
  <si>
    <t>上場インデックスファンドＴＯＰＩＸ　受益証券</t>
  </si>
  <si>
    <t>Listed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</si>
  <si>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</si>
  <si>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</si>
  <si>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</si>
  <si>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29</t>
  </si>
  <si>
    <t>17</t>
  </si>
  <si>
    <t>1311</t>
  </si>
  <si>
    <t>ＮＥＸＴ　ＦＵＮＤＳ　ＴＯＰＩＸ　Ｃｏｒｅ　３０連動型上場投信　受益証券</t>
  </si>
  <si>
    <t>NEXT FUNDS TOPIX Core 30 Exchange Traded Fund</t>
  </si>
  <si>
    <t>1319</t>
  </si>
  <si>
    <t>ＮＥＸＴ　ＦＵＮＤＳ　日経３００株価指数連動型上場投信　受益証券</t>
  </si>
  <si>
    <t>NEXT FUNDS Nikkei 300 Index Exchange Traded Fund</t>
  </si>
  <si>
    <t>28</t>
  </si>
  <si>
    <t>3</t>
  </si>
  <si>
    <t>1320</t>
  </si>
  <si>
    <t>ｉＦｒｅｅＥＴＦ　日経２２５（年１回決算型）　受益証券</t>
  </si>
  <si>
    <t>iFreeETF Nikkei225 (Yearly Dividend Type)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</si>
  <si>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</si>
  <si>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</si>
  <si>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</si>
  <si>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</si>
  <si>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</si>
  <si>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</si>
  <si>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30</t>
  </si>
  <si>
    <t>15</t>
  </si>
  <si>
    <t>1325</t>
  </si>
  <si>
    <t>ＮＥＸＴ　ＦＵＮＤＳ　ブラジル株式指数・ボベスパ連動型上場投信　受益証券</t>
  </si>
  <si>
    <t>NEXT FUNDS Ibovespa Linked Exchange Traded Fund</t>
  </si>
  <si>
    <t>1326</t>
  </si>
  <si>
    <t>ＳＰＤＲゴールド・シェア　受益証券</t>
  </si>
  <si>
    <t>SPDR Gold Shares</t>
  </si>
  <si>
    <t>21</t>
  </si>
  <si>
    <t>1328</t>
  </si>
  <si>
    <t>ＮＥＸＴ　ＦＵＮＤＳ　金価格連動型上場投信　受益証券</t>
  </si>
  <si>
    <t>NEXT FUNDS Gold Price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</si>
  <si>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</si>
  <si>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</si>
  <si>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</si>
  <si>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</si>
  <si>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</si>
  <si>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Listed Index Fund 225</t>
  </si>
  <si>
    <t>133A</t>
  </si>
  <si>
    <t>グローバルＸ　超短期米国債　ＥＴＦ　受益証券</t>
  </si>
  <si>
    <t>Global X Ultra Short-Term T-Bill ETF</t>
  </si>
  <si>
    <t>1343</t>
  </si>
  <si>
    <t>ＮＥＸＴ　ＦＵＮＤＳ　東証ＲＥＩＴ　指数連動型上場投信　受益証券</t>
  </si>
  <si>
    <t>NEXT FUNDS REIT INDEX ETF</t>
  </si>
  <si>
    <t>1345</t>
  </si>
  <si>
    <t>上場インデックスファンドＪリート（東証ＲＥＩＴ指数）隔月分配型　受益証券</t>
  </si>
  <si>
    <t>Listed Index Fund J-REIT (Tokyo Stock Exchange REIT Index)Bi-Monthly Dividend Payment Type</t>
  </si>
  <si>
    <t>27</t>
  </si>
  <si>
    <t>1346</t>
  </si>
  <si>
    <t>ＭＡＸＩＳ　日経２２５上場投信　受益証券</t>
  </si>
  <si>
    <t>MAXIS NIKKEI 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</si>
  <si>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</si>
  <si>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</si>
  <si>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</si>
  <si>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</si>
  <si>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</si>
  <si>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</si>
  <si>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9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</si>
  <si>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</si>
  <si>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</si>
  <si>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</si>
  <si>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</si>
  <si>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</si>
  <si>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Exchange Traded Fund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</si>
  <si>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</si>
  <si>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</si>
  <si>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</si>
  <si>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</si>
  <si>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</si>
  <si>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</si>
  <si>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</si>
  <si>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</si>
  <si>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</si>
  <si>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</si>
  <si>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ｉＦｒｅｅＥＴＦ　日経平均レバレッジ・インデックス　受益証券</t>
  </si>
  <si>
    <t>iFreeETF Nikkei225 Leveraged Index</t>
  </si>
  <si>
    <t>1366</t>
  </si>
  <si>
    <t>ｉＦｒｅｅＥＴＦ　日経平均ダブルインバース・インデックス　受益証券</t>
  </si>
  <si>
    <t>iFreeETF Nikkei225 Double Inverse Index</t>
  </si>
  <si>
    <t>1367</t>
  </si>
  <si>
    <t>ｉＦｒｅｅＥＴＦ　ＴＯＰＩＸレバレッジ（２倍）指数　受益証券</t>
  </si>
  <si>
    <t>iFreeETF TOPIX Leveraged (2x) Index</t>
  </si>
  <si>
    <t>1368</t>
  </si>
  <si>
    <t>ｉＦｒｅｅＥＴＦ　ＴＯＰＩＸダブルインバース（－２倍）指数　受益証券</t>
  </si>
  <si>
    <t>iFreeETF TOPIX Double Inverse (-2x) Index</t>
  </si>
  <si>
    <t>1369</t>
  </si>
  <si>
    <t>Ｏｎｅ　ＥＴＦ　日経２２５　受益証券</t>
  </si>
  <si>
    <t>One ETF Nikkei225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</si>
  <si>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</si>
  <si>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</si>
  <si>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</si>
  <si>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</si>
  <si>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</si>
  <si>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</si>
  <si>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</si>
  <si>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</si>
  <si>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</si>
  <si>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14</t>
  </si>
  <si>
    <t>140A</t>
  </si>
  <si>
    <t>ｉＦｒｅｅＥＴＦ　米国１０年国債先物インバース　受益証券</t>
  </si>
  <si>
    <t>iFreeETF 10-Year U.S. Treasury Note Futures Inverse</t>
  </si>
  <si>
    <t>1456</t>
  </si>
  <si>
    <t>ｉＦｒｅｅＥＴＦ　日経平均インバース・インデックス　受益証券</t>
  </si>
  <si>
    <t>iFreeETF Nikkei225 Inverse Index</t>
  </si>
  <si>
    <t>1457</t>
  </si>
  <si>
    <t>ｉＦｒｅｅＥＴＦ　ＴＯＰＩＸインバース（－１倍）指数　受益証券</t>
  </si>
  <si>
    <t>iFreeETF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</si>
  <si>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</si>
  <si>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</si>
  <si>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</si>
  <si>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</si>
  <si>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</si>
  <si>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</si>
  <si>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1466</t>
  </si>
  <si>
    <t>ｉＦｒｅｅＥＴＦ　ＪＰＸ日経４００ダブルインバース・インデックス　受益証券</t>
  </si>
  <si>
    <t>iFreeETF JPX-Nikkei400 Double Inverse (-2x) Index</t>
  </si>
  <si>
    <t>1469</t>
  </si>
  <si>
    <t>ＪＰＸ日経４００ベア２倍上場投信（ダブルインバース）　受益証券</t>
  </si>
  <si>
    <t>JPX-Nikkei 400 Bear -2x Double Inverse ETF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</si>
  <si>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</si>
  <si>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</si>
  <si>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</si>
  <si>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</si>
  <si>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</si>
  <si>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</si>
  <si>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</si>
  <si>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</si>
  <si>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</si>
  <si>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</si>
  <si>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</si>
  <si>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</si>
  <si>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</si>
  <si>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</si>
  <si>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</si>
  <si>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</si>
  <si>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</si>
  <si>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</si>
  <si>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</si>
  <si>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</si>
  <si>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</si>
  <si>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1479</t>
  </si>
  <si>
    <t>ｉＦｒｅｅＥＴＦ　ＭＳＣＩ日本株人材設備投資指数　受益証券</t>
  </si>
  <si>
    <t>iFreeETF MSCI Japan Human and Physical Investment Index</t>
  </si>
  <si>
    <t>8</t>
  </si>
  <si>
    <t>23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</si>
  <si>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</si>
  <si>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</si>
  <si>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</si>
  <si>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</si>
  <si>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</si>
  <si>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</si>
  <si>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</si>
  <si>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</si>
  <si>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</si>
  <si>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1483</t>
  </si>
  <si>
    <t>ｉシェアーズ　ＪＰＸ／Ｓ＆Ｐ設備・人材投資　ＥＴＦ　受益証券</t>
  </si>
  <si>
    <t>iShares JPX/S&amp;P CAPEX &amp; Human Capital ETF</t>
  </si>
  <si>
    <t>6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</si>
  <si>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</si>
  <si>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</si>
  <si>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</si>
  <si>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</si>
  <si>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</si>
  <si>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</si>
  <si>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</si>
  <si>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</si>
  <si>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</si>
  <si>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</si>
  <si>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</si>
  <si>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</si>
  <si>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10</t>
  </si>
  <si>
    <t>1488</t>
  </si>
  <si>
    <t>ｉＦｒｅｅＥＴＦ　東証ＲＥＩＴ指数　受益証券</t>
  </si>
  <si>
    <t>iFreeETF Tokyo Stock Exchange REIT Index</t>
  </si>
  <si>
    <t>24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</si>
  <si>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</si>
  <si>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</si>
  <si>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</si>
  <si>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</si>
  <si>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</si>
  <si>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</si>
  <si>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1493</t>
  </si>
  <si>
    <t>Ｏｎｅ　ＥＴＦ　ＪＰＸ日経中小型　受益証券</t>
  </si>
  <si>
    <t>One ETF JPX-Nikkei Mid Small</t>
  </si>
  <si>
    <t>20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</si>
  <si>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</si>
  <si>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</si>
  <si>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</si>
  <si>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</si>
  <si>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</si>
  <si>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</si>
  <si>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</si>
  <si>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</si>
  <si>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</si>
  <si>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</si>
  <si>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</si>
  <si>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</si>
  <si>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</si>
  <si>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</si>
  <si>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</si>
  <si>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</si>
  <si>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</si>
  <si>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</si>
  <si>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7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</si>
  <si>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</si>
  <si>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</si>
  <si>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</si>
  <si>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</si>
  <si>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</si>
  <si>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</si>
  <si>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</si>
  <si>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</si>
  <si>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</si>
  <si>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</si>
  <si>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</si>
  <si>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</si>
  <si>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</si>
  <si>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ＮＡＳＤＡＱ－１００（為替ヘッジなし）連動型上場投信　受益証券</t>
  </si>
  <si>
    <t>NEXT FUNDS NASDAQ-100(R) (Unhedged) Exchange Traded Fund</t>
  </si>
  <si>
    <t>1546</t>
  </si>
  <si>
    <t>ＮＥＸＴ　ＦＵＮＤＳ　ダウ・ジョーンズ工業株３０種平均株価（為替ヘッジなし）連動型上場投信　受益証券</t>
  </si>
  <si>
    <t>NEXT FUNDS DJIA (Unhedged)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</si>
  <si>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</si>
  <si>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</si>
  <si>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</si>
  <si>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</si>
  <si>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</si>
  <si>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</si>
  <si>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</si>
  <si>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東証スタンダードＴＯＰ２０ＥＴＦ　受益証券</t>
  </si>
  <si>
    <t>TSE Standard Top 20 ETF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</si>
  <si>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</si>
  <si>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</si>
  <si>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</si>
  <si>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</si>
  <si>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Ａ－ＲＥＩＴ）　受益証券</t>
  </si>
  <si>
    <t>Listed Index Fund Australian REIT (S&amp;P/ASX200 A-REIT)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</si>
  <si>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</si>
  <si>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</si>
  <si>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</si>
  <si>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</si>
  <si>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</si>
  <si>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</si>
  <si>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</si>
  <si>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</si>
  <si>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</si>
  <si>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</si>
  <si>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東証グロース・コアＥＴＦ　受益証券</t>
  </si>
  <si>
    <t>TSE Growth Core ETF</t>
  </si>
  <si>
    <t>1566</t>
  </si>
  <si>
    <t>上場インデックスファンド新興国債券　受益証券</t>
  </si>
  <si>
    <t>Listed Index Fund Emerging Bond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</si>
  <si>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</si>
  <si>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</si>
  <si>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</si>
  <si>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</si>
  <si>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</si>
  <si>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</si>
  <si>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</si>
  <si>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</si>
  <si>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</si>
  <si>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</si>
  <si>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</si>
  <si>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</si>
  <si>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</si>
  <si>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</si>
  <si>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</si>
  <si>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</si>
  <si>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</si>
  <si>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</si>
  <si>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1577</t>
  </si>
  <si>
    <t>ＮＥＸＴ　ＦＵＮＤＳ　野村日本株高配当７０連動型上場投信　受益証券</t>
  </si>
  <si>
    <t>NEXT FUNDS Nomura Japan Equity High Dividend 70 Exchange Traded Fund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</si>
  <si>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</si>
  <si>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</si>
  <si>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</si>
  <si>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</si>
  <si>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</si>
  <si>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</si>
  <si>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</si>
  <si>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</si>
  <si>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</si>
  <si>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1585</t>
  </si>
  <si>
    <t>ｉＦｒｅｅＥＴＦ　ＴＯＰＩＸ　Ｅｘ－Ｆｉｎａｎｃｉａｌｓ　受益証券</t>
  </si>
  <si>
    <t>iFreeETF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</si>
  <si>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</si>
  <si>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</si>
  <si>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</si>
  <si>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</si>
  <si>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</si>
  <si>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</si>
  <si>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</si>
  <si>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</si>
  <si>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</si>
  <si>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</si>
  <si>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</si>
  <si>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</si>
  <si>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</si>
  <si>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</si>
  <si>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</si>
  <si>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</si>
  <si>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</si>
  <si>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</si>
  <si>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</si>
  <si>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</si>
  <si>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</si>
  <si>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1599</t>
  </si>
  <si>
    <t>ｉＦｒｅｅＥＴＦ　ＪＰＸ日経４００　受益証券</t>
  </si>
  <si>
    <t>iFreeETF JPX-Nikkei400</t>
  </si>
  <si>
    <t>159A</t>
  </si>
  <si>
    <t>ＮＥＸＴ　ＦＵＮＤＳ　ＪＰＸプライム１５０指数連動型上場投信　受益証券</t>
  </si>
  <si>
    <t>NEXT FUNDS JPX Prime 150 Index Exchange Traded Fund</t>
  </si>
  <si>
    <t>1615</t>
  </si>
  <si>
    <t>ＮＥＸＴ　ＦＵＮＤＳ　東証銀行業株価指数連動型上場投信　受益証券</t>
  </si>
  <si>
    <t>NEXT FUNDS 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</si>
  <si>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</si>
  <si>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</si>
  <si>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</si>
  <si>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</si>
  <si>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</si>
  <si>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</si>
  <si>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</si>
  <si>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</si>
  <si>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</si>
  <si>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</si>
  <si>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</si>
  <si>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</si>
  <si>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</si>
  <si>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</si>
  <si>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</si>
  <si>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</si>
  <si>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</si>
  <si>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</si>
  <si>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</si>
  <si>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</si>
  <si>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</si>
  <si>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</si>
  <si>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</si>
  <si>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</si>
  <si>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</si>
  <si>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</si>
  <si>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</si>
  <si>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</si>
  <si>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</si>
  <si>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</si>
  <si>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</si>
  <si>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</si>
  <si>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</si>
  <si>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</si>
  <si>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</si>
  <si>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</si>
  <si>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</si>
  <si>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</si>
  <si>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</si>
  <si>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162A</t>
  </si>
  <si>
    <t>ＡＩセレクトメガトレンド　日本株（ネットリターン）ＥＴＮ　受益証券</t>
  </si>
  <si>
    <t>AI Select Megatrend Japan Equity Net Return ETN</t>
  </si>
  <si>
    <t>信用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</si>
  <si>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</si>
  <si>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</si>
  <si>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</si>
  <si>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</si>
  <si>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</si>
  <si>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</si>
  <si>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</si>
  <si>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</si>
  <si>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</si>
  <si>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</si>
  <si>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</si>
  <si>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</si>
  <si>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163A</t>
  </si>
  <si>
    <t>半導体フォーカス　日本株（ネットリターン）ＥＴＮ　受益証券</t>
  </si>
  <si>
    <t>Semiconductor Focus Japan Equity Net Return ETN</t>
  </si>
  <si>
    <t>1651</t>
  </si>
  <si>
    <t>ｉＦｒｅｅＥＴＦ　ＴＯＰＩＸ高配当４０指数　受益証券</t>
  </si>
  <si>
    <t>iFreeETF TOPIX High Dividend Yield 40 Index</t>
  </si>
  <si>
    <t>1652</t>
  </si>
  <si>
    <t>ｉＦｒｅｅＥＴＦ　ＭＳＣＩ日本株女性活躍指数（ＷＩＮ）　受益証券</t>
  </si>
  <si>
    <t>iFreeETF MSCI Japan Empowering Women Index (WIN)</t>
  </si>
  <si>
    <t>1653</t>
  </si>
  <si>
    <t>ｉＦｒｅｅＥＴＦ　ＭＳＣＩジャパンＥＳＧセレクト・リーダーズ指数　受益証券</t>
  </si>
  <si>
    <t>iFreeETF MSCI Japan ESG Select Leaders Index</t>
  </si>
  <si>
    <t>1654</t>
  </si>
  <si>
    <t>ｉＦｒｅｅＥＴＦ　ＦＴＳＥ　Ｂｌｏｓｓｏｍ　Ｊａｐａｎ　Ｉｎｄｅｘ　受益証券</t>
  </si>
  <si>
    <t>iFreeETF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</si>
  <si>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</si>
  <si>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</si>
  <si>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</si>
  <si>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</si>
  <si>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</si>
  <si>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</si>
  <si>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</si>
  <si>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</si>
  <si>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</si>
  <si>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</si>
  <si>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</si>
  <si>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</si>
  <si>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</si>
  <si>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</si>
  <si>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</si>
  <si>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</si>
  <si>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</si>
  <si>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</si>
  <si>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</si>
  <si>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</si>
  <si>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</si>
  <si>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</si>
  <si>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</si>
  <si>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</si>
  <si>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</si>
  <si>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</si>
  <si>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</si>
  <si>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</si>
  <si>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</si>
  <si>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</si>
  <si>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22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</si>
  <si>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</si>
  <si>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</si>
  <si>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</si>
  <si>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</si>
  <si>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</si>
  <si>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</si>
  <si>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</si>
  <si>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</si>
  <si>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</si>
  <si>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</si>
  <si>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　連動型上場投信　受益証券</t>
  </si>
  <si>
    <t>NEXT FUNDS Nifty 50 Linked Exchange Traded Fund</t>
  </si>
  <si>
    <t>1679</t>
  </si>
  <si>
    <t>Ｓｉｍｐｌｅ－Ｘ　ＮＹ　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</si>
  <si>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</si>
  <si>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</si>
  <si>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</si>
  <si>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 (MSCI-KOKUSAI)</t>
  </si>
  <si>
    <t>1681</t>
  </si>
  <si>
    <t>上場インデックスファンド海外新興国株式（ＭＳＣＩ　エマージング）　受益証券</t>
  </si>
  <si>
    <t>Listed Index Fund International Emerging Countries Equity (MSCI EMERGING)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</si>
  <si>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</si>
  <si>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</si>
  <si>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</si>
  <si>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</si>
  <si>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</si>
  <si>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</si>
  <si>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</si>
  <si>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</si>
  <si>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</si>
  <si>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</si>
  <si>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</si>
  <si>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</si>
  <si>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</si>
  <si>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</si>
  <si>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</si>
  <si>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</si>
  <si>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</si>
  <si>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</si>
  <si>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</si>
  <si>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</si>
  <si>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</si>
  <si>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</si>
  <si>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</si>
  <si>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</si>
  <si>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</si>
  <si>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</si>
  <si>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</si>
  <si>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</si>
  <si>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</si>
  <si>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</si>
  <si>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</si>
  <si>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</si>
  <si>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</si>
  <si>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</si>
  <si>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</si>
  <si>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</si>
  <si>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</si>
  <si>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</si>
  <si>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</si>
  <si>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</si>
  <si>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</si>
  <si>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</si>
  <si>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</si>
  <si>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</si>
  <si>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 (TSE Dividend Focus 100)</t>
  </si>
  <si>
    <t>1699</t>
  </si>
  <si>
    <t>ＮＥＸＴ　ＦＵＮＤＳ　ＮＯＭＵＲＡ　原油インデックス連動型上場投信　受益証券</t>
  </si>
  <si>
    <t>NEXT FUNDS NOMURA Crude Oil Long Index Linked Exchange Traded Fund</t>
  </si>
  <si>
    <t>170A</t>
  </si>
  <si>
    <t>ＳＭＴ　ＥＴＦ日本好配当株アクティブ　受益証券</t>
  </si>
  <si>
    <t>SMT ETF Japan Equity Income Strategy Active</t>
  </si>
  <si>
    <t>178A</t>
  </si>
  <si>
    <t>グローバルＸ　革新的優良企業　ＥＴＦ　受益証券</t>
  </si>
  <si>
    <t>Global X Innovative Bluechip Top 10+ ETF</t>
  </si>
  <si>
    <t>179A</t>
  </si>
  <si>
    <t>グローバルＸ　超長期米国債　ＥＴＦ（為替ヘッジあり）　受益証券</t>
  </si>
  <si>
    <t>Global X 25+ Year T-Bond ETF (JPY Hedged)</t>
  </si>
  <si>
    <t>180A</t>
  </si>
  <si>
    <t>グローバルＸ　超長期米国債　ＥＴＦ　受益証券</t>
  </si>
  <si>
    <t>Global X 25+ Year T-Bond ETF</t>
  </si>
  <si>
    <t>181A</t>
  </si>
  <si>
    <t>ＭＡＸＩＳ米国国債１－３年上場投信（為替ヘッジなし）　受益証券</t>
  </si>
  <si>
    <t>MAXIS US Treasury Bond 1-3 Year ETF (Unhedged)</t>
  </si>
  <si>
    <t>182A</t>
  </si>
  <si>
    <t>ＭＡＸＩＳ米国国債２０年超上場投信（為替ヘッジなし）　受益証券</t>
  </si>
  <si>
    <t>MAXIS US Treasury Bond 20+ Year ETF (Unhedged)</t>
  </si>
  <si>
    <t>183A</t>
  </si>
  <si>
    <t>ＭＡＸＩＳ米国国債２０年超上場投信（為替ヘッジあり）　受益証券</t>
  </si>
  <si>
    <t>MAXIS US Treasury Bond 20+ Year ETF (JPY Hedged)</t>
  </si>
  <si>
    <t>188A</t>
  </si>
  <si>
    <t>グローバルＸ　インド・トップ１０＋　ＥＴＦ　受益証券</t>
  </si>
  <si>
    <t>Global X India Top 10+ ETF</t>
  </si>
  <si>
    <t>200A</t>
  </si>
  <si>
    <t>ＮＥＸＴ　ＦＵＮＤＳ　日経半導体株指数連動型上場投信　受益証券</t>
  </si>
  <si>
    <t>NEXT FUNDS Nikkei Semiconductor Stock Index Exchange Traded Fund</t>
  </si>
  <si>
    <t>2011</t>
  </si>
  <si>
    <t>ＳＭＤＡＭ　Ａｃｔｉｖｅ　ＥＴＦ　日本高配当株式　受益証券</t>
  </si>
  <si>
    <t>SMDAM Active ETF Japan High Dividend Equity</t>
  </si>
  <si>
    <t>2012</t>
  </si>
  <si>
    <t>ｉシェアーズ　米国債０－３ヶ月　ＥＴＦ　受益証券</t>
  </si>
  <si>
    <t>iShares 0-3 Month US Treasury Bond ETF</t>
  </si>
  <si>
    <t>2013</t>
  </si>
  <si>
    <t>ｉシェアーズ　米国高配当株　ＥＴＦ　受益証券</t>
  </si>
  <si>
    <t>iShares US High Dividend ETF</t>
  </si>
  <si>
    <t>2014</t>
  </si>
  <si>
    <t>ｉシェアーズ　米国連続増配株　ＥＴＦ　受益証券</t>
  </si>
  <si>
    <t>iShares US Dividend Growth ETF</t>
  </si>
  <si>
    <t>2015</t>
  </si>
  <si>
    <t>ｉＦｒｅｅＥＴＦ　米国国債７－１０年（為替ヘッジなし）　受益証券</t>
  </si>
  <si>
    <t>iFreeETF US Treasury Bond 7-10 Year (NON HEDGED)</t>
  </si>
  <si>
    <t>16</t>
  </si>
  <si>
    <t>2016</t>
  </si>
  <si>
    <t>ｉＦｒｅｅＥＴＦ　米国国債７－１０年（為替ヘッジあり）　受益証券</t>
  </si>
  <si>
    <t>iFreeETF US Treasury Bond 7-10 Year (JPY HEDGED)</t>
  </si>
  <si>
    <t>2017</t>
  </si>
  <si>
    <t>ｉＦｒｅｅＥＴＦ　ＪＰＸプライム１５０　受益証券</t>
  </si>
  <si>
    <t>iFreeETF JPX Prime 150</t>
  </si>
  <si>
    <t>2018</t>
  </si>
  <si>
    <t>グローバルＸ　ＵＳ　ＲＥＩＴ・トップ２０　ＥＴＦ　受益証券</t>
  </si>
  <si>
    <t>Global X US REIT Top 20 ETF</t>
  </si>
  <si>
    <t>2019</t>
  </si>
  <si>
    <t>グローバルＸ　米国優先証券　ＥＴＦ（隔月分配型）　受益証券</t>
  </si>
  <si>
    <t>Global X U.S. Preferred Security ETF (Bi-monthly dividend type)</t>
  </si>
  <si>
    <t>201A</t>
  </si>
  <si>
    <t>ｉシェアーズ　Ｎｉｆｔｙ　５０　インド株　ＥＴＦ　受益証券</t>
  </si>
  <si>
    <t>iShares Nifty 50 ETF</t>
  </si>
  <si>
    <t>2031</t>
  </si>
  <si>
    <t>ＮＥＸＴ　ＮＯＴＥＳ　香港ハンセン・ダブル・ブル　ＥＴＮ　受益証券</t>
  </si>
  <si>
    <t>NEXT NOTES HSI Leveraged ETN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</si>
  <si>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</si>
  <si>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</si>
  <si>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</si>
  <si>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</si>
  <si>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</si>
  <si>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</si>
  <si>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</si>
  <si>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</si>
  <si>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</si>
  <si>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</si>
  <si>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</si>
  <si>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</si>
  <si>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</si>
  <si>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</si>
  <si>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</si>
  <si>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</si>
  <si>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</si>
  <si>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</si>
  <si>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</si>
  <si>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</si>
  <si>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</si>
  <si>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</si>
  <si>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</si>
  <si>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</si>
  <si>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</si>
  <si>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</si>
  <si>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</si>
  <si>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</si>
  <si>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東証グロース市場２５０　ＥＴＮ　受益証券</t>
  </si>
  <si>
    <t>NEXT NOTES Tokyo Stock Exchange Growth Market 250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</si>
  <si>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</si>
  <si>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</si>
  <si>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</si>
  <si>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</si>
  <si>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</si>
  <si>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</si>
  <si>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</si>
  <si>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</si>
  <si>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</si>
  <si>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</si>
  <si>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</si>
  <si>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</si>
  <si>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</si>
  <si>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</si>
  <si>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</si>
  <si>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</si>
  <si>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</si>
  <si>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</si>
  <si>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</si>
  <si>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</si>
  <si>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</si>
  <si>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</si>
  <si>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</si>
  <si>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</si>
  <si>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</si>
  <si>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</si>
  <si>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</si>
  <si>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</si>
  <si>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</si>
  <si>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</si>
  <si>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</si>
  <si>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</si>
  <si>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</si>
  <si>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</si>
  <si>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</si>
  <si>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</si>
  <si>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2070</t>
  </si>
  <si>
    <t>スマートＥＳＧ３０女性活躍（ネットリターン）ＥＴＮ　受益証券</t>
  </si>
  <si>
    <t>Smart ESG 30 Empowering Women Net Return ETN</t>
  </si>
  <si>
    <t>2071</t>
  </si>
  <si>
    <t>スマートＥＳＧ３０総合（ネットリターン）ＥＴＮ　受益証券</t>
  </si>
  <si>
    <t>Smart ESG 30 Net Return ETN</t>
  </si>
  <si>
    <t>2072</t>
  </si>
  <si>
    <t>トップシェアインデックス（ネットリターン）ＥＴＮ　受益証券</t>
  </si>
  <si>
    <t>Market Share Leaders Net Return ETN</t>
  </si>
  <si>
    <t>2073</t>
  </si>
  <si>
    <t>スマートＥＳＧ３０低カーボンリスク（ネットリターン）ＥＴＮ　受益証券</t>
  </si>
  <si>
    <t>Smart ESG 30 Low Carbon Risk Net Return ETN</t>
  </si>
  <si>
    <t>2080</t>
  </si>
  <si>
    <t>ＰＢＲ１倍割れ解消推進ＥＴＦ　受益証券</t>
  </si>
  <si>
    <t>PBR Improvement over 1x ETF</t>
  </si>
  <si>
    <t>2081</t>
  </si>
  <si>
    <t>政策保有解消推進ＥＴＦ　受益証券</t>
  </si>
  <si>
    <t>Strategic Shareholding Disposal Promotion ETF</t>
  </si>
  <si>
    <t>2082</t>
  </si>
  <si>
    <t>投資家経営者一心同体ＥＴＦ　受益証券</t>
  </si>
  <si>
    <t>Investor-Management Unite as One ETF</t>
  </si>
  <si>
    <t>2083</t>
  </si>
  <si>
    <t>ＮＥＸＴ　ＦＵＮＤＳ　日本成長株アクティブ上場投信　受益証券</t>
  </si>
  <si>
    <t>NEXT FUNDS Japan Growth Equity Active Exchange Traded Fund</t>
  </si>
  <si>
    <t>2084</t>
  </si>
  <si>
    <t>ＮＥＸＴ　ＦＵＮＤＳ　日本高配当株アクティブ上場投信　受益証券</t>
  </si>
  <si>
    <t>NEXT FUNDS Japan High Dividend Equity Active Exchange Traded Fund</t>
  </si>
  <si>
    <t>2085</t>
  </si>
  <si>
    <t>ＭＡＸＩＳ高配当日本株アクティブ上場投信　受益証券</t>
  </si>
  <si>
    <t>MAXIS High Dividend Japan Equity Actively Managed ETF</t>
  </si>
  <si>
    <t>2086</t>
  </si>
  <si>
    <t>ＮＺＡＭ　上場投信　Ｓ＆Ｐ５００（為替ヘッジあり）　受益証券</t>
  </si>
  <si>
    <t>NZAM ETF S&amp;P500 (JPY Hedged)</t>
  </si>
  <si>
    <t>2087</t>
  </si>
  <si>
    <t>ＮＺＡＭ　上場投信　ＮＡＳＤＡＱ１００（為替ヘッジあり）　受益証券</t>
  </si>
  <si>
    <t>NZAM ETF NASDAQ100 (JPY Hedged)</t>
  </si>
  <si>
    <t>2088</t>
  </si>
  <si>
    <t>ＮＺＡＭ　上場投信　ＮＹダウ３０（為替ヘッジあり）　受益証券</t>
  </si>
  <si>
    <t>NZAM ETF NY Dow30 (JPY Hedged)</t>
  </si>
  <si>
    <t>2089</t>
  </si>
  <si>
    <t>ＮＺＡＭ　上場投信　ＤＡＸ（為替ヘッジあり）　受益証券</t>
  </si>
  <si>
    <t>NZAM ETF DAX (JPY Hedged)</t>
  </si>
  <si>
    <t>2090</t>
  </si>
  <si>
    <t>ＮＺＡＭ　上場投信　米国国債７－１０年（為替ヘッジあり）　受益証券</t>
  </si>
  <si>
    <t>NZAM ETF US Treasury 7-10Y (JPY Hedged)</t>
  </si>
  <si>
    <t>2091</t>
  </si>
  <si>
    <t>ＮＺＡＭ　上場投信　ドイツ国債７－１０年（為替ヘッジあり）　受益証券</t>
  </si>
  <si>
    <t>NZAM ETF German Government Bond 7-10Y (JPY Hedged)</t>
  </si>
  <si>
    <t>2092</t>
  </si>
  <si>
    <t>ＮＺＡＭ　上場投信　フランス国債７－１０年（為替ヘッジあり）　受益証券</t>
  </si>
  <si>
    <t>NZAM ETF France Government Bond 7-10Y (JPY Hedged)</t>
  </si>
  <si>
    <t>2093</t>
  </si>
  <si>
    <t>上場Ｔｒａｃｅｒｓ　米国債０－２年ラダー（為替ヘッジなし）　受益証券</t>
  </si>
  <si>
    <t>Listed Tracers US Government Bond 0-2years Ladder (No Currency Hedge)</t>
  </si>
  <si>
    <t>2094</t>
  </si>
  <si>
    <t>東証ＲＥＩＴインバースＥＴＦ　受益証券</t>
  </si>
  <si>
    <t>TSE REIT Inverse ETF</t>
  </si>
  <si>
    <t>2095</t>
  </si>
  <si>
    <t>グローバルＸ　Ｓ＆Ｐ５００配当貴族　ＥＴＦ（為替ヘッジあり）　受益証券</t>
  </si>
  <si>
    <t>Global X S&amp;P 500 Dividend Aristocrats ETF (JPY Hedged)</t>
  </si>
  <si>
    <t>2096</t>
  </si>
  <si>
    <t>グローバルＸ　オフィス・Ｊ－ＲＥＩＴ　ＥＴＦ　受益証券</t>
  </si>
  <si>
    <t>Global X Office J-REIT ETF</t>
  </si>
  <si>
    <t>2097</t>
  </si>
  <si>
    <t>グローバルＸ　レジデンシャル・Ｊ－ＲＥＩＴ　ＥＴＦ　受益証券</t>
  </si>
  <si>
    <t>Global X Residential J-REIT ETF</t>
  </si>
  <si>
    <t>2098</t>
  </si>
  <si>
    <t>グローバルＸ　ホテル＆リテール・Ｊ－ＲＥＩＴ　ＥＴＦ　受益証券</t>
  </si>
  <si>
    <t>Global X Hotel &amp; Retail J-REIT ETF</t>
  </si>
  <si>
    <t>210A</t>
  </si>
  <si>
    <t>ｉＦｒｅｅＥＴＦ　日経高利回りＲＥＩＴ指数　受益証券</t>
  </si>
  <si>
    <t>iFreeETF Nikkei High Yield REIT Index</t>
  </si>
  <si>
    <t>213A</t>
  </si>
  <si>
    <t>上場インデックスファンド日経半導体株　受益証券</t>
  </si>
  <si>
    <t>Listed Index Fund Nikkei Semiconductor Stock</t>
  </si>
  <si>
    <t>221A</t>
  </si>
  <si>
    <t>ＭＡＸＩＳ日経半導体株上場投信　受益証券</t>
  </si>
  <si>
    <t>MAXIS Nikkei Semiconductor Stock (Japan) ETF</t>
  </si>
  <si>
    <t>2235</t>
  </si>
  <si>
    <t>上場インデックスファンド米国株式（ダウ平均）為替ヘッジなし　受益証券</t>
  </si>
  <si>
    <t>Listed Index Fund US Equity (Dow Average) No Currency Hedge</t>
  </si>
  <si>
    <t>2236</t>
  </si>
  <si>
    <t>グローバルＸ　Ｓ＆Ｐ５００配当貴族ＥＴＦ　受益証券</t>
  </si>
  <si>
    <t>Global X S&amp;P 500 Dividend Aristocrats ETF</t>
  </si>
  <si>
    <t>2237</t>
  </si>
  <si>
    <t>ｉＦｒｅｅＥＴＦ　Ｓ＆Ｐ５００レバレッジ　受益証券</t>
  </si>
  <si>
    <t>iFreeETF S&amp;P500 Leveraged (2x)</t>
  </si>
  <si>
    <t>2238</t>
  </si>
  <si>
    <t>ｉＦｒｅｅＥＴＦ　Ｓ＆Ｐ５００インバース　受益証券</t>
  </si>
  <si>
    <t>iFreeETF S&amp;P500 Inverse</t>
  </si>
  <si>
    <t>2239</t>
  </si>
  <si>
    <t>上場インデックスファンドＳ＆Ｐ５００先物レバレッジ２倍　受益証券</t>
  </si>
  <si>
    <t>Listed Index Fund S&amp;P500 Futures Leveraged Two Times</t>
  </si>
  <si>
    <t>223A</t>
  </si>
  <si>
    <t>グローバルＸ　ＡＩ＆ビッグデータ　ＥＴＦ　受益証券</t>
  </si>
  <si>
    <t>Global X Artificial Intelligence &amp; Technology ETF</t>
  </si>
  <si>
    <t>2240</t>
  </si>
  <si>
    <t>上場インデックスファンドＳ＆Ｐ５００先物インバース　受益証券</t>
  </si>
  <si>
    <t>Listed Index Fund S&amp;P500 Futures Inverse</t>
  </si>
  <si>
    <t>2241</t>
  </si>
  <si>
    <t>ＭＡＸＩＳ　ＮＹダウ上場投信　受益証券</t>
  </si>
  <si>
    <t>MAXIS NY Dow Industrial Average ETF</t>
  </si>
  <si>
    <t>2242</t>
  </si>
  <si>
    <t>ＭＡＸＩＳ　ＮＹダウ上場投信（為替ヘッジあり）　受益証券</t>
  </si>
  <si>
    <t>MAXIS NY Dow Industrial Average ETF (JPY Hedged)</t>
  </si>
  <si>
    <t>2243</t>
  </si>
  <si>
    <t>グローバルＸ　半導体　ＥＴＦ　受益証券</t>
  </si>
  <si>
    <t>Global X Semiconductor ETF</t>
  </si>
  <si>
    <t>2244</t>
  </si>
  <si>
    <t>グローバルＸ　ＵＳ　テック・トップ２０　ＥＴＦ　受益証券</t>
  </si>
  <si>
    <t>Global X US Tech Top 20 ETF</t>
  </si>
  <si>
    <t>2245</t>
  </si>
  <si>
    <t>ＮＥＸＴ　ＦＵＮＤＳ　ブルームバーグ・ドイツ国債（７－１０年）インデックス（為替ヘッジあり）連動型上場投信　受益証券</t>
  </si>
  <si>
    <t>NEXT FUNDS Bloomberg Germany Treasury Bond (7-10 year) Index (Yen-Hedged) Exchange Traded Fund</t>
  </si>
  <si>
    <t>2246</t>
  </si>
  <si>
    <t>ＮＥＸＴ　ＦＵＮＤＳ　ブルームバーグ・フランス国債（７－１０年）インデックス（為替ヘッジあり）連動型上場投信　受益証券</t>
  </si>
  <si>
    <t>NEXT FUNDS Bloomberg France Treasury Bond (7-10 year) Index (Yen-Hedged) Exchange Traded Fund</t>
  </si>
  <si>
    <t>2247</t>
  </si>
  <si>
    <t>ｉＦｒｅｅＥＴＦ　Ｓ＆Ｐ５００（為替ヘッジなし）　受益証券</t>
  </si>
  <si>
    <t>iFreeETF S&amp;P500 (NON HEDGED)</t>
  </si>
  <si>
    <t>2248</t>
  </si>
  <si>
    <t>ｉＦｒｅｅＥＴＦ　Ｓ＆Ｐ５００（為替ヘッジあり）　受益証券</t>
  </si>
  <si>
    <t>iFreeETF S&amp;P500 (JPY HEDGED)</t>
  </si>
  <si>
    <t>2249</t>
  </si>
  <si>
    <t>ｉＦｒｅｅＥＴＦ　Ｓ＆Ｐ５００ダブルインバース　受益証券</t>
  </si>
  <si>
    <t>iFreeETF S&amp;P500 Double Inverse (-2x)</t>
  </si>
  <si>
    <t>224A</t>
  </si>
  <si>
    <t>グローバルＸ　ウラニウムビジネス　ＥＴＦ　受益証券</t>
  </si>
  <si>
    <t>Global X Uranium ETF</t>
  </si>
  <si>
    <t>2250</t>
  </si>
  <si>
    <t>ｉシェアーズ　ＭＳＣＩ　ジャパン気候変動アクション　ＥＴＦ　受益証券</t>
  </si>
  <si>
    <t>iShares MSCI Japan Climate Action ETF</t>
  </si>
  <si>
    <t>2251</t>
  </si>
  <si>
    <t>ＮＥＸＴ　ＦＵＮＤＳ　ＪＰＸ国債先物ダブルインバース指数連動型上場投信　受益証券</t>
  </si>
  <si>
    <t>NEXT FUNDS JPX JGB Futures Double Inverse Index Exchange Traded Fund</t>
  </si>
  <si>
    <t>2252</t>
  </si>
  <si>
    <t>グローバルＸ　Ｍｏｒｎｉｎｇｓｔａｒ　米国中小型　Ｍｏａｔ　ＥＴＦ　受益証券</t>
  </si>
  <si>
    <t>Global X Morningstar US Small Mid Moat ETF</t>
  </si>
  <si>
    <t>2253</t>
  </si>
  <si>
    <t>グローバルＸ　スーパーディビィデンド－ＵＳ　ＥＴＦ　受益証券</t>
  </si>
  <si>
    <t>Global X SuperDividend U.S. ETF</t>
  </si>
  <si>
    <t>2254</t>
  </si>
  <si>
    <t>グローバルＸ　チャイナＥＶ＆バッテリー　ＥＴＦ　受益証券</t>
  </si>
  <si>
    <t>Global X China Electric Vehicle and Battery ETF</t>
  </si>
  <si>
    <t>2255</t>
  </si>
  <si>
    <t>ｉシェアーズ　米国債２０年超　ＥＴＦ　受益証券</t>
  </si>
  <si>
    <t>iShares 20+ Year US Treasury Bond ETF</t>
  </si>
  <si>
    <t>2256</t>
  </si>
  <si>
    <t>ｉシェアーズ　米国総合債券　ＥＴＦ　受益証券</t>
  </si>
  <si>
    <t>iShares US Aggregate Bond ETF</t>
  </si>
  <si>
    <t>2257</t>
  </si>
  <si>
    <t>ｉシェアーズ　米ドル建て投資適格社債　ＥＴＦ　受益証券</t>
  </si>
  <si>
    <t>iShares USD Investment Grade Corporate Bond ETF</t>
  </si>
  <si>
    <t>2258</t>
  </si>
  <si>
    <t>ｉシェアーズ　米ドル建てハイイールド社債　ＥＴＦ　受益証券</t>
  </si>
  <si>
    <t>iShares USD High Yield Corporate Bond ETF</t>
  </si>
  <si>
    <t>2259</t>
  </si>
  <si>
    <t>ｉシェアーズ　フランス国債７－１０年　ＥＴＦ（為替ヘッジあり）　受益証券</t>
  </si>
  <si>
    <t>iShares 7-10 Year France Government Bond JPY Hedged ETF</t>
  </si>
  <si>
    <t>233A</t>
  </si>
  <si>
    <t>ｉＦｒｅｅＥＴＦ　インドＮｉｆｔｙ５０　受益証券</t>
  </si>
  <si>
    <t>iFreeETF Nifty50</t>
  </si>
  <si>
    <t>234A</t>
  </si>
  <si>
    <t>グローバルＸ　ＭＳＣＩ　キャッシュフローキング－日本株式　ＥＴＦ　受益証券</t>
  </si>
  <si>
    <t>Global X MSCI Japan Cash Flow Kings ETF</t>
  </si>
  <si>
    <t>235A</t>
  </si>
  <si>
    <t>グローバルＸ　高配当３０－日本株式　ＥＴＦ　受益証券</t>
  </si>
  <si>
    <t>Global X Japan High Dividend 30 ETF</t>
  </si>
  <si>
    <t>236A</t>
  </si>
  <si>
    <t>ｉシェアーズ　日本国債７－１０年　ＥＴＦ　受益証券</t>
  </si>
  <si>
    <t>iShares 7-10 Year Japan Government Bond ETF</t>
  </si>
  <si>
    <t>237A</t>
  </si>
  <si>
    <t>ｉシェアーズ　米国債２５年超　ロングデュレーション　ＥＴＦ　受益証券</t>
  </si>
  <si>
    <t>iShares 25+ Year US Treasury Bond Long Duration ETF</t>
  </si>
  <si>
    <t>238A</t>
  </si>
  <si>
    <t>ｉシェアーズ　米国債２５年超　ロングデュレーション　ＥＴＦ（為替ヘッジあり）　受益証券</t>
  </si>
  <si>
    <t>iShares 25+ Year US Treasury Bond Long Duration JPY Hedged ETF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</si>
  <si>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</si>
  <si>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</si>
  <si>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</si>
  <si>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</si>
  <si>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</si>
  <si>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</si>
  <si>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</si>
  <si>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</si>
  <si>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</si>
  <si>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</si>
  <si>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</si>
  <si>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</si>
  <si>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</si>
  <si>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</si>
  <si>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</si>
  <si>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</si>
  <si>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</si>
  <si>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</si>
  <si>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</si>
  <si>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東証グロース２５０ＥＴＦ　受益証券</t>
  </si>
  <si>
    <t>TSE Growth 250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</si>
  <si>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</si>
  <si>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</si>
  <si>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</si>
  <si>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</si>
  <si>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</si>
  <si>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</si>
  <si>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</si>
  <si>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</si>
  <si>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</si>
  <si>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</si>
  <si>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</si>
  <si>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</si>
  <si>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</si>
  <si>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</si>
  <si>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</si>
  <si>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</si>
  <si>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</si>
  <si>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</si>
  <si>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</si>
  <si>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</si>
  <si>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</si>
  <si>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</si>
  <si>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</si>
  <si>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</si>
  <si>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</si>
  <si>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</si>
  <si>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</si>
  <si>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</si>
  <si>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</si>
  <si>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</si>
  <si>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</si>
  <si>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</si>
  <si>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</si>
  <si>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</si>
  <si>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ｉＦｒｅｅＥＴＦ　東証ＲＥＩＴ　Ｃｏｒｅ指数　受益証券</t>
  </si>
  <si>
    <t>iFreeETF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</si>
  <si>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</si>
  <si>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</si>
  <si>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</si>
  <si>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</si>
  <si>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</si>
  <si>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</si>
  <si>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</si>
  <si>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</si>
  <si>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</si>
  <si>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</si>
  <si>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</si>
  <si>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</si>
  <si>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</si>
  <si>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ブルームバーグ米国投資適格社債（１－１０年）インデックス（為替ヘッジあり）連動型上場投信　受益証券</t>
  </si>
  <si>
    <t>NEXT FUNDS Bloomberg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</si>
  <si>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</si>
  <si>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</si>
  <si>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</si>
  <si>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</si>
  <si>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</si>
  <si>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</si>
  <si>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</si>
  <si>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</si>
  <si>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</si>
  <si>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</si>
  <si>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</si>
  <si>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</si>
  <si>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</si>
  <si>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</si>
  <si>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</si>
  <si>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</si>
  <si>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</si>
  <si>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</si>
  <si>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</si>
  <si>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</si>
  <si>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</si>
  <si>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</si>
  <si>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</si>
  <si>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</si>
  <si>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</si>
  <si>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</si>
  <si>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</si>
  <si>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</si>
  <si>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</si>
  <si>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</si>
  <si>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</si>
  <si>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</si>
  <si>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</si>
  <si>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</si>
  <si>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</si>
  <si>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</si>
  <si>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>2567</t>
  </si>
  <si>
    <t>ＮＺＡＭ　上場投信　Ｓ＆Ｐ／ＪＰＸカーボン・エフィシェント指数　受益証券</t>
  </si>
  <si>
    <t>NZAM ETF S&amp;P/JPX Carbon Efficient Index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</si>
  <si>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</si>
  <si>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</si>
  <si>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</si>
  <si>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</si>
  <si>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</si>
  <si>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</si>
  <si>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257A</t>
  </si>
  <si>
    <t>ＳＭＴ　ＥＴＦ日本株厳選投資アクティブ　受益証券</t>
  </si>
  <si>
    <t>SMT ETF Selected Japan Equity Active</t>
  </si>
  <si>
    <t>258A</t>
  </si>
  <si>
    <t>ＳＭＴ　ＥＴＦ国内リート厳選投資アクティブ　受益証券</t>
  </si>
  <si>
    <t>SMT ETF Selected J-REIT Active</t>
  </si>
  <si>
    <t>2620</t>
  </si>
  <si>
    <t>ｉシェアーズ　米国債１－３年　ＥＴＦ　受益証券</t>
  </si>
  <si>
    <t>iShares 1-3 Year US Treasury Bond ETF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</si>
  <si>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</si>
  <si>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</si>
  <si>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</si>
  <si>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</si>
  <si>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</si>
  <si>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</si>
  <si>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</si>
  <si>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</si>
  <si>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</si>
  <si>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2624</t>
  </si>
  <si>
    <t>ｉＦｒｅｅＥＴＦ　日経２２５（年４回決算型）　受益証券</t>
  </si>
  <si>
    <t>iFreeETF Nikkei225 (Quarterly Dividend Type)</t>
  </si>
  <si>
    <t>2625</t>
  </si>
  <si>
    <t>ｉＦｒｅｅＥＴＦ　ＴＯＰＩＸ（年４回決算型）　受益証券</t>
  </si>
  <si>
    <t>iFreeETF TOPIX (Quarterly Dividend Type)</t>
  </si>
  <si>
    <t>2626</t>
  </si>
  <si>
    <t>グローバルＸ　デジタル・イノベーション－日本株式　ＥＴＦ　受益証券</t>
  </si>
  <si>
    <t>Global X Digital Innovation Japan ETF</t>
  </si>
  <si>
    <t>2627</t>
  </si>
  <si>
    <t>グローバルＸ　ｅコマース－日本株式　ＥＴＦ　受益証券</t>
  </si>
  <si>
    <t>Global X E-Commerce Japan ETF</t>
  </si>
  <si>
    <t>2628</t>
  </si>
  <si>
    <t>ｉＦｒｅｅＥＴＦ　中国科創板５０（ＳＴＡＲ５０）　受益証券</t>
  </si>
  <si>
    <t>iFreeETF China STAR50</t>
  </si>
  <si>
    <t>2629</t>
  </si>
  <si>
    <t>ｉＦｒｅｅＥＴＦ　中国グレーターベイエリア・イノベーション１００（ＧＢＡ１００）　受益証券</t>
  </si>
  <si>
    <t>iFreeETF China GBA100</t>
  </si>
  <si>
    <t>2630</t>
  </si>
  <si>
    <t>ＭＡＸＩＳ米国株式（Ｓ＆Ｐ５００）上場投信（為替ヘッジあり）　受益証券</t>
  </si>
  <si>
    <t>MAXIS S&amp;P500 US Equity ETF (JPY Hedged)</t>
  </si>
  <si>
    <t>2631</t>
  </si>
  <si>
    <t>ＭＡＸＩＳナスダック１００上場投信　受益証券</t>
  </si>
  <si>
    <t>MAXIS NASDAQ100 ETF</t>
  </si>
  <si>
    <t>2632</t>
  </si>
  <si>
    <t>ＭＡＸＩＳナスダック１００上場投信（為替ヘッジあり）　受益証券</t>
  </si>
  <si>
    <t>MAXIS NASDAQ100 ETF (JPY Hedged)</t>
  </si>
  <si>
    <t>2633</t>
  </si>
  <si>
    <t>ＮＥＸＴ　ＦＵＮＤＳ　Ｓ＆Ｐ　５００　指数（為替ヘッジなし）連動型上場投信　受益証券</t>
  </si>
  <si>
    <t>NEXT FUNDS S&amp;P 500 (Unhedged) Exchange Traded Fund</t>
  </si>
  <si>
    <t>2634</t>
  </si>
  <si>
    <t>ＮＥＸＴ　ＦＵＮＤＳ　Ｓ＆Ｐ　５００　指数（為替ヘッジあり）連動型上場投信　受益証券</t>
  </si>
  <si>
    <t>NEXT FUNDS S&amp;P 500 (Yen-Hedged) Exchange Traded Fund</t>
  </si>
  <si>
    <t>2635</t>
  </si>
  <si>
    <t>ＮＥＸＴ　ＦＵＮＤＳ　Ｓ＆Ｐ　５００スコアリング＆スクリーニング指数連動型上場投信　受益証券</t>
  </si>
  <si>
    <t>NEXT FUNDS S&amp;P 500 Scored &amp; Screened Index Exchange Traded Fund</t>
  </si>
  <si>
    <t>整</t>
  </si>
  <si>
    <t>2636</t>
  </si>
  <si>
    <t>グローバルＸ　ＭＳＣＩ　ガバナンス・クオリティ－日本株式　ＥＴＦ　受益証券</t>
  </si>
  <si>
    <t>Global X MSCI Governance-Quality Japan ETF</t>
  </si>
  <si>
    <t>2637</t>
  </si>
  <si>
    <t>グローバルＸ　クリーンテック－日本株式　ＥＴＦ　受益証券</t>
  </si>
  <si>
    <t>Global X CleanTech Japan ETF</t>
  </si>
  <si>
    <t>2638</t>
  </si>
  <si>
    <t>グローバルＸ　ロボティクス＆ＡＩ－日本株式　ＥＴＦ　受益証券</t>
  </si>
  <si>
    <t>Global X Japan Robotics &amp; AI ETF</t>
  </si>
  <si>
    <t>2639</t>
  </si>
  <si>
    <t>グローバルＸ　バイオ＆メドテック－日本株式　ＥＴＦ　受益証券</t>
  </si>
  <si>
    <t>Global X Japan Bio &amp; Med Tech ETF</t>
  </si>
  <si>
    <t>2640</t>
  </si>
  <si>
    <t>グローバルＸ　ゲーム＆アニメ－日本株式　ＥＴＦ　受益証券</t>
  </si>
  <si>
    <t>Global X Japan Games &amp; Animation ETF</t>
  </si>
  <si>
    <t>2641</t>
  </si>
  <si>
    <t>グローバルＸ　グローバルリーダーズ－日本株式　ＥＴＦ　受益証券</t>
  </si>
  <si>
    <t>Global X Japan Global Leaders ETF</t>
  </si>
  <si>
    <t>2642</t>
  </si>
  <si>
    <t>ＳＭＴ　ＥＴＦカーボン・エフィシェント日本株　受益証券</t>
  </si>
  <si>
    <t>SMT ETF Carbon Efficient Index Japan Equity</t>
  </si>
  <si>
    <t>2643</t>
  </si>
  <si>
    <t>ＮＥＸＴ　ＦＵＮＤＳ　ＭＳＣＩジャパンカントリー指数（セレクト）連動型上場投信　受益証券</t>
  </si>
  <si>
    <t>NEXT FUNDS MSCI Japan Country Selection Index Exchange Traded Fund</t>
  </si>
  <si>
    <t>2644</t>
  </si>
  <si>
    <t>グローバルＸ　半導体関連－日本株式　ＥＴＦ　受益証券</t>
  </si>
  <si>
    <t>Global X Japan Semiconductor ETF</t>
  </si>
  <si>
    <t>2645</t>
  </si>
  <si>
    <t>グローバルＸ　レジャー＆エンターテインメント－日本株式　ＥＴＦ　受益証券</t>
  </si>
  <si>
    <t>Global X Japan Leisure &amp; Entertainment ETF</t>
  </si>
  <si>
    <t>2646</t>
  </si>
  <si>
    <t>グローバルＸ　メタルビジネス－日本株式　ＥＴＦ　受益証券</t>
  </si>
  <si>
    <t>Global X Japan Metal Business ETF</t>
  </si>
  <si>
    <t>2647</t>
  </si>
  <si>
    <t>ＮＥＸＴ　ＦＵＮＤＳ　ブルームバーグ米国国債（７－１０年）インデックス（為替ヘッジなし）連動型上場投信　受益証券</t>
  </si>
  <si>
    <t>NEXT FUNDS Bloomberg US Treasury Bond (7-10 year) Index (Unhedged) Exchange Traded Fund</t>
  </si>
  <si>
    <t>2648</t>
  </si>
  <si>
    <t>ＮＥＸＴ　ＦＵＮＤＳ　ブルームバーグ米国国債（７－１０年）インデックス（為替ヘッジあり）連動型上場投信　受益証券</t>
  </si>
  <si>
    <t>NEXT FUNDS Bloomberg US Treasury Bond (7-10 year) Index (Yen-Hedged) Exchange Traded Fund</t>
  </si>
  <si>
    <t>2649</t>
  </si>
  <si>
    <t>ｉシェアーズ　米国政府系機関ジニーメイＭＢＳ　ＥＴＦ（為替ヘッジあり）　受益証券</t>
  </si>
  <si>
    <t>iShares Ginnie Mae MBS JPY Hedged ETF</t>
  </si>
  <si>
    <t>273A</t>
  </si>
  <si>
    <t>ＳＢＩ　サウジアラビア株式上場投信　受益証券</t>
  </si>
  <si>
    <t>SBI Saudi Arabia Equity Exchange Traded Fund</t>
  </si>
  <si>
    <t>282A</t>
  </si>
  <si>
    <t>グローバルＸ　半導体・トップ１０－日本株式　ＥＴＦ　受益証券</t>
  </si>
  <si>
    <t>Global X Japan Semiconductor Top 10 ETF</t>
  </si>
  <si>
    <t>2836</t>
  </si>
  <si>
    <t>グローバルＸ　フィンテック－日本株式　ＥＴＦ　受益証券</t>
  </si>
  <si>
    <t>Global X Japan Fintech ETF</t>
  </si>
  <si>
    <t>2837</t>
  </si>
  <si>
    <t>グローバルＸ　中小型リーダーズ－日本株式　ＥＴＦ　受益証券</t>
  </si>
  <si>
    <t>Global X Japan Mid &amp; Small Cap Leaders ETF</t>
  </si>
  <si>
    <t>2838</t>
  </si>
  <si>
    <t>ＭＡＸＩＳ米国国債７－１０年上場投信（為替ヘッジなし）　受益証券</t>
  </si>
  <si>
    <t>MAXIS US Treasury Bond 7-10 Year ETF (Unhedged)</t>
  </si>
  <si>
    <t>2839</t>
  </si>
  <si>
    <t>ＭＡＸＩＳ米国国債７－１０年上場投信（為替ヘッジあり）　受益証券</t>
  </si>
  <si>
    <t>MAXIS US Treasury Bond 7-10 Year ETF (JPY Hedged)</t>
  </si>
  <si>
    <t>283A</t>
  </si>
  <si>
    <t>グローバルＸ　ＵＳ　テック・配当貴族　ＥＴＦ　受益証券</t>
  </si>
  <si>
    <t>Global X US Tech Dividend Aristocrats ETF</t>
  </si>
  <si>
    <t>2840</t>
  </si>
  <si>
    <t>ｉＦｒｅｅＥＴＦ　ＮＡＳＤＡＱ１００（為替ヘッジなし）　受益証券</t>
  </si>
  <si>
    <t>iFreeETF NASDAQ100 (NON HEDGED)</t>
  </si>
  <si>
    <t>2841</t>
  </si>
  <si>
    <t>ｉＦｒｅｅＥＴＦ　ＮＡＳＤＡＱ１００（為替ヘッジあり）　受益証券</t>
  </si>
  <si>
    <t>iFreeETF NASDAQ100 (JPY HEDGED)</t>
  </si>
  <si>
    <t>2842</t>
  </si>
  <si>
    <t>ｉＦｒｅｅＥＴＦ　ＮＡＳＤＡＱ１００インバース　受益証券</t>
  </si>
  <si>
    <t>iFreeETF NASDAQ100 Inverse</t>
  </si>
  <si>
    <t>2843</t>
  </si>
  <si>
    <t>上場インデックスファンド豪州国債（為替ヘッジあり）　受益証券</t>
  </si>
  <si>
    <t>Listed Index Fund Australian Government Bond (Currency Hedge)</t>
  </si>
  <si>
    <t>2844</t>
  </si>
  <si>
    <t>上場インデックスファンド豪州国債（為替ヘッジなし）　受益証券</t>
  </si>
  <si>
    <t>Listed Index Fund Australian Government Bond (No Currency Hedge)</t>
  </si>
  <si>
    <t>2845</t>
  </si>
  <si>
    <t>ＮＥＸＴ　ＦＵＮＤＳ　ＮＡＳＤＡＱ－１００（為替ヘッジあり）連動型上場投信　受益証券</t>
  </si>
  <si>
    <t>NEXT FUNDS NASDAQ-100(R) (Yen-Hedged) Exchange Traded Fund</t>
  </si>
  <si>
    <t>2846</t>
  </si>
  <si>
    <t>ＮＥＸＴ　ＦＵＮＤＳ　ダウ・ジョーンズ工業株３０種平均株価（為替ヘッジあり）連動型上場投信　受益証券</t>
  </si>
  <si>
    <t>NEXT FUNDS DJIA (Yen-Hedged) Exchange Traded Fund</t>
  </si>
  <si>
    <t>2847</t>
  </si>
  <si>
    <t>グローバルＸ　新成長インフラ－日本株式　ＥＴＦ　受益証券</t>
  </si>
  <si>
    <t>Global X Japan New Growth Infrastructure ETF</t>
  </si>
  <si>
    <t>2848</t>
  </si>
  <si>
    <t>グローバルＸ　ＭＳＣＩ　気候変動対応－日本株式　ＥＴＦ　受益証券</t>
  </si>
  <si>
    <t>Global X MSCI Japan Climate Change ETF</t>
  </si>
  <si>
    <t>2849</t>
  </si>
  <si>
    <t>グローバルＸ　Ｍｏｒｎｉｎｇｓｔａｒ　高配当　ＥＳＧ－日本株式　ＥＴＦ　受益証券</t>
  </si>
  <si>
    <t>Global X Morningstar Japan High Dividend ESG ETF</t>
  </si>
  <si>
    <t>2851</t>
  </si>
  <si>
    <t>ｉシェアーズ　ＭＳＣＩ　ジャパンＳＲＩ　ＥＴＦ　受益証券</t>
  </si>
  <si>
    <t>iShares MSCI Japan SRI ETF</t>
  </si>
  <si>
    <t>2852</t>
  </si>
  <si>
    <t>ｉシェアーズ　グリーンＪリート　ＥＴＦ　受益証券</t>
  </si>
  <si>
    <t>iShares Japan Green REIT ETF</t>
  </si>
  <si>
    <t>2853</t>
  </si>
  <si>
    <t>ｉシェアーズ　気候リスク調整世界国債　ＥＴＦ（除く日本・為替ヘッジあり）　受益証券</t>
  </si>
  <si>
    <t>iShares Climate Risk-Adjusted Global ex Japan Government Bond JPY Hedged ETF</t>
  </si>
  <si>
    <t>2854</t>
  </si>
  <si>
    <t>グローバルＸ　テック・トップ２０－日本株式　ＥＴＦ　受益証券</t>
  </si>
  <si>
    <t>Global X Japan Tech Top 20 ETF</t>
  </si>
  <si>
    <t>2855</t>
  </si>
  <si>
    <t>グローバルＸ　グリーン・Ｊ－ＲＥＩＴ　ＥＴＦ　受益証券</t>
  </si>
  <si>
    <t>Global X Green J-REIT ETF</t>
  </si>
  <si>
    <t>2856</t>
  </si>
  <si>
    <t>ｉシェアーズ　米国債３－７年　ＥＴＦ（為替ヘッジあり）　受益証券</t>
  </si>
  <si>
    <t>iShares 3-7 Year US Treasury Bond JPY Hedged ETF</t>
  </si>
  <si>
    <t>2857</t>
  </si>
  <si>
    <t>ｉシェアーズ　ドイツ国債　ＥＴＦ（為替ヘッジあり）　受益証券</t>
  </si>
  <si>
    <t>iShares Germany Government Bond JPY Hedged ETF</t>
  </si>
  <si>
    <t>2858</t>
  </si>
  <si>
    <t>グローバルＸ　日経２２５　カバード・コール　ＥＴＦ（プレミアム再投資型）　受益証券</t>
  </si>
  <si>
    <t>Global X Nikkei 225 Covered Call ETF (option premium reinvestment type)</t>
  </si>
  <si>
    <t>2859</t>
  </si>
  <si>
    <t>ＮＥＸＴ　ＦＵＮＤＳ　ユーロ・ストックス５０指数（為替ヘッジあり）連動型上場投信　受益証券</t>
  </si>
  <si>
    <t>NEXT FUNDS EURO STOXX 50 (Yen-Hedged) Exchange Traded Fund</t>
  </si>
  <si>
    <t>2860</t>
  </si>
  <si>
    <t>ＮＥＸＴ　ＦＵＮＤＳ　ドイツ株式・ＤＡＸ（為替ヘッジあり）連動型上場投信　受益証券</t>
  </si>
  <si>
    <t>NEXT FUNDS German Equity DAX (Yen-Hedged) Exchange Traded Fund</t>
  </si>
  <si>
    <t>2861</t>
  </si>
  <si>
    <t>上場インデックスファンドフランス国債（為替ヘッジなし）　受益証券</t>
  </si>
  <si>
    <t>Listed Index Fund France Government Bond (No Currency Hedge)</t>
  </si>
  <si>
    <t>2862</t>
  </si>
  <si>
    <t>上場インデックスファンドフランス国債（為替ヘッジあり）　受益証券</t>
  </si>
  <si>
    <t>Listed Index Fund France Government Bond (Currency Hedge)</t>
  </si>
  <si>
    <t>2863</t>
  </si>
  <si>
    <t>ＮＥＸＴ　ＦＵＮＤＳ　Ｓ＆Ｐ米国株式・債券バランス保守型指数（為替ヘッジあり）連動型上場投信　受益証券</t>
  </si>
  <si>
    <t>NEXT FUNDS S&amp;P US Equity and Bond Balance Conservative Index (Yen-Hedged) Exchange Traded Fund</t>
  </si>
  <si>
    <t>2864</t>
  </si>
  <si>
    <t>グローバルＸ　ロジスティクス・ＲＥＩＴ　ＥＴＦ　受益証券</t>
  </si>
  <si>
    <t>Global X Logistics REIT ETF</t>
  </si>
  <si>
    <t>2865</t>
  </si>
  <si>
    <t>グローバルＸ　ＮＡＳＤＡＱ１００・カバード・コール　ＥＴＦ　受益証券</t>
  </si>
  <si>
    <t>Global X Nasdaq 100 Covered Call ETF</t>
  </si>
  <si>
    <t>2866</t>
  </si>
  <si>
    <t>グローバルＸ　米国優先証券　ＥＴＦ　受益証券</t>
  </si>
  <si>
    <t>Global X U.S. Preferred Security ETF</t>
  </si>
  <si>
    <t>2867</t>
  </si>
  <si>
    <t>グローバルＸ　自動運転＆ＥＶ　ＥＴＦ　受益証券</t>
  </si>
  <si>
    <t>Global X Autonomous &amp; EV ETF</t>
  </si>
  <si>
    <t>2868</t>
  </si>
  <si>
    <t>グローバルＸ　Ｓ＆Ｐ５００・カバード・コール　ＥＴＦ　受益証券</t>
  </si>
  <si>
    <t>Global X S&amp;P 500 Covered Call ETF</t>
  </si>
  <si>
    <t>2869</t>
  </si>
  <si>
    <t>ｉＦｒｅｅＥＴＦ　ＮＡＳＤＡＱ１００レバレッジ　受益証券</t>
  </si>
  <si>
    <t>iFreeETF NASDAQ100 Leveraged (2x)</t>
  </si>
  <si>
    <t>2870</t>
  </si>
  <si>
    <t>ｉＦｒｅｅＥＴＦ　ＮＡＳＤＡＱ１００ダブルインバース　受益証券</t>
  </si>
  <si>
    <t>iFreeETF NASDAQ100 Double Inverse (-2x)</t>
  </si>
  <si>
    <t>294A</t>
  </si>
  <si>
    <t>ＮＥＸＴ　ＦＵＮＤＳ　ＭＳＣＩジャパン気候変動指数（セレクト）連動型上場投信　受益証券</t>
  </si>
  <si>
    <t>NEXT FUNDS MSCI Global Climate 500 Japan Selection Index Exchange Traded Fund</t>
  </si>
  <si>
    <t>295A</t>
  </si>
  <si>
    <t>Ｏｎｅ　ＥＴＦ　ＦＴＳＥ・サウジアラビア・インデックス　受益証券</t>
  </si>
  <si>
    <t>One ETF FTSE Saudi Arabia Index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</si>
  <si>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</si>
  <si>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</si>
  <si>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</si>
  <si>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</si>
  <si>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</si>
  <si>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</si>
  <si>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</si>
  <si>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</si>
  <si>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</si>
  <si>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2989</t>
  </si>
  <si>
    <t>東海道リート投資法人　投資証券</t>
  </si>
  <si>
    <t>Tokaido REIT,Inc.</t>
  </si>
  <si>
    <t>313A</t>
  </si>
  <si>
    <t>ｉシェアーズ　Ｓ＆Ｐ　５００　トップ　２０　ＥＴＦ　受益証券</t>
  </si>
  <si>
    <t>iShares S&amp;P 500 Top 20 ETF</t>
  </si>
  <si>
    <t>314A</t>
  </si>
  <si>
    <t>ｉシェアーズ　ゴールド　ＥＴＦ　受益証券</t>
  </si>
  <si>
    <t>iShares Gold ETF</t>
  </si>
  <si>
    <t>315A</t>
  </si>
  <si>
    <t>グローバルＸ　銀行　高配当－日本株式　ＥＴＦ　受益証券</t>
  </si>
  <si>
    <t>Global X Japan Bank High Dividend ETF</t>
  </si>
  <si>
    <t>316A</t>
  </si>
  <si>
    <t>ｉＦｒｅｅＥＴＦ　ＦＡＮＧ＋　受益証券</t>
  </si>
  <si>
    <t>iFreeETF FANG+</t>
  </si>
  <si>
    <t>318A</t>
  </si>
  <si>
    <t>ＶＩＸ短期先物指数ＥＴＦ　受益証券</t>
  </si>
  <si>
    <t>SIMPLEX VIX Short-Term Futures ETF</t>
  </si>
  <si>
    <t>3226</t>
  </si>
  <si>
    <t>三井不動産アコモデーションファンド投資法人　投資証券</t>
  </si>
  <si>
    <t>Mitsui Fudosan Accommodations Fund Inc.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</si>
  <si>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</si>
  <si>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</si>
  <si>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</si>
  <si>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</si>
  <si>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</si>
  <si>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</si>
  <si>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</si>
  <si>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</si>
  <si>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</si>
  <si>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</si>
  <si>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</si>
  <si>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</si>
  <si>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</si>
  <si>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</si>
  <si>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</si>
  <si>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</si>
  <si>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</si>
  <si>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</si>
  <si>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</si>
  <si>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</si>
  <si>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</si>
  <si>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</si>
  <si>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</si>
  <si>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</si>
  <si>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328A</t>
  </si>
  <si>
    <t>グローバルＸ　プライシングパワー・リーダーズ－日本株式　ＥＴＦ　受益証券</t>
  </si>
  <si>
    <t>Global X Japan Pricing Power Leaders ETF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</si>
  <si>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</si>
  <si>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</si>
  <si>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</si>
  <si>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</si>
  <si>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</si>
  <si>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</si>
  <si>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</si>
  <si>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</si>
  <si>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</si>
  <si>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</si>
  <si>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</si>
  <si>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</si>
  <si>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</si>
  <si>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</si>
  <si>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</si>
  <si>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</si>
  <si>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</si>
  <si>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</si>
  <si>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</si>
  <si>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</si>
  <si>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</si>
  <si>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</si>
  <si>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</si>
  <si>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</si>
  <si>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345A</t>
  </si>
  <si>
    <t>高配当成長　日本株（ネットリターン）ＥＴＮ　受益証券</t>
  </si>
  <si>
    <t>High Dividend Growth Japan Equity Net Return ETN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</si>
  <si>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</si>
  <si>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</si>
  <si>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</si>
  <si>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</si>
  <si>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</si>
  <si>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</si>
  <si>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</si>
  <si>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</si>
  <si>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</si>
  <si>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</si>
  <si>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</si>
  <si>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</si>
  <si>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346A</t>
  </si>
  <si>
    <t>ＮＥＸＴ　ＦＵＮＤＳ　Ｓ＆Ｐ　５００　半導体・半導体製造装置３５％キャップ指数連動型上場投信　受益証券</t>
  </si>
  <si>
    <t>NEXT FUNDS S&amp;P 500 Semiconductors &amp; Semiconductor Equipment (Industry Group) 35% Capped Index Exchange Traded Fund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</si>
  <si>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</si>
  <si>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</si>
  <si>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</si>
  <si>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</si>
  <si>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</si>
  <si>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</si>
  <si>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</si>
  <si>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日本ホテル＆レジデンシャル投資法人　投資証券</t>
  </si>
  <si>
    <t>Nippon Hotel &amp; Residential Investment Corporation</t>
  </si>
  <si>
    <t>3476</t>
  </si>
  <si>
    <t>投資法人みらい　投資証券</t>
  </si>
  <si>
    <t>MIRAI Corporation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</si>
  <si>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</si>
  <si>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</si>
  <si>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</si>
  <si>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</si>
  <si>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</si>
  <si>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</si>
  <si>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</si>
  <si>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ザイマックス・リート投資法人　投資証券</t>
  </si>
  <si>
    <t>XYMAX REIT Investment Corporation</t>
  </si>
  <si>
    <t>348A</t>
  </si>
  <si>
    <t>ＭＡＸＩＳ読売３３３日本株上場投信　受益証券</t>
  </si>
  <si>
    <t>MAXIS Yomiuri333 Japan Stock ETF</t>
  </si>
  <si>
    <t>3492</t>
  </si>
  <si>
    <t>タカラレーベン不動産投資法人　投資証券</t>
  </si>
  <si>
    <t>Takara Leben Real Estate Investment Corporation</t>
  </si>
  <si>
    <t>349A</t>
  </si>
  <si>
    <t>ＳＭＤＡＭ　Ａｃｔｉｖｅ　ＥＴＦ　日本グロース株式　受益証券</t>
  </si>
  <si>
    <t>SMDAM Active ETF Japan Growth Equity</t>
  </si>
  <si>
    <t>354A</t>
  </si>
  <si>
    <t>ｉＦｒｅｅＥＴＦ　ブルームバーグ日本株高配当５０指数　受益証券</t>
  </si>
  <si>
    <t>iFreeETF Bloomberg Japan High Dividend 50 Index</t>
  </si>
  <si>
    <t>356A</t>
  </si>
  <si>
    <t>グローバルＸ　Ｓ＆Ｐ５００　キャッシュフロー・トップ１００　ＥＴＦ　受益証券</t>
  </si>
  <si>
    <t>Global X S&amp;P 500 Cash Flow Top 100 ETF</t>
  </si>
  <si>
    <t>360A</t>
  </si>
  <si>
    <t>東証ＲＥＩＴ　Ｃｏｒｅ　ＥＴＦ　受益証券</t>
  </si>
  <si>
    <t>TSE REIT Core ETF</t>
  </si>
  <si>
    <t>363A</t>
  </si>
  <si>
    <t>ｉＦｒｅｅＥＴＦ　英国ＦＴＳＥ１００　受益証券</t>
  </si>
  <si>
    <t>iFreeETF FTSE100</t>
  </si>
  <si>
    <t>364A</t>
  </si>
  <si>
    <t>ＮＥＸＴ　ＦＵＮＤＳ　Ｓ＆Ｐ　５００　配当貴族指数連動型上場投信　受益証券</t>
  </si>
  <si>
    <t>NEXT FUNDS S&amp;P 500 Dividend Aristocrats Index Exchange Traded Fund</t>
  </si>
  <si>
    <t>376A</t>
  </si>
  <si>
    <t>ＮＥＸＴ　ＦＵＮＤＳ　ブルームバーグ米国国債（７－１０年）インデックス（７５％為替ヘッジあり）連動型上場投信　受益証券</t>
  </si>
  <si>
    <t>NEXT FUNDS Bloomberg US Treasury Bond (7-10 year) Index (75% Yen-Hedged) Exchange Traded Fund</t>
  </si>
  <si>
    <t>379A</t>
  </si>
  <si>
    <t>グローバルＸ　Ｓ＆Ｐ５００　ＥＴＦ（ダイナミック・プロテクション）　受益証券</t>
  </si>
  <si>
    <t>Global X S&amp;P 500 ETF (Dynamic Protection)</t>
  </si>
  <si>
    <t>380A</t>
  </si>
  <si>
    <t>グローバルＸ　チャイナテック　ＥＴＦ　受益証券</t>
  </si>
  <si>
    <t>Global X China Tech ETF</t>
  </si>
  <si>
    <t>381A</t>
  </si>
  <si>
    <t>ｉＦｒｅｅＥＴＦ　米国国債３－５年（為替ヘッジなし）　受益証券</t>
  </si>
  <si>
    <t>iFreeETF US Treasury Bond 3-5 Year (NON HEDGED)</t>
  </si>
  <si>
    <t>382A</t>
  </si>
  <si>
    <t>ｉＦｒｅｅＥＴＦ　米国国債３－５年（為替ヘッジあり）　受益証券</t>
  </si>
  <si>
    <t>iFreeETF US Treasury Bond 3-5 Year (JPY HEDGED)</t>
  </si>
  <si>
    <t>383A</t>
  </si>
  <si>
    <t>ＭＡＸＩＳ　Ｓ＆Ｐ５００均等ウェイト上場投信　受益証券</t>
  </si>
  <si>
    <t>MAXIS S&amp;P500 Equal Weight ETF</t>
  </si>
  <si>
    <t>392A</t>
  </si>
  <si>
    <t>ｉシェアーズ　ＮＡＳＤＡＱ　トップ　３０　ＥＴＦ　受益証券</t>
  </si>
  <si>
    <t>iShares Nasdaq Top 30 ETF</t>
  </si>
  <si>
    <t>394A</t>
  </si>
  <si>
    <t>業界改革厳選ＥＴＦテレビ業界　受益証券</t>
  </si>
  <si>
    <t>Sector Restructuring Select ETF TV</t>
  </si>
  <si>
    <t>395A</t>
  </si>
  <si>
    <t>業界改革厳選ＥＴＦ地銀　受益証券</t>
  </si>
  <si>
    <t>Sector Restructuring Select ETF Regional Banks</t>
  </si>
  <si>
    <t>396A</t>
  </si>
  <si>
    <t>業界改革厳選ＥＴＦ　ＲＥＩＴイベント・ドリブン　受益証券</t>
  </si>
  <si>
    <t>Sector Restructuring Select ETF Event-Driven REITs</t>
  </si>
  <si>
    <t>399A</t>
  </si>
  <si>
    <t>上場インデックスファンド日経平均高配当株５０　受益証券</t>
  </si>
  <si>
    <t>Listed Index Fund Nikkei 225 High Dividend Yield Stock 50</t>
  </si>
  <si>
    <t>401A</t>
  </si>
  <si>
    <t>霞ヶ関ホテルリート投資法人　投資証券</t>
  </si>
  <si>
    <t>Kasumigaseki Hotel REIT Investment Corporation</t>
  </si>
  <si>
    <t>404A</t>
  </si>
  <si>
    <t>グローバルＸ　チャイナテック・トップ１０　ＥＴＦ　受益証券</t>
  </si>
  <si>
    <t>Global X China Tech Top 10 ETF</t>
  </si>
  <si>
    <t>408A</t>
  </si>
  <si>
    <t>ｉシェアーズ　ＡＩ　グローバル・イノベーション　アクティブ　ＥＴＦ　受益証券</t>
  </si>
  <si>
    <t>iShares A.I. Global Innovation Active ETF</t>
  </si>
  <si>
    <t>412A</t>
  </si>
  <si>
    <t>ＮＥＸＴ　ＦＵＮＤＳ　ＴＩＰ　ＦａｃｔＳｅｔ　台湾イノベイティブ・テクノロジー５０指数連動型上場投信　受益証券</t>
  </si>
  <si>
    <t>NEXT FUNDS TIP FactSet Taiwan Innovative Technology 50 Index Exchange Traded Fund</t>
  </si>
  <si>
    <t>413A</t>
  </si>
  <si>
    <t>ｉＦｒｅｅＥＴＦ　キャセイ台湾テックリーダー指数　受益証券</t>
  </si>
  <si>
    <t>iFreeETF Cathay Taiwan Tech Leader Index</t>
  </si>
  <si>
    <t>424A</t>
  </si>
  <si>
    <t>グローバルＸ　ゴールド　ＥＴＦ（為替ヘッジあり）　受益証券</t>
  </si>
  <si>
    <t>Global X Gold ETF (JPY Hedged)</t>
  </si>
  <si>
    <t>425A</t>
  </si>
  <si>
    <t>グローバルＸ　ゴールド　ＥＴＦ　受益証券</t>
  </si>
  <si>
    <t>Global X Gold ETF</t>
  </si>
  <si>
    <t>426A</t>
  </si>
  <si>
    <t>ニッセイＥＴＦ　Ｓ＆Ｐ５００イコール・ウェイト（為替ヘッジなし）　受益証券</t>
  </si>
  <si>
    <t>Nissay ETF S&amp;P500 Equal Weight (Currency Unhedged)</t>
  </si>
  <si>
    <t xml:space="preserve">新規上場  </t>
  </si>
  <si>
    <t xml:space="preserve">New Listing  </t>
  </si>
  <si>
    <t xml:space="preserve">2025/10/01  </t>
  </si>
  <si>
    <t>435A</t>
  </si>
  <si>
    <t>ｉＦｒｅｅＥＴＦ　日本株配当ローテーション戦略　受益証券</t>
  </si>
  <si>
    <t>iFreeETF Japan Equity Dividend Rotation Strategy</t>
  </si>
  <si>
    <t xml:space="preserve">2025/10/07  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</si>
  <si>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</si>
  <si>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</si>
  <si>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</si>
  <si>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</si>
  <si>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</si>
  <si>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</si>
  <si>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</si>
  <si>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日本都市ファンド投資法人　投資証券</t>
  </si>
  <si>
    <t>Japan Metropolitan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</si>
  <si>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</si>
  <si>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</si>
  <si>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</si>
  <si>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</si>
  <si>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</si>
  <si>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</si>
  <si>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</si>
  <si>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ＮＴＴ都市開発リート投資法人　投資証券</t>
  </si>
  <si>
    <t>NTT UD REIT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</si>
  <si>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</si>
  <si>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</si>
  <si>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</si>
  <si>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</si>
  <si>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</si>
  <si>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</si>
  <si>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</si>
  <si>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</si>
  <si>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</si>
  <si>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</si>
  <si>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森トラストリート投資法人　投資証券</t>
  </si>
  <si>
    <t>MORI TRUST REIT,Inc.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</si>
  <si>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</si>
  <si>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</si>
  <si>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</si>
  <si>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</si>
  <si>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</si>
  <si>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</si>
  <si>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</si>
  <si>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</si>
  <si>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</si>
  <si>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</si>
  <si>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</si>
  <si>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</si>
  <si>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</si>
  <si>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</si>
  <si>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</si>
  <si>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</si>
  <si>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ＫＤＸ不動産投資法人　投資証券</t>
  </si>
  <si>
    <t>KDX Realty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</si>
  <si>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</si>
  <si>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</si>
  <si>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</si>
  <si>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</si>
  <si>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</si>
  <si>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</si>
  <si>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</si>
  <si>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</si>
  <si>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</si>
  <si>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</si>
  <si>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</si>
  <si>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</si>
  <si>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</si>
  <si>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</si>
  <si>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</si>
  <si>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</si>
  <si>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</si>
  <si>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</si>
  <si>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</si>
  <si>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</si>
  <si>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</si>
  <si>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</si>
  <si>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</si>
  <si>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</si>
  <si>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9282</t>
  </si>
  <si>
    <t>いちごグリーンインフラ投資法人　投資証券</t>
  </si>
  <si>
    <t>Ichigo Green Infrastructure Investment Corporation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</si>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</sst>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numFmtId="0" fontId="0" fillId="0" borderId="0">
      <alignment vertical="center"/>
    </xf>
    <xf numFmtId="0" fontId="1" fillId="0" borderId="0">
      <alignment vertical="center"/>
    </xf>
    <xf numFmtId="0" fontId="8" fillId="0" borderId="0"/>
    <xf numFmtId="9" fontId="2" fillId="0" borderId="0" applyFont="0" applyFill="0" applyBorder="0" applyAlignment="0" applyProtection="0"/>
    <xf numFmtId="0" fontId="12" fillId="0" borderId="0"/>
    <xf numFmtId="0" fontId="8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7" fillId="0" borderId="0">
      <alignment horizontal="center" wrapText="1"/>
      <protection locked="0"/>
    </xf>
    <xf numFmtId="0" fontId="18" fillId="0" borderId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176" fontId="13" fillId="0" borderId="0" applyFill="0" applyBorder="0" applyAlignment="0"/>
    <xf numFmtId="177" fontId="7" fillId="0" borderId="0" applyFill="0" applyBorder="0" applyAlignment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2" fillId="21" borderId="28" applyNumberFormat="0" applyAlignment="0" applyProtection="0"/>
    <xf numFmtId="0" fontId="23" fillId="0" borderId="0">
      <alignment vertical="top" wrapText="1"/>
    </xf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5" fillId="0" borderId="0">
      <alignment horizontal="left"/>
    </xf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38" fontId="28" fillId="22" borderId="0" applyNumberFormat="0" applyBorder="0" applyAlignment="0" applyProtection="0"/>
    <xf numFmtId="0" fontId="29" fillId="23" borderId="0"/>
    <xf numFmtId="0" fontId="30" fillId="0" borderId="29" applyNumberFormat="0" applyAlignment="0" applyProtection="0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1" fillId="0" borderId="30" applyNumberFormat="0" applyFill="0" applyAlignment="0" applyProtection="0"/>
    <xf numFmtId="0" fontId="32" fillId="0" borderId="31" applyNumberFormat="0" applyFill="0" applyAlignment="0" applyProtection="0"/>
    <xf numFmtId="0" fontId="33" fillId="0" borderId="32" applyNumberFormat="0" applyFill="0" applyAlignment="0" applyProtection="0"/>
    <xf numFmtId="0" fontId="33" fillId="0" borderId="0" applyNumberFormat="0" applyFill="0" applyBorder="0" applyAlignment="0" applyProtection="0"/>
    <xf numFmtId="0" fontId="7" fillId="0" borderId="0" applyBorder="0"/>
    <xf numFmtId="0" fontId="34" fillId="7" borderId="27" applyNumberFormat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7" fillId="0" borderId="0"/>
    <xf numFmtId="0" fontId="35" fillId="0" borderId="33" applyNumberFormat="0" applyFill="0" applyAlignment="0" applyProtection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25" borderId="0" applyNumberFormat="0" applyBorder="0" applyAlignment="0" applyProtection="0"/>
    <xf numFmtId="37" fontId="38" fillId="0" borderId="0"/>
    <xf numFmtId="182" fontId="39" fillId="0" borderId="0"/>
    <xf numFmtId="183" fontId="7" fillId="0" borderId="0"/>
    <xf numFmtId="183" fontId="7" fillId="0" borderId="0"/>
    <xf numFmtId="182" fontId="39" fillId="0" borderId="0"/>
    <xf numFmtId="0" fontId="24" fillId="0" borderId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14" fontId="17" fillId="0" borderId="0">
      <alignment horizontal="center" wrapText="1"/>
      <protection locked="0"/>
    </xf>
    <xf numFmtId="10" fontId="24" fillId="0" borderId="0" applyFont="0" applyFill="0" applyBorder="0" applyAlignment="0" applyProtection="0"/>
    <xf numFmtId="4" fontId="25" fillId="0" borderId="0">
      <alignment horizontal="right"/>
    </xf>
    <xf numFmtId="0" fontId="41" fillId="0" borderId="0" applyNumberFormat="0" applyFont="0" applyFill="0" applyBorder="0" applyAlignment="0" applyProtection="0">
      <alignment horizontal="left"/>
    </xf>
    <xf numFmtId="0" fontId="42" fillId="0" borderId="36">
      <alignment horizontal="center"/>
    </xf>
    <xf numFmtId="0" fontId="43" fillId="0" borderId="0" applyNumberFormat="0" applyFont="0" applyFill="0" applyBorder="0" applyAlignment="0"/>
    <xf numFmtId="4" fontId="44" fillId="0" borderId="0">
      <alignment horizontal="right"/>
    </xf>
    <xf numFmtId="0" fontId="45" fillId="0" borderId="0">
      <alignment horizontal="left"/>
    </xf>
    <xf numFmtId="0" fontId="46" fillId="0" borderId="0"/>
    <xf numFmtId="0" fontId="47" fillId="0" borderId="0">
      <alignment horizontal="center"/>
    </xf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9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3" fillId="0" borderId="0"/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64" fillId="0" borderId="0" applyFont="0" applyFill="0" applyBorder="0" applyAlignment="0" applyProtection="0">
      <alignment vertical="center"/>
    </xf>
    <xf numFmtId="38" fontId="65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65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84" fontId="24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/>
    <xf numFmtId="49" fontId="71" fillId="27" borderId="17" applyNumberFormat="0" applyFill="0" applyBorder="0" applyProtection="0"/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185" fontId="59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6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8" fillId="0" borderId="0" applyFont="0" applyFill="0" applyBorder="0" applyAlignment="0" applyProtection="0"/>
    <xf numFmtId="6" fontId="66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/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4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2" fillId="0" borderId="0"/>
    <xf numFmtId="0" fontId="64" fillId="0" borderId="0">
      <alignment vertical="center"/>
    </xf>
    <xf numFmtId="0" fontId="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79" fillId="0" borderId="0">
      <alignment vertical="center"/>
    </xf>
    <xf numFmtId="0" fontId="66" fillId="0" borderId="0">
      <alignment vertical="center"/>
    </xf>
    <xf numFmtId="0" fontId="8" fillId="0" borderId="0"/>
    <xf numFmtId="0" fontId="8" fillId="0" borderId="0"/>
    <xf numFmtId="0" fontId="8" fillId="0" borderId="0"/>
    <xf numFmtId="0" fontId="8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/>
    <xf numFmtId="0" fontId="66" fillId="0" borderId="0"/>
    <xf numFmtId="0" fontId="66" fillId="0" borderId="0">
      <alignment vertical="center"/>
    </xf>
    <xf numFmtId="0" fontId="81" fillId="0" borderId="0">
      <alignment vertical="center"/>
    </xf>
    <xf numFmtId="0" fontId="66" fillId="0" borderId="0"/>
    <xf numFmtId="0" fontId="81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/>
    <xf numFmtId="0" fontId="82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2" fillId="0" borderId="0"/>
    <xf numFmtId="0" fontId="64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7" fillId="0" borderId="0">
      <alignment vertical="center"/>
    </xf>
    <xf numFmtId="0" fontId="83" fillId="0" borderId="0"/>
    <xf numFmtId="0" fontId="66" fillId="0" borderId="0"/>
    <xf numFmtId="0" fontId="7" fillId="0" borderId="0">
      <alignment vertical="center"/>
    </xf>
    <xf numFmtId="0" fontId="66" fillId="0" borderId="0">
      <alignment vertical="center"/>
    </xf>
    <xf numFmtId="0" fontId="66" fillId="0" borderId="0"/>
    <xf numFmtId="0" fontId="8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7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2" fillId="0" borderId="0"/>
    <xf numFmtId="0" fontId="79" fillId="0" borderId="0">
      <alignment vertical="center"/>
    </xf>
    <xf numFmtId="0" fontId="2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8" fillId="0" borderId="0"/>
    <xf numFmtId="0" fontId="8" fillId="0" borderId="0"/>
    <xf numFmtId="0" fontId="14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66" fillId="0" borderId="0"/>
    <xf numFmtId="0" fontId="66" fillId="0" borderId="0"/>
    <xf numFmtId="0" fontId="8" fillId="0" borderId="0"/>
    <xf numFmtId="0" fontId="8" fillId="0" borderId="0">
      <alignment vertical="center"/>
    </xf>
    <xf numFmtId="0" fontId="64" fillId="0" borderId="0">
      <alignment vertical="center"/>
    </xf>
    <xf numFmtId="0" fontId="83" fillId="0" borderId="0"/>
    <xf numFmtId="0" fontId="64" fillId="0" borderId="0">
      <alignment vertical="center"/>
    </xf>
    <xf numFmtId="0" fontId="8" fillId="0" borderId="0"/>
    <xf numFmtId="0" fontId="8" fillId="0" borderId="0">
      <alignment vertical="center"/>
    </xf>
    <xf numFmtId="0" fontId="83" fillId="0" borderId="0"/>
    <xf numFmtId="0" fontId="8" fillId="0" borderId="0"/>
    <xf numFmtId="0" fontId="8" fillId="0" borderId="0"/>
    <xf numFmtId="0" fontId="83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3" fillId="0" borderId="0"/>
    <xf numFmtId="0" fontId="83" fillId="0" borderId="0"/>
    <xf numFmtId="0" fontId="8" fillId="0" borderId="0"/>
    <xf numFmtId="0" fontId="83" fillId="0" borderId="0"/>
    <xf numFmtId="0" fontId="14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4" fillId="0" borderId="0">
      <alignment vertical="center"/>
    </xf>
    <xf numFmtId="0" fontId="8" fillId="0" borderId="0"/>
    <xf numFmtId="0" fontId="8" fillId="0" borderId="0"/>
    <xf numFmtId="0" fontId="66" fillId="0" borderId="0"/>
    <xf numFmtId="0" fontId="66" fillId="0" borderId="0"/>
    <xf numFmtId="0" fontId="8" fillId="0" borderId="0"/>
    <xf numFmtId="0" fontId="8" fillId="0" borderId="0"/>
    <xf numFmtId="0" fontId="7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64" fillId="0" borderId="0"/>
    <xf numFmtId="0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1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7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2" fillId="0" borderId="0">
      <alignment vertical="center"/>
    </xf>
    <xf numFmtId="0" fontId="8" fillId="0" borderId="0"/>
    <xf numFmtId="0" fontId="8" fillId="0" borderId="0">
      <alignment vertical="center"/>
    </xf>
    <xf numFmtId="0" fontId="8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8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2" fillId="0" borderId="0"/>
    <xf numFmtId="0" fontId="87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8" fillId="0" borderId="0"/>
    <xf numFmtId="0" fontId="89" fillId="0" borderId="0"/>
    <xf numFmtId="0" fontId="53" fillId="0" borderId="0"/>
    <xf numFmtId="49" fontId="77" fillId="0" borderId="0" applyFill="0" applyBorder="0"/>
    <xf numFmtId="188" fontId="90" fillId="0" borderId="0"/>
    <xf numFmtId="0" fontId="91" fillId="0" borderId="0"/>
    <xf numFmtId="0" fontId="92" fillId="0" borderId="0"/>
    <xf numFmtId="0" fontId="91" fillId="0" borderId="0"/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8" fillId="0" borderId="0"/>
  </cellStyleXfs>
  <cellXfs count="47">
    <xf numFmtId="0" fontId="0" fillId="0" borderId="0" xfId="0">
      <alignment vertical="center"/>
    </xf>
    <xf numFmtId="0" fontId="4" fillId="0" borderId="0" xfId="1" applyFont="1">
      <alignment vertical="center"/>
    </xf>
    <xf numFmtId="0" fontId="9" fillId="0" borderId="0" xfId="1" applyFont="1">
      <alignment vertical="center"/>
    </xf>
    <xf numFmtId="0" fontId="4" fillId="0" borderId="0" xfId="1" applyNumberFormat="1" applyFont="1">
      <alignment vertical="center"/>
    </xf>
    <xf numFmtId="0" fontId="2" fillId="0" borderId="1" xfId="1" applyFont="1" applyFill="1" applyBorder="1">
      <alignment vertical="center"/>
    </xf>
    <xf numFmtId="0" fontId="2" fillId="0" borderId="2" xfId="1" applyFont="1" applyFill="1" applyBorder="1">
      <alignment vertical="center"/>
    </xf>
    <xf numFmtId="0" fontId="2" fillId="0" borderId="2" xfId="1" applyNumberFormat="1" applyFont="1" applyFill="1" applyBorder="1">
      <alignment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0" fontId="7" fillId="0" borderId="10" xfId="1" applyNumberFormat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49" fontId="7" fillId="0" borderId="9" xfId="2" applyNumberFormat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4" xfId="1" applyNumberFormat="1" applyFont="1" applyFill="1" applyBorder="1" applyAlignment="1">
      <alignment horizontal="center" vertical="center"/>
    </xf>
    <xf numFmtId="0" fontId="2" fillId="0" borderId="14" xfId="1" applyNumberFormat="1" applyFont="1" applyFill="1" applyBorder="1" applyAlignment="1">
      <alignment horizontal="center" vertical="center"/>
    </xf>
    <xf numFmtId="49" fontId="2" fillId="0" borderId="15" xfId="2" applyNumberFormat="1" applyFont="1" applyFill="1" applyBorder="1" applyAlignment="1">
      <alignment horizontal="center" vertical="center"/>
    </xf>
    <xf numFmtId="49" fontId="7" fillId="0" borderId="13" xfId="2" applyNumberFormat="1" applyFont="1" applyFill="1" applyBorder="1" applyAlignment="1">
      <alignment horizontal="center" vertical="center"/>
    </xf>
    <xf numFmtId="49" fontId="2" fillId="0" borderId="16" xfId="2" applyNumberFormat="1" applyFont="1" applyFill="1" applyBorder="1" applyAlignment="1">
      <alignment horizontal="center" vertical="center"/>
    </xf>
    <xf numFmtId="49" fontId="2" fillId="0" borderId="13" xfId="2" applyNumberFormat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right" vertical="center"/>
    </xf>
    <xf numFmtId="0" fontId="2" fillId="0" borderId="6" xfId="1" applyNumberFormat="1" applyFont="1" applyFill="1" applyBorder="1" applyAlignment="1">
      <alignment horizontal="right" vertical="center"/>
    </xf>
    <xf numFmtId="0" fontId="2" fillId="0" borderId="18" xfId="1" applyNumberFormat="1" applyFont="1" applyFill="1" applyBorder="1" applyAlignment="1">
      <alignment horizontal="right" vertical="center"/>
    </xf>
    <xf numFmtId="0" fontId="2" fillId="0" borderId="19" xfId="1" applyNumberFormat="1" applyFont="1" applyFill="1" applyBorder="1" applyAlignment="1">
      <alignment horizontal="right" vertical="center"/>
    </xf>
    <xf numFmtId="49" fontId="11" fillId="0" borderId="17" xfId="2" applyNumberFormat="1" applyFont="1" applyFill="1" applyBorder="1" applyAlignment="1">
      <alignment horizontal="right"/>
    </xf>
    <xf numFmtId="49" fontId="11" fillId="0" borderId="20" xfId="2" applyNumberFormat="1" applyFont="1" applyFill="1" applyBorder="1" applyAlignment="1">
      <alignment horizontal="right"/>
    </xf>
    <xf numFmtId="49" fontId="11" fillId="0" borderId="19" xfId="2" applyNumberFormat="1" applyFont="1" applyFill="1" applyBorder="1" applyAlignment="1">
      <alignment horizontal="right"/>
    </xf>
    <xf numFmtId="49" fontId="7" fillId="0" borderId="21" xfId="1" applyNumberFormat="1" applyFont="1" applyFill="1" applyBorder="1" applyAlignment="1">
      <alignment horizontal="left" vertical="center"/>
    </xf>
    <xf numFmtId="49" fontId="7" fillId="0" borderId="22" xfId="1" applyNumberFormat="1" applyFont="1" applyFill="1" applyBorder="1" applyAlignment="1">
      <alignment horizontal="left" vertical="center"/>
    </xf>
    <xf numFmtId="49" fontId="7" fillId="0" borderId="23" xfId="1" applyNumberFormat="1" applyFont="1" applyFill="1" applyBorder="1" applyAlignment="1">
      <alignment horizontal="left" vertical="center"/>
    </xf>
    <xf numFmtId="49" fontId="7" fillId="0" borderId="24" xfId="1" applyNumberFormat="1" applyFont="1" applyFill="1" applyBorder="1" applyAlignment="1">
      <alignment horizontal="left" vertical="center"/>
    </xf>
    <xf numFmtId="49" fontId="7" fillId="0" borderId="21" xfId="2" applyNumberFormat="1" applyFont="1" applyFill="1" applyBorder="1" applyAlignment="1">
      <alignment horizontal="left"/>
    </xf>
    <xf numFmtId="3" fontId="7" fillId="0" borderId="21" xfId="2" applyNumberFormat="1" applyFont="1" applyFill="1" applyBorder="1" applyAlignment="1">
      <alignment horizontal="right"/>
    </xf>
    <xf numFmtId="4" fontId="7" fillId="0" borderId="25" xfId="2" applyNumberFormat="1" applyFont="1" applyFill="1" applyBorder="1" applyAlignment="1">
      <alignment horizontal="right"/>
    </xf>
    <xf numFmtId="49" fontId="7" fillId="0" borderId="24" xfId="2" applyNumberFormat="1" applyFont="1" applyFill="1" applyBorder="1" applyAlignment="1">
      <alignment horizontal="right"/>
    </xf>
    <xf numFmtId="4" fontId="7" fillId="0" borderId="21" xfId="2" applyNumberFormat="1" applyFont="1" applyFill="1" applyBorder="1" applyAlignment="1">
      <alignment horizontal="right"/>
    </xf>
    <xf numFmtId="189" fontId="7" fillId="0" borderId="21" xfId="2" applyNumberFormat="1" applyFont="1" applyFill="1" applyBorder="1" applyAlignment="1">
      <alignment horizontal="right"/>
    </xf>
    <xf numFmtId="0" fontId="2" fillId="0" borderId="2" xfId="1" applyFont="1" applyFill="1" applyBorder="1" applyAlignment="1">
      <alignment horizontal="left" vertical="top" wrapText="1"/>
    </xf>
    <xf numFmtId="0" fontId="2" fillId="0" borderId="3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left" vertical="top" wrapText="1"/>
    </xf>
    <xf numFmtId="0" fontId="2" fillId="0" borderId="5" xfId="1" applyFont="1" applyFill="1" applyBorder="1" applyAlignment="1">
      <alignment horizontal="left" vertical="top" wrapText="1"/>
    </xf>
    <xf numFmtId="0" fontId="2" fillId="0" borderId="7" xfId="1" applyFont="1" applyFill="1" applyBorder="1" applyAlignment="1">
      <alignment horizontal="left" vertical="top" wrapText="1"/>
    </xf>
    <xf numFmtId="0" fontId="2" fillId="0" borderId="8" xfId="1" applyFont="1" applyFill="1" applyBorder="1" applyAlignment="1">
      <alignment horizontal="left" vertical="top" wrapText="1"/>
    </xf>
    <xf numFmtId="0" fontId="5" fillId="0" borderId="4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name="標準" xfId="0" builtin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73"/>
  <sheetViews>
    <sheetView showGridLines="0" tabSelected="1" view="pageBreakPreview" zoomScaleNormal="7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r="1" spans="1:24" ht="13.5" customHeight="1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r="2" spans="1:24" ht="99" customHeight="1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r="3" spans="1:24" ht="39" customHeight="1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r="4" spans="1:24" s="2" customFormat="1" ht="13.5" customHeight="1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r="7" spans="1:24" s="2" customFormat="1" ht="13.5" customHeight="1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3301</f>
        <v>3301.0</v>
      </c>
      <c r="L7" s="34" t="s">
        <v>48</v>
      </c>
      <c r="M7" s="33" t="n">
        <f>3545</f>
        <v>3545.0</v>
      </c>
      <c r="N7" s="34" t="s">
        <v>49</v>
      </c>
      <c r="O7" s="33" t="n">
        <f>3254</f>
        <v>3254.0</v>
      </c>
      <c r="P7" s="34" t="s">
        <v>50</v>
      </c>
      <c r="Q7" s="33" t="n">
        <f>3530</f>
        <v>3530.0</v>
      </c>
      <c r="R7" s="34" t="s">
        <v>49</v>
      </c>
      <c r="S7" s="35" t="n">
        <f>3416.95</f>
        <v>3416.95</v>
      </c>
      <c r="T7" s="32" t="n">
        <f>51103050</f>
        <v>5.110305E7</v>
      </c>
      <c r="U7" s="32" t="n">
        <f>46612920</f>
        <v>4.661292E7</v>
      </c>
      <c r="V7" s="32" t="n">
        <f>170567186854</f>
        <v>1.70567186854E11</v>
      </c>
      <c r="W7" s="32" t="n">
        <f>155297174374</f>
        <v>1.55297174374E11</v>
      </c>
      <c r="X7" s="36" t="n">
        <f>22</f>
        <v>22.0</v>
      </c>
    </row>
    <row r="8">
      <c r="A8" s="27" t="s">
        <v>42</v>
      </c>
      <c r="B8" s="27" t="s">
        <v>51</v>
      </c>
      <c r="C8" s="27" t="s">
        <v>52</v>
      </c>
      <c r="D8" s="27" t="s">
        <v>53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3268</f>
        <v>3268.0</v>
      </c>
      <c r="L8" s="34" t="s">
        <v>48</v>
      </c>
      <c r="M8" s="33" t="n">
        <f>3510</f>
        <v>3510.0</v>
      </c>
      <c r="N8" s="34" t="s">
        <v>49</v>
      </c>
      <c r="O8" s="33" t="n">
        <f>3220</f>
        <v>3220.0</v>
      </c>
      <c r="P8" s="34" t="s">
        <v>50</v>
      </c>
      <c r="Q8" s="33" t="n">
        <f>3492</f>
        <v>3492.0</v>
      </c>
      <c r="R8" s="34" t="s">
        <v>49</v>
      </c>
      <c r="S8" s="35" t="n">
        <f>3380.86</f>
        <v>3380.86</v>
      </c>
      <c r="T8" s="32" t="n">
        <f>62690500</f>
        <v>6.26905E7</v>
      </c>
      <c r="U8" s="32" t="n">
        <f>23283310</f>
        <v>2.328331E7</v>
      </c>
      <c r="V8" s="32" t="n">
        <f>211396798355</f>
        <v>2.11396798355E11</v>
      </c>
      <c r="W8" s="32" t="n">
        <f>78129470255</f>
        <v>7.8129470255E10</v>
      </c>
      <c r="X8" s="36" t="n">
        <f>22</f>
        <v>22.0</v>
      </c>
    </row>
    <row r="9">
      <c r="A9" s="27" t="s">
        <v>42</v>
      </c>
      <c r="B9" s="27" t="s">
        <v>54</v>
      </c>
      <c r="C9" s="27" t="s">
        <v>55</v>
      </c>
      <c r="D9" s="27" t="s">
        <v>56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1.0</v>
      </c>
      <c r="K9" s="33" t="n">
        <f>3229</f>
        <v>3229.0</v>
      </c>
      <c r="L9" s="34" t="s">
        <v>48</v>
      </c>
      <c r="M9" s="33" t="n">
        <f>3469</f>
        <v>3469.0</v>
      </c>
      <c r="N9" s="34" t="s">
        <v>49</v>
      </c>
      <c r="O9" s="33" t="n">
        <f>3183</f>
        <v>3183.0</v>
      </c>
      <c r="P9" s="34" t="s">
        <v>50</v>
      </c>
      <c r="Q9" s="33" t="n">
        <f>3452</f>
        <v>3452.0</v>
      </c>
      <c r="R9" s="34" t="s">
        <v>49</v>
      </c>
      <c r="S9" s="35" t="n">
        <f>3341.14</f>
        <v>3341.14</v>
      </c>
      <c r="T9" s="32" t="n">
        <f>44977579</f>
        <v>4.4977579E7</v>
      </c>
      <c r="U9" s="32" t="n">
        <f>39855905</f>
        <v>3.9855905E7</v>
      </c>
      <c r="V9" s="32" t="n">
        <f>146061376975</f>
        <v>1.46061376975E11</v>
      </c>
      <c r="W9" s="32" t="n">
        <f>129050716973</f>
        <v>1.29050716973E11</v>
      </c>
      <c r="X9" s="36" t="n">
        <f>22</f>
        <v>22.0</v>
      </c>
    </row>
    <row r="10">
      <c r="A10" s="27" t="s">
        <v>42</v>
      </c>
      <c r="B10" s="27" t="s">
        <v>57</v>
      </c>
      <c r="C10" s="27" t="s">
        <v>58</v>
      </c>
      <c r="D10" s="27" t="s">
        <v>59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53810</f>
        <v>53810.0</v>
      </c>
      <c r="L10" s="34" t="s">
        <v>48</v>
      </c>
      <c r="M10" s="33" t="n">
        <f>54480</f>
        <v>54480.0</v>
      </c>
      <c r="N10" s="34" t="s">
        <v>60</v>
      </c>
      <c r="O10" s="33" t="n">
        <f>50310</f>
        <v>50310.0</v>
      </c>
      <c r="P10" s="34" t="s">
        <v>61</v>
      </c>
      <c r="Q10" s="33" t="n">
        <f>52380</f>
        <v>52380.0</v>
      </c>
      <c r="R10" s="34" t="s">
        <v>49</v>
      </c>
      <c r="S10" s="35" t="n">
        <f>51601.36</f>
        <v>51601.36</v>
      </c>
      <c r="T10" s="32" t="n">
        <f>5085</f>
        <v>5085.0</v>
      </c>
      <c r="U10" s="32" t="str">
        <f>"－"</f>
        <v>－</v>
      </c>
      <c r="V10" s="32" t="n">
        <f>263995230</f>
        <v>2.6399523E8</v>
      </c>
      <c r="W10" s="32" t="str">
        <f>"－"</f>
        <v>－</v>
      </c>
      <c r="X10" s="36" t="n">
        <f>22</f>
        <v>22.0</v>
      </c>
    </row>
    <row r="11">
      <c r="A11" s="27" t="s">
        <v>42</v>
      </c>
      <c r="B11" s="27" t="s">
        <v>62</v>
      </c>
      <c r="C11" s="27" t="s">
        <v>63</v>
      </c>
      <c r="D11" s="27" t="s">
        <v>64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1.0</v>
      </c>
      <c r="K11" s="33" t="n">
        <f>1634</f>
        <v>1634.0</v>
      </c>
      <c r="L11" s="34" t="s">
        <v>48</v>
      </c>
      <c r="M11" s="33" t="n">
        <f>1813</f>
        <v>1813.0</v>
      </c>
      <c r="N11" s="34" t="s">
        <v>49</v>
      </c>
      <c r="O11" s="33" t="n">
        <f>1622</f>
        <v>1622.0</v>
      </c>
      <c r="P11" s="34" t="s">
        <v>48</v>
      </c>
      <c r="Q11" s="33" t="n">
        <f>1801</f>
        <v>1801.0</v>
      </c>
      <c r="R11" s="34" t="s">
        <v>49</v>
      </c>
      <c r="S11" s="35" t="n">
        <f>1726.5</f>
        <v>1726.5</v>
      </c>
      <c r="T11" s="32" t="n">
        <f>584912</f>
        <v>584912.0</v>
      </c>
      <c r="U11" s="32" t="n">
        <f>90860</f>
        <v>90860.0</v>
      </c>
      <c r="V11" s="32" t="n">
        <f>1009565487</f>
        <v>1.009565487E9</v>
      </c>
      <c r="W11" s="32" t="n">
        <f>158460815</f>
        <v>1.58460815E8</v>
      </c>
      <c r="X11" s="36" t="n">
        <f>22</f>
        <v>22.0</v>
      </c>
    </row>
    <row r="12">
      <c r="A12" s="27" t="s">
        <v>42</v>
      </c>
      <c r="B12" s="27" t="s">
        <v>65</v>
      </c>
      <c r="C12" s="27" t="s">
        <v>66</v>
      </c>
      <c r="D12" s="27" t="s">
        <v>67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1000.0</v>
      </c>
      <c r="K12" s="33" t="n">
        <f>600.5</f>
        <v>600.5</v>
      </c>
      <c r="L12" s="34" t="s">
        <v>50</v>
      </c>
      <c r="M12" s="33" t="n">
        <f>647.1</f>
        <v>647.1</v>
      </c>
      <c r="N12" s="34" t="s">
        <v>68</v>
      </c>
      <c r="O12" s="33" t="n">
        <f>594.2</f>
        <v>594.2</v>
      </c>
      <c r="P12" s="34" t="s">
        <v>69</v>
      </c>
      <c r="Q12" s="33" t="n">
        <f>642.1</f>
        <v>642.1</v>
      </c>
      <c r="R12" s="34" t="s">
        <v>49</v>
      </c>
      <c r="S12" s="35" t="n">
        <f>626.4</f>
        <v>626.4</v>
      </c>
      <c r="T12" s="32" t="n">
        <f>121000</f>
        <v>121000.0</v>
      </c>
      <c r="U12" s="32" t="n">
        <f>2000</f>
        <v>2000.0</v>
      </c>
      <c r="V12" s="32" t="n">
        <f>76023000</f>
        <v>7.6023E7</v>
      </c>
      <c r="W12" s="32" t="n">
        <f>1218600</f>
        <v>1218600.0</v>
      </c>
      <c r="X12" s="36" t="n">
        <f>20</f>
        <v>20.0</v>
      </c>
    </row>
    <row r="13">
      <c r="A13" s="27" t="s">
        <v>42</v>
      </c>
      <c r="B13" s="27" t="s">
        <v>70</v>
      </c>
      <c r="C13" s="27" t="s">
        <v>71</v>
      </c>
      <c r="D13" s="27" t="s">
        <v>72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1.0</v>
      </c>
      <c r="K13" s="33" t="n">
        <f>46320</f>
        <v>46320.0</v>
      </c>
      <c r="L13" s="34" t="s">
        <v>48</v>
      </c>
      <c r="M13" s="33" t="n">
        <f>54190</f>
        <v>54190.0</v>
      </c>
      <c r="N13" s="34" t="s">
        <v>49</v>
      </c>
      <c r="O13" s="33" t="n">
        <f>45880</f>
        <v>45880.0</v>
      </c>
      <c r="P13" s="34" t="s">
        <v>48</v>
      </c>
      <c r="Q13" s="33" t="n">
        <f>54190</f>
        <v>54190.0</v>
      </c>
      <c r="R13" s="34" t="s">
        <v>49</v>
      </c>
      <c r="S13" s="35" t="n">
        <f>50175.45</f>
        <v>50175.45</v>
      </c>
      <c r="T13" s="32" t="n">
        <f>2483532</f>
        <v>2483532.0</v>
      </c>
      <c r="U13" s="32" t="n">
        <f>1378720</f>
        <v>1378720.0</v>
      </c>
      <c r="V13" s="32" t="n">
        <f>122267025534</f>
        <v>1.22267025534E11</v>
      </c>
      <c r="W13" s="32" t="n">
        <f>66728097914</f>
        <v>6.6728097914E10</v>
      </c>
      <c r="X13" s="36" t="n">
        <f>22</f>
        <v>22.0</v>
      </c>
    </row>
    <row r="14">
      <c r="A14" s="27" t="s">
        <v>42</v>
      </c>
      <c r="B14" s="27" t="s">
        <v>73</v>
      </c>
      <c r="C14" s="27" t="s">
        <v>74</v>
      </c>
      <c r="D14" s="27" t="s">
        <v>75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1.0</v>
      </c>
      <c r="K14" s="33" t="n">
        <f>46470</f>
        <v>46470.0</v>
      </c>
      <c r="L14" s="34" t="s">
        <v>48</v>
      </c>
      <c r="M14" s="33" t="n">
        <f>54390</f>
        <v>54390.0</v>
      </c>
      <c r="N14" s="34" t="s">
        <v>49</v>
      </c>
      <c r="O14" s="33" t="n">
        <f>46040</f>
        <v>46040.0</v>
      </c>
      <c r="P14" s="34" t="s">
        <v>48</v>
      </c>
      <c r="Q14" s="33" t="n">
        <f>54390</f>
        <v>54390.0</v>
      </c>
      <c r="R14" s="34" t="s">
        <v>49</v>
      </c>
      <c r="S14" s="35" t="n">
        <f>50354.09</f>
        <v>50354.09</v>
      </c>
      <c r="T14" s="32" t="n">
        <f>10005024</f>
        <v>1.0005024E7</v>
      </c>
      <c r="U14" s="32" t="n">
        <f>2157735</f>
        <v>2157735.0</v>
      </c>
      <c r="V14" s="32" t="n">
        <f>502714816099</f>
        <v>5.02714816099E11</v>
      </c>
      <c r="W14" s="32" t="n">
        <f>105037098719</f>
        <v>1.05037098719E11</v>
      </c>
      <c r="X14" s="36" t="n">
        <f>22</f>
        <v>22.0</v>
      </c>
    </row>
    <row r="15">
      <c r="A15" s="27" t="s">
        <v>42</v>
      </c>
      <c r="B15" s="27" t="s">
        <v>76</v>
      </c>
      <c r="C15" s="27" t="s">
        <v>77</v>
      </c>
      <c r="D15" s="27" t="s">
        <v>78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1.0</v>
      </c>
      <c r="K15" s="33" t="n">
        <f>10965</f>
        <v>10965.0</v>
      </c>
      <c r="L15" s="34" t="s">
        <v>48</v>
      </c>
      <c r="M15" s="33" t="n">
        <f>10980</f>
        <v>10980.0</v>
      </c>
      <c r="N15" s="34" t="s">
        <v>79</v>
      </c>
      <c r="O15" s="33" t="n">
        <f>10045</f>
        <v>10045.0</v>
      </c>
      <c r="P15" s="34" t="s">
        <v>80</v>
      </c>
      <c r="Q15" s="33" t="n">
        <f>10720</f>
        <v>10720.0</v>
      </c>
      <c r="R15" s="34" t="s">
        <v>49</v>
      </c>
      <c r="S15" s="35" t="n">
        <f>10547.05</f>
        <v>10547.05</v>
      </c>
      <c r="T15" s="32" t="n">
        <f>27115</f>
        <v>27115.0</v>
      </c>
      <c r="U15" s="32" t="n">
        <f>7633</f>
        <v>7633.0</v>
      </c>
      <c r="V15" s="32" t="n">
        <f>285890599</f>
        <v>2.85890599E8</v>
      </c>
      <c r="W15" s="32" t="n">
        <f>79482924</f>
        <v>7.9482924E7</v>
      </c>
      <c r="X15" s="36" t="n">
        <f>22</f>
        <v>22.0</v>
      </c>
    </row>
    <row r="16">
      <c r="A16" s="27" t="s">
        <v>42</v>
      </c>
      <c r="B16" s="27" t="s">
        <v>81</v>
      </c>
      <c r="C16" s="27" t="s">
        <v>82</v>
      </c>
      <c r="D16" s="27" t="s">
        <v>83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10.0</v>
      </c>
      <c r="K16" s="33" t="n">
        <f>226.2</f>
        <v>226.2</v>
      </c>
      <c r="L16" s="34" t="s">
        <v>48</v>
      </c>
      <c r="M16" s="33" t="n">
        <f>235.8</f>
        <v>235.8</v>
      </c>
      <c r="N16" s="34" t="s">
        <v>79</v>
      </c>
      <c r="O16" s="33" t="n">
        <f>216.4</f>
        <v>216.4</v>
      </c>
      <c r="P16" s="34" t="s">
        <v>61</v>
      </c>
      <c r="Q16" s="33" t="n">
        <f>235.3</f>
        <v>235.3</v>
      </c>
      <c r="R16" s="34" t="s">
        <v>49</v>
      </c>
      <c r="S16" s="35" t="n">
        <f>226.02</f>
        <v>226.02</v>
      </c>
      <c r="T16" s="32" t="n">
        <f>667860</f>
        <v>667860.0</v>
      </c>
      <c r="U16" s="32" t="n">
        <f>13720</f>
        <v>13720.0</v>
      </c>
      <c r="V16" s="32" t="n">
        <f>151101696</f>
        <v>1.51101696E8</v>
      </c>
      <c r="W16" s="32" t="n">
        <f>3075815</f>
        <v>3075815.0</v>
      </c>
      <c r="X16" s="36" t="n">
        <f>22</f>
        <v>22.0</v>
      </c>
    </row>
    <row r="17">
      <c r="A17" s="27" t="s">
        <v>42</v>
      </c>
      <c r="B17" s="27" t="s">
        <v>84</v>
      </c>
      <c r="C17" s="27" t="s">
        <v>85</v>
      </c>
      <c r="D17" s="27" t="s">
        <v>86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1.0</v>
      </c>
      <c r="K17" s="33" t="n">
        <f>52750</f>
        <v>52750.0</v>
      </c>
      <c r="L17" s="34" t="s">
        <v>48</v>
      </c>
      <c r="M17" s="33" t="n">
        <f>60630</f>
        <v>60630.0</v>
      </c>
      <c r="N17" s="34" t="s">
        <v>87</v>
      </c>
      <c r="O17" s="33" t="n">
        <f>52180</f>
        <v>52180.0</v>
      </c>
      <c r="P17" s="34" t="s">
        <v>69</v>
      </c>
      <c r="Q17" s="33" t="n">
        <f>56810</f>
        <v>56810.0</v>
      </c>
      <c r="R17" s="34" t="s">
        <v>49</v>
      </c>
      <c r="S17" s="35" t="n">
        <f>56519.55</f>
        <v>56519.55</v>
      </c>
      <c r="T17" s="32" t="n">
        <f>1291822</f>
        <v>1291822.0</v>
      </c>
      <c r="U17" s="32" t="str">
        <f>"－"</f>
        <v>－</v>
      </c>
      <c r="V17" s="32" t="n">
        <f>73496694540</f>
        <v>7.349669454E10</v>
      </c>
      <c r="W17" s="32" t="str">
        <f>"－"</f>
        <v>－</v>
      </c>
      <c r="X17" s="36" t="n">
        <f>22</f>
        <v>22.0</v>
      </c>
    </row>
    <row r="18">
      <c r="A18" s="27" t="s">
        <v>42</v>
      </c>
      <c r="B18" s="27" t="s">
        <v>88</v>
      </c>
      <c r="C18" s="27" t="s">
        <v>89</v>
      </c>
      <c r="D18" s="27" t="s">
        <v>90</v>
      </c>
      <c r="E18" s="28" t="s">
        <v>46</v>
      </c>
      <c r="F18" s="29" t="s">
        <v>46</v>
      </c>
      <c r="G18" s="30" t="s">
        <v>46</v>
      </c>
      <c r="H18" s="31"/>
      <c r="I18" s="31" t="s">
        <v>47</v>
      </c>
      <c r="J18" s="32" t="n">
        <v>1.0</v>
      </c>
      <c r="K18" s="33" t="n">
        <f>13745</f>
        <v>13745.0</v>
      </c>
      <c r="L18" s="34" t="s">
        <v>48</v>
      </c>
      <c r="M18" s="33" t="n">
        <f>15710</f>
        <v>15710.0</v>
      </c>
      <c r="N18" s="34" t="s">
        <v>87</v>
      </c>
      <c r="O18" s="33" t="n">
        <f>13520</f>
        <v>13520.0</v>
      </c>
      <c r="P18" s="34" t="s">
        <v>69</v>
      </c>
      <c r="Q18" s="33" t="n">
        <f>14750</f>
        <v>14750.0</v>
      </c>
      <c r="R18" s="34" t="s">
        <v>49</v>
      </c>
      <c r="S18" s="35" t="n">
        <f>14660.23</f>
        <v>14660.23</v>
      </c>
      <c r="T18" s="32" t="n">
        <f>4450729</f>
        <v>4450729.0</v>
      </c>
      <c r="U18" s="32" t="n">
        <f>32331</f>
        <v>32331.0</v>
      </c>
      <c r="V18" s="32" t="n">
        <f>65634885410</f>
        <v>6.563488541E10</v>
      </c>
      <c r="W18" s="32" t="n">
        <f>468414580</f>
        <v>4.6841458E8</v>
      </c>
      <c r="X18" s="36" t="n">
        <f>22</f>
        <v>22.0</v>
      </c>
    </row>
    <row r="19">
      <c r="A19" s="27" t="s">
        <v>42</v>
      </c>
      <c r="B19" s="27" t="s">
        <v>91</v>
      </c>
      <c r="C19" s="27" t="s">
        <v>92</v>
      </c>
      <c r="D19" s="27" t="s">
        <v>93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1.0</v>
      </c>
      <c r="K19" s="33" t="n">
        <f>4660</f>
        <v>4660.0</v>
      </c>
      <c r="L19" s="34" t="s">
        <v>48</v>
      </c>
      <c r="M19" s="33" t="n">
        <f>5455</f>
        <v>5455.0</v>
      </c>
      <c r="N19" s="34" t="s">
        <v>49</v>
      </c>
      <c r="O19" s="33" t="n">
        <f>4615</f>
        <v>4615.0</v>
      </c>
      <c r="P19" s="34" t="s">
        <v>48</v>
      </c>
      <c r="Q19" s="33" t="n">
        <f>5455</f>
        <v>5455.0</v>
      </c>
      <c r="R19" s="34" t="s">
        <v>49</v>
      </c>
      <c r="S19" s="35" t="n">
        <f>5046.09</f>
        <v>5046.09</v>
      </c>
      <c r="T19" s="32" t="n">
        <f>23528725</f>
        <v>2.3528725E7</v>
      </c>
      <c r="U19" s="32" t="n">
        <f>8299444</f>
        <v>8299444.0</v>
      </c>
      <c r="V19" s="32" t="n">
        <f>118441896911</f>
        <v>1.18441896911E11</v>
      </c>
      <c r="W19" s="32" t="n">
        <f>41153435604</f>
        <v>4.1153435604E10</v>
      </c>
      <c r="X19" s="36" t="n">
        <f>22</f>
        <v>22.0</v>
      </c>
    </row>
    <row r="20">
      <c r="A20" s="27" t="s">
        <v>42</v>
      </c>
      <c r="B20" s="27" t="s">
        <v>94</v>
      </c>
      <c r="C20" s="27" t="s">
        <v>95</v>
      </c>
      <c r="D20" s="27" t="s">
        <v>96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1.0</v>
      </c>
      <c r="K20" s="33" t="n">
        <f>46540</f>
        <v>46540.0</v>
      </c>
      <c r="L20" s="34" t="s">
        <v>48</v>
      </c>
      <c r="M20" s="33" t="n">
        <f>54430</f>
        <v>54430.0</v>
      </c>
      <c r="N20" s="34" t="s">
        <v>49</v>
      </c>
      <c r="O20" s="33" t="n">
        <f>46090</f>
        <v>46090.0</v>
      </c>
      <c r="P20" s="34" t="s">
        <v>48</v>
      </c>
      <c r="Q20" s="33" t="n">
        <f>54430</f>
        <v>54430.0</v>
      </c>
      <c r="R20" s="34" t="s">
        <v>49</v>
      </c>
      <c r="S20" s="35" t="n">
        <f>50407.27</f>
        <v>50407.27</v>
      </c>
      <c r="T20" s="32" t="n">
        <f>3670398</f>
        <v>3670398.0</v>
      </c>
      <c r="U20" s="32" t="n">
        <f>2454086</f>
        <v>2454086.0</v>
      </c>
      <c r="V20" s="32" t="n">
        <f>184865239466</f>
        <v>1.84865239466E11</v>
      </c>
      <c r="W20" s="32" t="n">
        <f>123378554426</f>
        <v>1.23378554426E11</v>
      </c>
      <c r="X20" s="36" t="n">
        <f>22</f>
        <v>22.0</v>
      </c>
    </row>
    <row r="21">
      <c r="A21" s="27" t="s">
        <v>42</v>
      </c>
      <c r="B21" s="27" t="s">
        <v>97</v>
      </c>
      <c r="C21" s="27" t="s">
        <v>98</v>
      </c>
      <c r="D21" s="27" t="s">
        <v>99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1.0</v>
      </c>
      <c r="K21" s="33" t="n">
        <f>997</f>
        <v>997.0</v>
      </c>
      <c r="L21" s="34" t="s">
        <v>48</v>
      </c>
      <c r="M21" s="33" t="n">
        <f>1041</f>
        <v>1041.0</v>
      </c>
      <c r="N21" s="34" t="s">
        <v>49</v>
      </c>
      <c r="O21" s="33" t="n">
        <f>989</f>
        <v>989.0</v>
      </c>
      <c r="P21" s="34" t="s">
        <v>50</v>
      </c>
      <c r="Q21" s="33" t="n">
        <f>1039</f>
        <v>1039.0</v>
      </c>
      <c r="R21" s="34" t="s">
        <v>49</v>
      </c>
      <c r="S21" s="35" t="n">
        <f>1019.95</f>
        <v>1019.95</v>
      </c>
      <c r="T21" s="32" t="n">
        <f>2021385</f>
        <v>2021385.0</v>
      </c>
      <c r="U21" s="32" t="n">
        <f>602906</f>
        <v>602906.0</v>
      </c>
      <c r="V21" s="32" t="n">
        <f>2046576739</f>
        <v>2.046576739E9</v>
      </c>
      <c r="W21" s="32" t="n">
        <f>603868338</f>
        <v>6.03868338E8</v>
      </c>
      <c r="X21" s="36" t="n">
        <f>22</f>
        <v>22.0</v>
      </c>
    </row>
    <row r="22">
      <c r="A22" s="27" t="s">
        <v>42</v>
      </c>
      <c r="B22" s="27" t="s">
        <v>100</v>
      </c>
      <c r="C22" s="27" t="s">
        <v>101</v>
      </c>
      <c r="D22" s="27" t="s">
        <v>102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10.0</v>
      </c>
      <c r="K22" s="33" t="n">
        <f>2086</f>
        <v>2086.0</v>
      </c>
      <c r="L22" s="34" t="s">
        <v>48</v>
      </c>
      <c r="M22" s="33" t="n">
        <f>2148.5</f>
        <v>2148.5</v>
      </c>
      <c r="N22" s="34" t="s">
        <v>49</v>
      </c>
      <c r="O22" s="33" t="n">
        <f>2055.5</f>
        <v>2055.5</v>
      </c>
      <c r="P22" s="34" t="s">
        <v>48</v>
      </c>
      <c r="Q22" s="33" t="n">
        <f>2132</f>
        <v>2132.0</v>
      </c>
      <c r="R22" s="34" t="s">
        <v>49</v>
      </c>
      <c r="S22" s="35" t="n">
        <f>2105.93</f>
        <v>2105.93</v>
      </c>
      <c r="T22" s="32" t="n">
        <f>22310250</f>
        <v>2.231025E7</v>
      </c>
      <c r="U22" s="32" t="n">
        <f>6333960</f>
        <v>6333960.0</v>
      </c>
      <c r="V22" s="32" t="n">
        <f>46977188911</f>
        <v>4.6977188911E10</v>
      </c>
      <c r="W22" s="32" t="n">
        <f>13348033756</f>
        <v>1.3348033756E10</v>
      </c>
      <c r="X22" s="36" t="n">
        <f>22</f>
        <v>22.0</v>
      </c>
    </row>
    <row r="23">
      <c r="A23" s="27" t="s">
        <v>42</v>
      </c>
      <c r="B23" s="27" t="s">
        <v>103</v>
      </c>
      <c r="C23" s="27" t="s">
        <v>104</v>
      </c>
      <c r="D23" s="27" t="s">
        <v>105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100.0</v>
      </c>
      <c r="K23" s="33" t="n">
        <f>1946</f>
        <v>1946.0</v>
      </c>
      <c r="L23" s="34" t="s">
        <v>48</v>
      </c>
      <c r="M23" s="33" t="n">
        <f>2012</f>
        <v>2012.0</v>
      </c>
      <c r="N23" s="34" t="s">
        <v>106</v>
      </c>
      <c r="O23" s="33" t="n">
        <f>1923</f>
        <v>1923.0</v>
      </c>
      <c r="P23" s="34" t="s">
        <v>48</v>
      </c>
      <c r="Q23" s="33" t="n">
        <f>1996.5</f>
        <v>1996.5</v>
      </c>
      <c r="R23" s="34" t="s">
        <v>49</v>
      </c>
      <c r="S23" s="35" t="n">
        <f>1969.68</f>
        <v>1969.68</v>
      </c>
      <c r="T23" s="32" t="n">
        <f>2276800</f>
        <v>2276800.0</v>
      </c>
      <c r="U23" s="32" t="n">
        <f>748000</f>
        <v>748000.0</v>
      </c>
      <c r="V23" s="32" t="n">
        <f>4496995659</f>
        <v>4.496995659E9</v>
      </c>
      <c r="W23" s="32" t="n">
        <f>1481006359</f>
        <v>1.481006359E9</v>
      </c>
      <c r="X23" s="36" t="n">
        <f>22</f>
        <v>22.0</v>
      </c>
    </row>
    <row r="24">
      <c r="A24" s="27" t="s">
        <v>42</v>
      </c>
      <c r="B24" s="27" t="s">
        <v>107</v>
      </c>
      <c r="C24" s="27" t="s">
        <v>108</v>
      </c>
      <c r="D24" s="27" t="s">
        <v>109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1.0</v>
      </c>
      <c r="K24" s="33" t="n">
        <f>46520</f>
        <v>46520.0</v>
      </c>
      <c r="L24" s="34" t="s">
        <v>48</v>
      </c>
      <c r="M24" s="33" t="n">
        <f>54440</f>
        <v>54440.0</v>
      </c>
      <c r="N24" s="34" t="s">
        <v>49</v>
      </c>
      <c r="O24" s="33" t="n">
        <f>46090</f>
        <v>46090.0</v>
      </c>
      <c r="P24" s="34" t="s">
        <v>48</v>
      </c>
      <c r="Q24" s="33" t="n">
        <f>54440</f>
        <v>54440.0</v>
      </c>
      <c r="R24" s="34" t="s">
        <v>49</v>
      </c>
      <c r="S24" s="35" t="n">
        <f>50412.27</f>
        <v>50412.27</v>
      </c>
      <c r="T24" s="32" t="n">
        <f>1511506</f>
        <v>1511506.0</v>
      </c>
      <c r="U24" s="32" t="n">
        <f>871617</f>
        <v>871617.0</v>
      </c>
      <c r="V24" s="32" t="n">
        <f>74275259918</f>
        <v>7.4275259918E10</v>
      </c>
      <c r="W24" s="32" t="n">
        <f>42100883648</f>
        <v>4.2100883648E10</v>
      </c>
      <c r="X24" s="36" t="n">
        <f>22</f>
        <v>22.0</v>
      </c>
    </row>
    <row r="25">
      <c r="A25" s="27" t="s">
        <v>42</v>
      </c>
      <c r="B25" s="27" t="s">
        <v>110</v>
      </c>
      <c r="C25" s="27" t="s">
        <v>111</v>
      </c>
      <c r="D25" s="27" t="s">
        <v>112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1.0</v>
      </c>
      <c r="K25" s="33" t="n">
        <f>3258</f>
        <v>3258.0</v>
      </c>
      <c r="L25" s="34" t="s">
        <v>48</v>
      </c>
      <c r="M25" s="33" t="n">
        <f>3498</f>
        <v>3498.0</v>
      </c>
      <c r="N25" s="34" t="s">
        <v>49</v>
      </c>
      <c r="O25" s="33" t="n">
        <f>3209</f>
        <v>3209.0</v>
      </c>
      <c r="P25" s="34" t="s">
        <v>50</v>
      </c>
      <c r="Q25" s="33" t="n">
        <f>3481</f>
        <v>3481.0</v>
      </c>
      <c r="R25" s="34" t="s">
        <v>49</v>
      </c>
      <c r="S25" s="35" t="n">
        <f>3369.27</f>
        <v>3369.27</v>
      </c>
      <c r="T25" s="32" t="n">
        <f>7853978</f>
        <v>7853978.0</v>
      </c>
      <c r="U25" s="32" t="n">
        <f>5225512</f>
        <v>5225512.0</v>
      </c>
      <c r="V25" s="32" t="n">
        <f>26093918020</f>
        <v>2.609391802E10</v>
      </c>
      <c r="W25" s="32" t="n">
        <f>17264097403</f>
        <v>1.7264097403E10</v>
      </c>
      <c r="X25" s="36" t="n">
        <f>22</f>
        <v>22.0</v>
      </c>
    </row>
    <row r="26">
      <c r="A26" s="27" t="s">
        <v>42</v>
      </c>
      <c r="B26" s="27" t="s">
        <v>113</v>
      </c>
      <c r="C26" s="27" t="s">
        <v>114</v>
      </c>
      <c r="D26" s="27" t="s">
        <v>115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1.0</v>
      </c>
      <c r="K26" s="33" t="n">
        <f>16965</f>
        <v>16965.0</v>
      </c>
      <c r="L26" s="34" t="s">
        <v>48</v>
      </c>
      <c r="M26" s="33" t="n">
        <f>17540</f>
        <v>17540.0</v>
      </c>
      <c r="N26" s="34" t="s">
        <v>116</v>
      </c>
      <c r="O26" s="33" t="n">
        <f>16815</f>
        <v>16815.0</v>
      </c>
      <c r="P26" s="34" t="s">
        <v>50</v>
      </c>
      <c r="Q26" s="33" t="n">
        <f>17540</f>
        <v>17540.0</v>
      </c>
      <c r="R26" s="34" t="s">
        <v>49</v>
      </c>
      <c r="S26" s="35" t="n">
        <f>17252.73</f>
        <v>17252.73</v>
      </c>
      <c r="T26" s="32" t="n">
        <f>769</f>
        <v>769.0</v>
      </c>
      <c r="U26" s="32" t="str">
        <f>"－"</f>
        <v>－</v>
      </c>
      <c r="V26" s="32" t="n">
        <f>13272520</f>
        <v>1.327252E7</v>
      </c>
      <c r="W26" s="32" t="str">
        <f>"－"</f>
        <v>－</v>
      </c>
      <c r="X26" s="36" t="n">
        <f>22</f>
        <v>22.0</v>
      </c>
    </row>
    <row r="27">
      <c r="A27" s="27" t="s">
        <v>42</v>
      </c>
      <c r="B27" s="27" t="s">
        <v>117</v>
      </c>
      <c r="C27" s="27" t="s">
        <v>118</v>
      </c>
      <c r="D27" s="27" t="s">
        <v>119</v>
      </c>
      <c r="E27" s="28" t="s">
        <v>46</v>
      </c>
      <c r="F27" s="29" t="s">
        <v>46</v>
      </c>
      <c r="G27" s="30" t="s">
        <v>46</v>
      </c>
      <c r="H27" s="31"/>
      <c r="I27" s="31" t="s">
        <v>47</v>
      </c>
      <c r="J27" s="32" t="n">
        <v>10.0</v>
      </c>
      <c r="K27" s="33" t="n">
        <f>209.9</f>
        <v>209.9</v>
      </c>
      <c r="L27" s="34" t="s">
        <v>48</v>
      </c>
      <c r="M27" s="33" t="n">
        <f>216.1</f>
        <v>216.1</v>
      </c>
      <c r="N27" s="34" t="s">
        <v>50</v>
      </c>
      <c r="O27" s="33" t="n">
        <f>179.6</f>
        <v>179.6</v>
      </c>
      <c r="P27" s="34" t="s">
        <v>49</v>
      </c>
      <c r="Q27" s="33" t="n">
        <f>181.2</f>
        <v>181.2</v>
      </c>
      <c r="R27" s="34" t="s">
        <v>49</v>
      </c>
      <c r="S27" s="35" t="n">
        <f>194.79</f>
        <v>194.79</v>
      </c>
      <c r="T27" s="32" t="n">
        <f>78402150</f>
        <v>7.840215E7</v>
      </c>
      <c r="U27" s="32" t="n">
        <f>595680</f>
        <v>595680.0</v>
      </c>
      <c r="V27" s="32" t="n">
        <f>15382343243</f>
        <v>1.5382343243E10</v>
      </c>
      <c r="W27" s="32" t="n">
        <f>115963723</f>
        <v>1.15963723E8</v>
      </c>
      <c r="X27" s="36" t="n">
        <f>22</f>
        <v>22.0</v>
      </c>
    </row>
    <row r="28">
      <c r="A28" s="27" t="s">
        <v>42</v>
      </c>
      <c r="B28" s="27" t="s">
        <v>120</v>
      </c>
      <c r="C28" s="27" t="s">
        <v>121</v>
      </c>
      <c r="D28" s="27" t="s">
        <v>122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1.0</v>
      </c>
      <c r="K28" s="33" t="n">
        <f>7726</f>
        <v>7726.0</v>
      </c>
      <c r="L28" s="34" t="s">
        <v>48</v>
      </c>
      <c r="M28" s="33" t="n">
        <f>7869</f>
        <v>7869.0</v>
      </c>
      <c r="N28" s="34" t="s">
        <v>48</v>
      </c>
      <c r="O28" s="33" t="n">
        <f>5500</f>
        <v>5500.0</v>
      </c>
      <c r="P28" s="34" t="s">
        <v>49</v>
      </c>
      <c r="Q28" s="33" t="n">
        <f>5500</f>
        <v>5500.0</v>
      </c>
      <c r="R28" s="34" t="s">
        <v>49</v>
      </c>
      <c r="S28" s="35" t="n">
        <f>6519.27</f>
        <v>6519.27</v>
      </c>
      <c r="T28" s="32" t="n">
        <f>99516834</f>
        <v>9.9516834E7</v>
      </c>
      <c r="U28" s="32" t="n">
        <f>1369488</f>
        <v>1369488.0</v>
      </c>
      <c r="V28" s="32" t="n">
        <f>646752625556</f>
        <v>6.46752625556E11</v>
      </c>
      <c r="W28" s="32" t="n">
        <f>9224415553</f>
        <v>9.224415553E9</v>
      </c>
      <c r="X28" s="36" t="n">
        <f>22</f>
        <v>22.0</v>
      </c>
    </row>
    <row r="29">
      <c r="A29" s="27" t="s">
        <v>42</v>
      </c>
      <c r="B29" s="27" t="s">
        <v>123</v>
      </c>
      <c r="C29" s="27" t="s">
        <v>124</v>
      </c>
      <c r="D29" s="27" t="s">
        <v>125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1.0</v>
      </c>
      <c r="K29" s="33" t="n">
        <f>65480</f>
        <v>65480.0</v>
      </c>
      <c r="L29" s="34" t="s">
        <v>48</v>
      </c>
      <c r="M29" s="33" t="n">
        <f>89000</f>
        <v>89000.0</v>
      </c>
      <c r="N29" s="34" t="s">
        <v>49</v>
      </c>
      <c r="O29" s="33" t="n">
        <f>64270</f>
        <v>64270.0</v>
      </c>
      <c r="P29" s="34" t="s">
        <v>48</v>
      </c>
      <c r="Q29" s="33" t="n">
        <f>88890</f>
        <v>88890.0</v>
      </c>
      <c r="R29" s="34" t="s">
        <v>49</v>
      </c>
      <c r="S29" s="35" t="n">
        <f>76603.64</f>
        <v>76603.64</v>
      </c>
      <c r="T29" s="32" t="n">
        <f>407418</f>
        <v>407418.0</v>
      </c>
      <c r="U29" s="32" t="n">
        <f>2981</f>
        <v>2981.0</v>
      </c>
      <c r="V29" s="32" t="n">
        <f>31388253322</f>
        <v>3.1388253322E10</v>
      </c>
      <c r="W29" s="32" t="n">
        <f>235196622</f>
        <v>2.35196622E8</v>
      </c>
      <c r="X29" s="36" t="n">
        <f>22</f>
        <v>22.0</v>
      </c>
    </row>
    <row r="30">
      <c r="A30" s="27" t="s">
        <v>42</v>
      </c>
      <c r="B30" s="27" t="s">
        <v>126</v>
      </c>
      <c r="C30" s="27" t="s">
        <v>127</v>
      </c>
      <c r="D30" s="27" t="s">
        <v>128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10.0</v>
      </c>
      <c r="K30" s="33" t="n">
        <f>189.8</f>
        <v>189.8</v>
      </c>
      <c r="L30" s="34" t="s">
        <v>48</v>
      </c>
      <c r="M30" s="33" t="n">
        <f>193.3</f>
        <v>193.3</v>
      </c>
      <c r="N30" s="34" t="s">
        <v>48</v>
      </c>
      <c r="O30" s="33" t="n">
        <f>135</f>
        <v>135.0</v>
      </c>
      <c r="P30" s="34" t="s">
        <v>49</v>
      </c>
      <c r="Q30" s="33" t="n">
        <f>135</f>
        <v>135.0</v>
      </c>
      <c r="R30" s="34" t="s">
        <v>49</v>
      </c>
      <c r="S30" s="35" t="n">
        <f>160.01</f>
        <v>160.01</v>
      </c>
      <c r="T30" s="32" t="n">
        <f>2252027940</f>
        <v>2.25202794E9</v>
      </c>
      <c r="U30" s="32" t="n">
        <f>17563050</f>
        <v>1.756305E7</v>
      </c>
      <c r="V30" s="32" t="n">
        <f>359220448766</f>
        <v>3.59220448766E11</v>
      </c>
      <c r="W30" s="32" t="n">
        <f>2828412966</f>
        <v>2.828412966E9</v>
      </c>
      <c r="X30" s="36" t="n">
        <f>22</f>
        <v>22.0</v>
      </c>
    </row>
    <row r="31">
      <c r="A31" s="27" t="s">
        <v>42</v>
      </c>
      <c r="B31" s="27" t="s">
        <v>129</v>
      </c>
      <c r="C31" s="27" t="s">
        <v>130</v>
      </c>
      <c r="D31" s="27" t="s">
        <v>131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1.0</v>
      </c>
      <c r="K31" s="33" t="n">
        <f>2890</f>
        <v>2890.0</v>
      </c>
      <c r="L31" s="34" t="s">
        <v>48</v>
      </c>
      <c r="M31" s="33" t="n">
        <f>3115</f>
        <v>3115.0</v>
      </c>
      <c r="N31" s="34" t="s">
        <v>49</v>
      </c>
      <c r="O31" s="33" t="n">
        <f>2847</f>
        <v>2847.0</v>
      </c>
      <c r="P31" s="34" t="s">
        <v>50</v>
      </c>
      <c r="Q31" s="33" t="n">
        <f>3099</f>
        <v>3099.0</v>
      </c>
      <c r="R31" s="34" t="s">
        <v>49</v>
      </c>
      <c r="S31" s="35" t="n">
        <f>2994.27</f>
        <v>2994.27</v>
      </c>
      <c r="T31" s="32" t="n">
        <f>5116295</f>
        <v>5116295.0</v>
      </c>
      <c r="U31" s="32" t="n">
        <f>4886507</f>
        <v>4886507.0</v>
      </c>
      <c r="V31" s="32" t="n">
        <f>14635950840</f>
        <v>1.463595084E10</v>
      </c>
      <c r="W31" s="32" t="n">
        <f>13943383934</f>
        <v>1.3943383934E10</v>
      </c>
      <c r="X31" s="36" t="n">
        <f>22</f>
        <v>22.0</v>
      </c>
    </row>
    <row r="32">
      <c r="A32" s="27" t="s">
        <v>42</v>
      </c>
      <c r="B32" s="27" t="s">
        <v>132</v>
      </c>
      <c r="C32" s="27" t="s">
        <v>133</v>
      </c>
      <c r="D32" s="27" t="s">
        <v>134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1.0</v>
      </c>
      <c r="K32" s="33" t="n">
        <f>53410</f>
        <v>53410.0</v>
      </c>
      <c r="L32" s="34" t="s">
        <v>48</v>
      </c>
      <c r="M32" s="33" t="n">
        <f>72510</f>
        <v>72510.0</v>
      </c>
      <c r="N32" s="34" t="s">
        <v>49</v>
      </c>
      <c r="O32" s="33" t="n">
        <f>52410</f>
        <v>52410.0</v>
      </c>
      <c r="P32" s="34" t="s">
        <v>48</v>
      </c>
      <c r="Q32" s="33" t="n">
        <f>72510</f>
        <v>72510.0</v>
      </c>
      <c r="R32" s="34" t="s">
        <v>49</v>
      </c>
      <c r="S32" s="35" t="n">
        <f>62398.64</f>
        <v>62398.64</v>
      </c>
      <c r="T32" s="32" t="n">
        <f>1147526</f>
        <v>1147526.0</v>
      </c>
      <c r="U32" s="32" t="n">
        <f>35659</f>
        <v>35659.0</v>
      </c>
      <c r="V32" s="32" t="n">
        <f>72012301680</f>
        <v>7.201230168E10</v>
      </c>
      <c r="W32" s="32" t="n">
        <f>2262738770</f>
        <v>2.26273877E9</v>
      </c>
      <c r="X32" s="36" t="n">
        <f>22</f>
        <v>22.0</v>
      </c>
    </row>
    <row r="33">
      <c r="A33" s="27" t="s">
        <v>42</v>
      </c>
      <c r="B33" s="27" t="s">
        <v>135</v>
      </c>
      <c r="C33" s="27" t="s">
        <v>136</v>
      </c>
      <c r="D33" s="27" t="s">
        <v>137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1.0</v>
      </c>
      <c r="K33" s="33" t="n">
        <f>195</f>
        <v>195.0</v>
      </c>
      <c r="L33" s="34" t="s">
        <v>48</v>
      </c>
      <c r="M33" s="33" t="n">
        <f>198</f>
        <v>198.0</v>
      </c>
      <c r="N33" s="34" t="s">
        <v>48</v>
      </c>
      <c r="O33" s="33" t="n">
        <f>138</f>
        <v>138.0</v>
      </c>
      <c r="P33" s="34" t="s">
        <v>49</v>
      </c>
      <c r="Q33" s="33" t="n">
        <f>139</f>
        <v>139.0</v>
      </c>
      <c r="R33" s="34" t="s">
        <v>49</v>
      </c>
      <c r="S33" s="35" t="n">
        <f>163.95</f>
        <v>163.95</v>
      </c>
      <c r="T33" s="32" t="n">
        <f>91803864</f>
        <v>9.1803864E7</v>
      </c>
      <c r="U33" s="32" t="n">
        <f>1158139</f>
        <v>1158139.0</v>
      </c>
      <c r="V33" s="32" t="n">
        <f>14950332229</f>
        <v>1.4950332229E10</v>
      </c>
      <c r="W33" s="32" t="n">
        <f>188645748</f>
        <v>1.88645748E8</v>
      </c>
      <c r="X33" s="36" t="n">
        <f>22</f>
        <v>22.0</v>
      </c>
    </row>
    <row r="34">
      <c r="A34" s="27" t="s">
        <v>42</v>
      </c>
      <c r="B34" s="27" t="s">
        <v>138</v>
      </c>
      <c r="C34" s="27" t="s">
        <v>139</v>
      </c>
      <c r="D34" s="27" t="s">
        <v>140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46590</f>
        <v>46590.0</v>
      </c>
      <c r="L34" s="34" t="s">
        <v>48</v>
      </c>
      <c r="M34" s="33" t="n">
        <f>53440</f>
        <v>53440.0</v>
      </c>
      <c r="N34" s="34" t="s">
        <v>49</v>
      </c>
      <c r="O34" s="33" t="n">
        <f>45210</f>
        <v>45210.0</v>
      </c>
      <c r="P34" s="34" t="s">
        <v>50</v>
      </c>
      <c r="Q34" s="33" t="n">
        <f>53000</f>
        <v>53000.0</v>
      </c>
      <c r="R34" s="34" t="s">
        <v>49</v>
      </c>
      <c r="S34" s="35" t="n">
        <f>49695</f>
        <v>49695.0</v>
      </c>
      <c r="T34" s="32" t="n">
        <f>253076</f>
        <v>253076.0</v>
      </c>
      <c r="U34" s="32" t="n">
        <f>6804</f>
        <v>6804.0</v>
      </c>
      <c r="V34" s="32" t="n">
        <f>12698697468</f>
        <v>1.2698697468E10</v>
      </c>
      <c r="W34" s="32" t="n">
        <f>341646678</f>
        <v>3.41646678E8</v>
      </c>
      <c r="X34" s="36" t="n">
        <f>22</f>
        <v>22.0</v>
      </c>
    </row>
    <row r="35">
      <c r="A35" s="27" t="s">
        <v>42</v>
      </c>
      <c r="B35" s="27" t="s">
        <v>141</v>
      </c>
      <c r="C35" s="27" t="s">
        <v>142</v>
      </c>
      <c r="D35" s="27" t="s">
        <v>143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1.0</v>
      </c>
      <c r="K35" s="33" t="n">
        <f>305</f>
        <v>305.0</v>
      </c>
      <c r="L35" s="34" t="s">
        <v>48</v>
      </c>
      <c r="M35" s="33" t="n">
        <f>314</f>
        <v>314.0</v>
      </c>
      <c r="N35" s="34" t="s">
        <v>50</v>
      </c>
      <c r="O35" s="33" t="n">
        <f>260</f>
        <v>260.0</v>
      </c>
      <c r="P35" s="34" t="s">
        <v>49</v>
      </c>
      <c r="Q35" s="33" t="n">
        <f>264</f>
        <v>264.0</v>
      </c>
      <c r="R35" s="34" t="s">
        <v>49</v>
      </c>
      <c r="S35" s="35" t="n">
        <f>282.91</f>
        <v>282.91</v>
      </c>
      <c r="T35" s="32" t="n">
        <f>4158237</f>
        <v>4158237.0</v>
      </c>
      <c r="U35" s="32" t="n">
        <f>3830</f>
        <v>3830.0</v>
      </c>
      <c r="V35" s="32" t="n">
        <f>1183958902</f>
        <v>1.183958902E9</v>
      </c>
      <c r="W35" s="32" t="n">
        <f>1056560</f>
        <v>1056560.0</v>
      </c>
      <c r="X35" s="36" t="n">
        <f>22</f>
        <v>22.0</v>
      </c>
    </row>
    <row r="36">
      <c r="A36" s="27" t="s">
        <v>42</v>
      </c>
      <c r="B36" s="27" t="s">
        <v>144</v>
      </c>
      <c r="C36" s="27" t="s">
        <v>145</v>
      </c>
      <c r="D36" s="27" t="s">
        <v>146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45200</f>
        <v>45200.0</v>
      </c>
      <c r="L36" s="34" t="s">
        <v>48</v>
      </c>
      <c r="M36" s="33" t="n">
        <f>53000</f>
        <v>53000.0</v>
      </c>
      <c r="N36" s="34" t="s">
        <v>49</v>
      </c>
      <c r="O36" s="33" t="n">
        <f>44770</f>
        <v>44770.0</v>
      </c>
      <c r="P36" s="34" t="s">
        <v>48</v>
      </c>
      <c r="Q36" s="33" t="n">
        <f>53000</f>
        <v>53000.0</v>
      </c>
      <c r="R36" s="34" t="s">
        <v>49</v>
      </c>
      <c r="S36" s="35" t="n">
        <f>48985.91</f>
        <v>48985.91</v>
      </c>
      <c r="T36" s="32" t="n">
        <f>303233</f>
        <v>303233.0</v>
      </c>
      <c r="U36" s="32" t="n">
        <f>180308</f>
        <v>180308.0</v>
      </c>
      <c r="V36" s="32" t="n">
        <f>14886261899</f>
        <v>1.4886261899E10</v>
      </c>
      <c r="W36" s="32" t="n">
        <f>8833884609</f>
        <v>8.833884609E9</v>
      </c>
      <c r="X36" s="36" t="n">
        <f>22</f>
        <v>22.0</v>
      </c>
    </row>
    <row r="37">
      <c r="A37" s="27" t="s">
        <v>42</v>
      </c>
      <c r="B37" s="27" t="s">
        <v>147</v>
      </c>
      <c r="C37" s="27" t="s">
        <v>148</v>
      </c>
      <c r="D37" s="27" t="s">
        <v>149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45650</f>
        <v>45650.0</v>
      </c>
      <c r="L37" s="34" t="s">
        <v>48</v>
      </c>
      <c r="M37" s="33" t="n">
        <f>53680</f>
        <v>53680.0</v>
      </c>
      <c r="N37" s="34" t="s">
        <v>49</v>
      </c>
      <c r="O37" s="33" t="n">
        <f>45170</f>
        <v>45170.0</v>
      </c>
      <c r="P37" s="34" t="s">
        <v>48</v>
      </c>
      <c r="Q37" s="33" t="n">
        <f>53680</f>
        <v>53680.0</v>
      </c>
      <c r="R37" s="34" t="s">
        <v>49</v>
      </c>
      <c r="S37" s="35" t="n">
        <f>49108.18</f>
        <v>49108.18</v>
      </c>
      <c r="T37" s="32" t="n">
        <f>204928</f>
        <v>204928.0</v>
      </c>
      <c r="U37" s="32" t="n">
        <f>131939</f>
        <v>131939.0</v>
      </c>
      <c r="V37" s="32" t="n">
        <f>10047367270</f>
        <v>1.004736727E10</v>
      </c>
      <c r="W37" s="32" t="n">
        <f>6466168970</f>
        <v>6.46616897E9</v>
      </c>
      <c r="X37" s="36" t="n">
        <f>22</f>
        <v>22.0</v>
      </c>
    </row>
    <row r="38">
      <c r="A38" s="27" t="s">
        <v>42</v>
      </c>
      <c r="B38" s="27" t="s">
        <v>150</v>
      </c>
      <c r="C38" s="27" t="s">
        <v>151</v>
      </c>
      <c r="D38" s="27" t="s">
        <v>152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10.0</v>
      </c>
      <c r="K38" s="33" t="n">
        <f>1955.5</f>
        <v>1955.5</v>
      </c>
      <c r="L38" s="34" t="s">
        <v>48</v>
      </c>
      <c r="M38" s="33" t="n">
        <f>2030.5</f>
        <v>2030.5</v>
      </c>
      <c r="N38" s="34" t="s">
        <v>49</v>
      </c>
      <c r="O38" s="33" t="n">
        <f>1939</f>
        <v>1939.0</v>
      </c>
      <c r="P38" s="34" t="s">
        <v>50</v>
      </c>
      <c r="Q38" s="33" t="n">
        <f>2020</f>
        <v>2020.0</v>
      </c>
      <c r="R38" s="34" t="s">
        <v>49</v>
      </c>
      <c r="S38" s="35" t="n">
        <f>1990.77</f>
        <v>1990.77</v>
      </c>
      <c r="T38" s="32" t="n">
        <f>9535310</f>
        <v>9535310.0</v>
      </c>
      <c r="U38" s="32" t="n">
        <f>1736270</f>
        <v>1736270.0</v>
      </c>
      <c r="V38" s="32" t="n">
        <f>19016962270</f>
        <v>1.901696227E10</v>
      </c>
      <c r="W38" s="32" t="n">
        <f>3445875990</f>
        <v>3.44587599E9</v>
      </c>
      <c r="X38" s="36" t="n">
        <f>22</f>
        <v>22.0</v>
      </c>
    </row>
    <row r="39">
      <c r="A39" s="27" t="s">
        <v>42</v>
      </c>
      <c r="B39" s="27" t="s">
        <v>153</v>
      </c>
      <c r="C39" s="27" t="s">
        <v>154</v>
      </c>
      <c r="D39" s="27" t="s">
        <v>155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1.0</v>
      </c>
      <c r="K39" s="33" t="n">
        <f>2528</f>
        <v>2528.0</v>
      </c>
      <c r="L39" s="34" t="s">
        <v>48</v>
      </c>
      <c r="M39" s="33" t="n">
        <f>2587</f>
        <v>2587.0</v>
      </c>
      <c r="N39" s="34" t="s">
        <v>68</v>
      </c>
      <c r="O39" s="33" t="n">
        <f>2446</f>
        <v>2446.0</v>
      </c>
      <c r="P39" s="34" t="s">
        <v>156</v>
      </c>
      <c r="Q39" s="33" t="n">
        <f>2524</f>
        <v>2524.0</v>
      </c>
      <c r="R39" s="34" t="s">
        <v>49</v>
      </c>
      <c r="S39" s="35" t="n">
        <f>2518</f>
        <v>2518.0</v>
      </c>
      <c r="T39" s="32" t="n">
        <f>24445</f>
        <v>24445.0</v>
      </c>
      <c r="U39" s="32" t="n">
        <f>110</f>
        <v>110.0</v>
      </c>
      <c r="V39" s="32" t="n">
        <f>61884326</f>
        <v>6.1884326E7</v>
      </c>
      <c r="W39" s="32" t="n">
        <f>274560</f>
        <v>274560.0</v>
      </c>
      <c r="X39" s="36" t="n">
        <f>22</f>
        <v>22.0</v>
      </c>
    </row>
    <row r="40">
      <c r="A40" s="27" t="s">
        <v>42</v>
      </c>
      <c r="B40" s="27" t="s">
        <v>157</v>
      </c>
      <c r="C40" s="27" t="s">
        <v>158</v>
      </c>
      <c r="D40" s="27" t="s">
        <v>159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1.0</v>
      </c>
      <c r="K40" s="33" t="n">
        <f>1947</f>
        <v>1947.0</v>
      </c>
      <c r="L40" s="34" t="s">
        <v>50</v>
      </c>
      <c r="M40" s="33" t="n">
        <f>1957</f>
        <v>1957.0</v>
      </c>
      <c r="N40" s="34" t="s">
        <v>116</v>
      </c>
      <c r="O40" s="33" t="n">
        <f>1929</f>
        <v>1929.0</v>
      </c>
      <c r="P40" s="34" t="s">
        <v>61</v>
      </c>
      <c r="Q40" s="33" t="n">
        <f>1950</f>
        <v>1950.0</v>
      </c>
      <c r="R40" s="34" t="s">
        <v>49</v>
      </c>
      <c r="S40" s="35" t="n">
        <f>1942.53</f>
        <v>1942.53</v>
      </c>
      <c r="T40" s="32" t="n">
        <f>177975</f>
        <v>177975.0</v>
      </c>
      <c r="U40" s="32" t="str">
        <f>"－"</f>
        <v>－</v>
      </c>
      <c r="V40" s="32" t="n">
        <f>345841085</f>
        <v>3.45841085E8</v>
      </c>
      <c r="W40" s="32" t="str">
        <f>"－"</f>
        <v>－</v>
      </c>
      <c r="X40" s="36" t="n">
        <f>17</f>
        <v>17.0</v>
      </c>
    </row>
    <row r="41">
      <c r="A41" s="27" t="s">
        <v>42</v>
      </c>
      <c r="B41" s="27" t="s">
        <v>160</v>
      </c>
      <c r="C41" s="27" t="s">
        <v>161</v>
      </c>
      <c r="D41" s="27" t="s">
        <v>162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2025</f>
        <v>2025.0</v>
      </c>
      <c r="L41" s="34" t="s">
        <v>48</v>
      </c>
      <c r="M41" s="33" t="n">
        <f>2044</f>
        <v>2044.0</v>
      </c>
      <c r="N41" s="34" t="s">
        <v>48</v>
      </c>
      <c r="O41" s="33" t="n">
        <f>1715</f>
        <v>1715.0</v>
      </c>
      <c r="P41" s="34" t="s">
        <v>49</v>
      </c>
      <c r="Q41" s="33" t="n">
        <f>1715</f>
        <v>1715.0</v>
      </c>
      <c r="R41" s="34" t="s">
        <v>49</v>
      </c>
      <c r="S41" s="35" t="n">
        <f>1862.91</f>
        <v>1862.91</v>
      </c>
      <c r="T41" s="32" t="n">
        <f>6203851</f>
        <v>6203851.0</v>
      </c>
      <c r="U41" s="32" t="n">
        <f>3316001</f>
        <v>3316001.0</v>
      </c>
      <c r="V41" s="32" t="n">
        <f>11557142170</f>
        <v>1.155714217E10</v>
      </c>
      <c r="W41" s="32" t="n">
        <f>6315933309</f>
        <v>6.315933309E9</v>
      </c>
      <c r="X41" s="36" t="n">
        <f>22</f>
        <v>22.0</v>
      </c>
    </row>
    <row r="42">
      <c r="A42" s="27" t="s">
        <v>42</v>
      </c>
      <c r="B42" s="27" t="s">
        <v>163</v>
      </c>
      <c r="C42" s="27" t="s">
        <v>164</v>
      </c>
      <c r="D42" s="27" t="s">
        <v>165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2433</f>
        <v>2433.0</v>
      </c>
      <c r="L42" s="34" t="s">
        <v>48</v>
      </c>
      <c r="M42" s="33" t="n">
        <f>2469</f>
        <v>2469.0</v>
      </c>
      <c r="N42" s="34" t="s">
        <v>50</v>
      </c>
      <c r="O42" s="33" t="n">
        <f>2258</f>
        <v>2258.0</v>
      </c>
      <c r="P42" s="34" t="s">
        <v>49</v>
      </c>
      <c r="Q42" s="33" t="n">
        <f>2265</f>
        <v>2265.0</v>
      </c>
      <c r="R42" s="34" t="s">
        <v>49</v>
      </c>
      <c r="S42" s="35" t="n">
        <f>2346.91</f>
        <v>2346.91</v>
      </c>
      <c r="T42" s="32" t="n">
        <f>1282559</f>
        <v>1282559.0</v>
      </c>
      <c r="U42" s="32" t="n">
        <f>1058461</f>
        <v>1058461.0</v>
      </c>
      <c r="V42" s="32" t="n">
        <f>2973684805</f>
        <v>2.973684805E9</v>
      </c>
      <c r="W42" s="32" t="n">
        <f>2449971651</f>
        <v>2.449971651E9</v>
      </c>
      <c r="X42" s="36" t="n">
        <f>22</f>
        <v>22.0</v>
      </c>
    </row>
    <row r="43">
      <c r="A43" s="27" t="s">
        <v>42</v>
      </c>
      <c r="B43" s="27" t="s">
        <v>166</v>
      </c>
      <c r="C43" s="27" t="s">
        <v>167</v>
      </c>
      <c r="D43" s="27" t="s">
        <v>168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41180</f>
        <v>41180.0</v>
      </c>
      <c r="L43" s="34" t="s">
        <v>48</v>
      </c>
      <c r="M43" s="33" t="n">
        <f>55940</f>
        <v>55940.0</v>
      </c>
      <c r="N43" s="34" t="s">
        <v>49</v>
      </c>
      <c r="O43" s="33" t="n">
        <f>40400</f>
        <v>40400.0</v>
      </c>
      <c r="P43" s="34" t="s">
        <v>48</v>
      </c>
      <c r="Q43" s="33" t="n">
        <f>55940</f>
        <v>55940.0</v>
      </c>
      <c r="R43" s="34" t="s">
        <v>49</v>
      </c>
      <c r="S43" s="35" t="n">
        <f>48168.64</f>
        <v>48168.64</v>
      </c>
      <c r="T43" s="32" t="n">
        <f>6929193</f>
        <v>6929193.0</v>
      </c>
      <c r="U43" s="32" t="n">
        <f>8425</f>
        <v>8425.0</v>
      </c>
      <c r="V43" s="32" t="n">
        <f>332928824360</f>
        <v>3.3292882436E11</v>
      </c>
      <c r="W43" s="32" t="n">
        <f>409388930</f>
        <v>4.0938893E8</v>
      </c>
      <c r="X43" s="36" t="n">
        <f>22</f>
        <v>22.0</v>
      </c>
    </row>
    <row r="44">
      <c r="A44" s="27" t="s">
        <v>42</v>
      </c>
      <c r="B44" s="27" t="s">
        <v>169</v>
      </c>
      <c r="C44" s="27" t="s">
        <v>170</v>
      </c>
      <c r="D44" s="27" t="s">
        <v>171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312</f>
        <v>312.0</v>
      </c>
      <c r="L44" s="34" t="s">
        <v>48</v>
      </c>
      <c r="M44" s="33" t="n">
        <f>318</f>
        <v>318.0</v>
      </c>
      <c r="N44" s="34" t="s">
        <v>48</v>
      </c>
      <c r="O44" s="33" t="n">
        <f>221</f>
        <v>221.0</v>
      </c>
      <c r="P44" s="34" t="s">
        <v>49</v>
      </c>
      <c r="Q44" s="33" t="n">
        <f>221</f>
        <v>221.0</v>
      </c>
      <c r="R44" s="34" t="s">
        <v>49</v>
      </c>
      <c r="S44" s="35" t="n">
        <f>262.41</f>
        <v>262.41</v>
      </c>
      <c r="T44" s="32" t="n">
        <f>352463123</f>
        <v>3.52463123E8</v>
      </c>
      <c r="U44" s="32" t="n">
        <f>8218708</f>
        <v>8218708.0</v>
      </c>
      <c r="V44" s="32" t="n">
        <f>92753807125</f>
        <v>9.2753807125E10</v>
      </c>
      <c r="W44" s="32" t="n">
        <f>2155978862</f>
        <v>2.155978862E9</v>
      </c>
      <c r="X44" s="36" t="n">
        <f>22</f>
        <v>22.0</v>
      </c>
    </row>
    <row r="45">
      <c r="A45" s="27" t="s">
        <v>42</v>
      </c>
      <c r="B45" s="27" t="s">
        <v>172</v>
      </c>
      <c r="C45" s="27" t="s">
        <v>173</v>
      </c>
      <c r="D45" s="27" t="s">
        <v>174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400</f>
        <v>400.0</v>
      </c>
      <c r="L45" s="34" t="s">
        <v>48</v>
      </c>
      <c r="M45" s="33" t="n">
        <f>408</f>
        <v>408.0</v>
      </c>
      <c r="N45" s="34" t="s">
        <v>48</v>
      </c>
      <c r="O45" s="33" t="n">
        <f>336</f>
        <v>336.0</v>
      </c>
      <c r="P45" s="34" t="s">
        <v>49</v>
      </c>
      <c r="Q45" s="33" t="n">
        <f>341</f>
        <v>341.0</v>
      </c>
      <c r="R45" s="34" t="s">
        <v>49</v>
      </c>
      <c r="S45" s="35" t="n">
        <f>366.41</f>
        <v>366.41</v>
      </c>
      <c r="T45" s="32" t="n">
        <f>214728</f>
        <v>214728.0</v>
      </c>
      <c r="U45" s="32" t="str">
        <f>"－"</f>
        <v>－</v>
      </c>
      <c r="V45" s="32" t="n">
        <f>78617628</f>
        <v>7.8617628E7</v>
      </c>
      <c r="W45" s="32" t="str">
        <f>"－"</f>
        <v>－</v>
      </c>
      <c r="X45" s="36" t="n">
        <f>22</f>
        <v>22.0</v>
      </c>
    </row>
    <row r="46">
      <c r="A46" s="27" t="s">
        <v>42</v>
      </c>
      <c r="B46" s="27" t="s">
        <v>175</v>
      </c>
      <c r="C46" s="27" t="s">
        <v>176</v>
      </c>
      <c r="D46" s="27" t="s">
        <v>177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10.0</v>
      </c>
      <c r="K46" s="33" t="n">
        <f>381.5</f>
        <v>381.5</v>
      </c>
      <c r="L46" s="34" t="s">
        <v>48</v>
      </c>
      <c r="M46" s="33" t="n">
        <f>392.8</f>
        <v>392.8</v>
      </c>
      <c r="N46" s="34" t="s">
        <v>50</v>
      </c>
      <c r="O46" s="33" t="n">
        <f>325</f>
        <v>325.0</v>
      </c>
      <c r="P46" s="34" t="s">
        <v>49</v>
      </c>
      <c r="Q46" s="33" t="n">
        <f>329.1</f>
        <v>329.1</v>
      </c>
      <c r="R46" s="34" t="s">
        <v>49</v>
      </c>
      <c r="S46" s="35" t="n">
        <f>354.09</f>
        <v>354.09</v>
      </c>
      <c r="T46" s="32" t="n">
        <f>555620</f>
        <v>555620.0</v>
      </c>
      <c r="U46" s="32" t="n">
        <f>3750</f>
        <v>3750.0</v>
      </c>
      <c r="V46" s="32" t="n">
        <f>202705122</f>
        <v>2.02705122E8</v>
      </c>
      <c r="W46" s="32" t="n">
        <f>1406225</f>
        <v>1406225.0</v>
      </c>
      <c r="X46" s="36" t="n">
        <f>22</f>
        <v>22.0</v>
      </c>
    </row>
    <row r="47">
      <c r="A47" s="27" t="s">
        <v>42</v>
      </c>
      <c r="B47" s="27" t="s">
        <v>178</v>
      </c>
      <c r="C47" s="27" t="s">
        <v>179</v>
      </c>
      <c r="D47" s="27" t="s">
        <v>180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1.0</v>
      </c>
      <c r="K47" s="33" t="n">
        <f>155</f>
        <v>155.0</v>
      </c>
      <c r="L47" s="34" t="s">
        <v>48</v>
      </c>
      <c r="M47" s="33" t="n">
        <f>160</f>
        <v>160.0</v>
      </c>
      <c r="N47" s="34" t="s">
        <v>48</v>
      </c>
      <c r="O47" s="33" t="n">
        <f>133</f>
        <v>133.0</v>
      </c>
      <c r="P47" s="34" t="s">
        <v>49</v>
      </c>
      <c r="Q47" s="33" t="n">
        <f>133</f>
        <v>133.0</v>
      </c>
      <c r="R47" s="34" t="s">
        <v>49</v>
      </c>
      <c r="S47" s="35" t="n">
        <f>144.18</f>
        <v>144.18</v>
      </c>
      <c r="T47" s="32" t="n">
        <f>877759</f>
        <v>877759.0</v>
      </c>
      <c r="U47" s="32" t="str">
        <f>"－"</f>
        <v>－</v>
      </c>
      <c r="V47" s="32" t="n">
        <f>127970824</f>
        <v>1.27970824E8</v>
      </c>
      <c r="W47" s="32" t="str">
        <f>"－"</f>
        <v>－</v>
      </c>
      <c r="X47" s="36" t="n">
        <f>22</f>
        <v>22.0</v>
      </c>
    </row>
    <row r="48">
      <c r="A48" s="27" t="s">
        <v>42</v>
      </c>
      <c r="B48" s="27" t="s">
        <v>181</v>
      </c>
      <c r="C48" s="27" t="s">
        <v>182</v>
      </c>
      <c r="D48" s="27" t="s">
        <v>183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10.0</v>
      </c>
      <c r="K48" s="33" t="n">
        <f>3195</f>
        <v>3195.0</v>
      </c>
      <c r="L48" s="34" t="s">
        <v>48</v>
      </c>
      <c r="M48" s="33" t="n">
        <f>3430</f>
        <v>3430.0</v>
      </c>
      <c r="N48" s="34" t="s">
        <v>49</v>
      </c>
      <c r="O48" s="33" t="n">
        <f>3154</f>
        <v>3154.0</v>
      </c>
      <c r="P48" s="34" t="s">
        <v>50</v>
      </c>
      <c r="Q48" s="33" t="n">
        <f>3419</f>
        <v>3419.0</v>
      </c>
      <c r="R48" s="34" t="s">
        <v>49</v>
      </c>
      <c r="S48" s="35" t="n">
        <f>3306.59</f>
        <v>3306.59</v>
      </c>
      <c r="T48" s="32" t="n">
        <f>5350690</f>
        <v>5350690.0</v>
      </c>
      <c r="U48" s="32" t="n">
        <f>4396430</f>
        <v>4396430.0</v>
      </c>
      <c r="V48" s="32" t="n">
        <f>17854228097</f>
        <v>1.7854228097E10</v>
      </c>
      <c r="W48" s="32" t="n">
        <f>14695532127</f>
        <v>1.4695532127E10</v>
      </c>
      <c r="X48" s="36" t="n">
        <f>22</f>
        <v>22.0</v>
      </c>
    </row>
    <row r="49">
      <c r="A49" s="27" t="s">
        <v>42</v>
      </c>
      <c r="B49" s="27" t="s">
        <v>184</v>
      </c>
      <c r="C49" s="27" t="s">
        <v>185</v>
      </c>
      <c r="D49" s="27" t="s">
        <v>186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1.0</v>
      </c>
      <c r="K49" s="33" t="n">
        <f>28545</f>
        <v>28545.0</v>
      </c>
      <c r="L49" s="34" t="s">
        <v>48</v>
      </c>
      <c r="M49" s="33" t="n">
        <f>30670</f>
        <v>30670.0</v>
      </c>
      <c r="N49" s="34" t="s">
        <v>49</v>
      </c>
      <c r="O49" s="33" t="n">
        <f>28190</f>
        <v>28190.0</v>
      </c>
      <c r="P49" s="34" t="s">
        <v>50</v>
      </c>
      <c r="Q49" s="33" t="n">
        <f>30670</f>
        <v>30670.0</v>
      </c>
      <c r="R49" s="34" t="s">
        <v>49</v>
      </c>
      <c r="S49" s="35" t="n">
        <f>29627.95</f>
        <v>29627.95</v>
      </c>
      <c r="T49" s="32" t="n">
        <f>142220</f>
        <v>142220.0</v>
      </c>
      <c r="U49" s="32" t="n">
        <f>128150</f>
        <v>128150.0</v>
      </c>
      <c r="V49" s="32" t="n">
        <f>4048340517</f>
        <v>4.048340517E9</v>
      </c>
      <c r="W49" s="32" t="n">
        <f>3626823552</f>
        <v>3.626823552E9</v>
      </c>
      <c r="X49" s="36" t="n">
        <f>22</f>
        <v>22.0</v>
      </c>
    </row>
    <row r="50">
      <c r="A50" s="27" t="s">
        <v>42</v>
      </c>
      <c r="B50" s="27" t="s">
        <v>187</v>
      </c>
      <c r="C50" s="27" t="s">
        <v>188</v>
      </c>
      <c r="D50" s="27" t="s">
        <v>189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10.0</v>
      </c>
      <c r="K50" s="33" t="n">
        <f>322.1</f>
        <v>322.1</v>
      </c>
      <c r="L50" s="34" t="s">
        <v>48</v>
      </c>
      <c r="M50" s="33" t="n">
        <f>345.8</f>
        <v>345.8</v>
      </c>
      <c r="N50" s="34" t="s">
        <v>49</v>
      </c>
      <c r="O50" s="33" t="n">
        <f>317.2</f>
        <v>317.2</v>
      </c>
      <c r="P50" s="34" t="s">
        <v>50</v>
      </c>
      <c r="Q50" s="33" t="n">
        <f>344.4</f>
        <v>344.4</v>
      </c>
      <c r="R50" s="34" t="s">
        <v>49</v>
      </c>
      <c r="S50" s="35" t="n">
        <f>333.22</f>
        <v>333.22</v>
      </c>
      <c r="T50" s="32" t="n">
        <f>141093790</f>
        <v>1.4109379E8</v>
      </c>
      <c r="U50" s="32" t="n">
        <f>67920040</f>
        <v>6.792004E7</v>
      </c>
      <c r="V50" s="32" t="n">
        <f>47208803173</f>
        <v>4.7208803173E10</v>
      </c>
      <c r="W50" s="32" t="n">
        <f>22837677829</f>
        <v>2.2837677829E10</v>
      </c>
      <c r="X50" s="36" t="n">
        <f>22</f>
        <v>22.0</v>
      </c>
    </row>
    <row r="51">
      <c r="A51" s="27" t="s">
        <v>42</v>
      </c>
      <c r="B51" s="27" t="s">
        <v>190</v>
      </c>
      <c r="C51" s="27" t="s">
        <v>191</v>
      </c>
      <c r="D51" s="27" t="s">
        <v>192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1.0</v>
      </c>
      <c r="K51" s="33" t="n">
        <f>2000</f>
        <v>2000.0</v>
      </c>
      <c r="L51" s="34" t="s">
        <v>48</v>
      </c>
      <c r="M51" s="33" t="n">
        <f>2060</f>
        <v>2060.0</v>
      </c>
      <c r="N51" s="34" t="s">
        <v>68</v>
      </c>
      <c r="O51" s="33" t="n">
        <f>1970</f>
        <v>1970.0</v>
      </c>
      <c r="P51" s="34" t="s">
        <v>48</v>
      </c>
      <c r="Q51" s="33" t="n">
        <f>2051</f>
        <v>2051.0</v>
      </c>
      <c r="R51" s="34" t="s">
        <v>49</v>
      </c>
      <c r="S51" s="35" t="n">
        <f>2018.77</f>
        <v>2018.77</v>
      </c>
      <c r="T51" s="32" t="n">
        <f>21736574</f>
        <v>2.1736574E7</v>
      </c>
      <c r="U51" s="32" t="n">
        <f>16947791</f>
        <v>1.6947791E7</v>
      </c>
      <c r="V51" s="32" t="n">
        <f>44177205137</f>
        <v>4.4177205137E10</v>
      </c>
      <c r="W51" s="32" t="n">
        <f>34510920567</f>
        <v>3.4510920567E10</v>
      </c>
      <c r="X51" s="36" t="n">
        <f>22</f>
        <v>22.0</v>
      </c>
    </row>
    <row r="52">
      <c r="A52" s="27" t="s">
        <v>42</v>
      </c>
      <c r="B52" s="27" t="s">
        <v>193</v>
      </c>
      <c r="C52" s="27" t="s">
        <v>194</v>
      </c>
      <c r="D52" s="27" t="s">
        <v>195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1.0</v>
      </c>
      <c r="K52" s="33" t="n">
        <f>2818</f>
        <v>2818.0</v>
      </c>
      <c r="L52" s="34" t="s">
        <v>48</v>
      </c>
      <c r="M52" s="33" t="n">
        <f>2926</f>
        <v>2926.0</v>
      </c>
      <c r="N52" s="34" t="s">
        <v>68</v>
      </c>
      <c r="O52" s="33" t="n">
        <f>2747</f>
        <v>2747.0</v>
      </c>
      <c r="P52" s="34" t="s">
        <v>50</v>
      </c>
      <c r="Q52" s="33" t="n">
        <f>2889</f>
        <v>2889.0</v>
      </c>
      <c r="R52" s="34" t="s">
        <v>49</v>
      </c>
      <c r="S52" s="35" t="n">
        <f>2840.68</f>
        <v>2840.68</v>
      </c>
      <c r="T52" s="32" t="n">
        <f>675357</f>
        <v>675357.0</v>
      </c>
      <c r="U52" s="32" t="n">
        <f>573425</f>
        <v>573425.0</v>
      </c>
      <c r="V52" s="32" t="n">
        <f>1896682562</f>
        <v>1.896682562E9</v>
      </c>
      <c r="W52" s="32" t="n">
        <f>1610358520</f>
        <v>1.61035852E9</v>
      </c>
      <c r="X52" s="36" t="n">
        <f>22</f>
        <v>22.0</v>
      </c>
    </row>
    <row r="53">
      <c r="A53" s="27" t="s">
        <v>42</v>
      </c>
      <c r="B53" s="27" t="s">
        <v>196</v>
      </c>
      <c r="C53" s="27" t="s">
        <v>197</v>
      </c>
      <c r="D53" s="27" t="s">
        <v>198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1.0</v>
      </c>
      <c r="K53" s="33" t="n">
        <f>4150</f>
        <v>4150.0</v>
      </c>
      <c r="L53" s="34" t="s">
        <v>48</v>
      </c>
      <c r="M53" s="33" t="n">
        <f>4431</f>
        <v>4431.0</v>
      </c>
      <c r="N53" s="34" t="s">
        <v>68</v>
      </c>
      <c r="O53" s="33" t="n">
        <f>4076</f>
        <v>4076.0</v>
      </c>
      <c r="P53" s="34" t="s">
        <v>50</v>
      </c>
      <c r="Q53" s="33" t="n">
        <f>4324</f>
        <v>4324.0</v>
      </c>
      <c r="R53" s="34" t="s">
        <v>49</v>
      </c>
      <c r="S53" s="35" t="n">
        <f>4271.91</f>
        <v>4271.91</v>
      </c>
      <c r="T53" s="32" t="n">
        <f>1436868</f>
        <v>1436868.0</v>
      </c>
      <c r="U53" s="32" t="n">
        <f>628428</f>
        <v>628428.0</v>
      </c>
      <c r="V53" s="32" t="n">
        <f>6126910973</f>
        <v>6.126910973E9</v>
      </c>
      <c r="W53" s="32" t="n">
        <f>2689100725</f>
        <v>2.689100725E9</v>
      </c>
      <c r="X53" s="36" t="n">
        <f>22</f>
        <v>22.0</v>
      </c>
    </row>
    <row r="54">
      <c r="A54" s="27" t="s">
        <v>42</v>
      </c>
      <c r="B54" s="27" t="s">
        <v>199</v>
      </c>
      <c r="C54" s="27" t="s">
        <v>200</v>
      </c>
      <c r="D54" s="27" t="s">
        <v>201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1.0</v>
      </c>
      <c r="K54" s="33" t="n">
        <f>39640</f>
        <v>39640.0</v>
      </c>
      <c r="L54" s="34" t="s">
        <v>48</v>
      </c>
      <c r="M54" s="33" t="n">
        <f>42480</f>
        <v>42480.0</v>
      </c>
      <c r="N54" s="34" t="s">
        <v>202</v>
      </c>
      <c r="O54" s="33" t="n">
        <f>39480</f>
        <v>39480.0</v>
      </c>
      <c r="P54" s="34" t="s">
        <v>48</v>
      </c>
      <c r="Q54" s="33" t="n">
        <f>41680</f>
        <v>41680.0</v>
      </c>
      <c r="R54" s="34" t="s">
        <v>203</v>
      </c>
      <c r="S54" s="35" t="n">
        <f>41314.55</f>
        <v>41314.55</v>
      </c>
      <c r="T54" s="32" t="n">
        <f>1868</f>
        <v>1868.0</v>
      </c>
      <c r="U54" s="32" t="str">
        <f>"－"</f>
        <v>－</v>
      </c>
      <c r="V54" s="32" t="n">
        <f>78200290</f>
        <v>7.820029E7</v>
      </c>
      <c r="W54" s="32" t="str">
        <f>"－"</f>
        <v>－</v>
      </c>
      <c r="X54" s="36" t="n">
        <f>11</f>
        <v>11.0</v>
      </c>
    </row>
    <row r="55">
      <c r="A55" s="27" t="s">
        <v>42</v>
      </c>
      <c r="B55" s="27" t="s">
        <v>204</v>
      </c>
      <c r="C55" s="27" t="s">
        <v>205</v>
      </c>
      <c r="D55" s="27" t="s">
        <v>206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36620</f>
        <v>36620.0</v>
      </c>
      <c r="L55" s="34" t="s">
        <v>50</v>
      </c>
      <c r="M55" s="33" t="n">
        <f>36620</f>
        <v>36620.0</v>
      </c>
      <c r="N55" s="34" t="s">
        <v>50</v>
      </c>
      <c r="O55" s="33" t="n">
        <f>28570</f>
        <v>28570.0</v>
      </c>
      <c r="P55" s="34" t="s">
        <v>61</v>
      </c>
      <c r="Q55" s="33" t="n">
        <f>32100</f>
        <v>32100.0</v>
      </c>
      <c r="R55" s="34" t="s">
        <v>49</v>
      </c>
      <c r="S55" s="35" t="n">
        <f>31628</f>
        <v>31628.0</v>
      </c>
      <c r="T55" s="32" t="n">
        <f>498</f>
        <v>498.0</v>
      </c>
      <c r="U55" s="32" t="n">
        <f>5</f>
        <v>5.0</v>
      </c>
      <c r="V55" s="32" t="n">
        <f>15695225</f>
        <v>1.5695225E7</v>
      </c>
      <c r="W55" s="32" t="n">
        <f>157865</f>
        <v>157865.0</v>
      </c>
      <c r="X55" s="36" t="n">
        <f>20</f>
        <v>20.0</v>
      </c>
    </row>
    <row r="56">
      <c r="A56" s="27" t="s">
        <v>42</v>
      </c>
      <c r="B56" s="27" t="s">
        <v>207</v>
      </c>
      <c r="C56" s="27" t="s">
        <v>208</v>
      </c>
      <c r="D56" s="27" t="s">
        <v>209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3117</f>
        <v>3117.0</v>
      </c>
      <c r="L56" s="34" t="s">
        <v>48</v>
      </c>
      <c r="M56" s="33" t="n">
        <f>3200</f>
        <v>3200.0</v>
      </c>
      <c r="N56" s="34" t="s">
        <v>106</v>
      </c>
      <c r="O56" s="33" t="n">
        <f>3038</f>
        <v>3038.0</v>
      </c>
      <c r="P56" s="34" t="s">
        <v>69</v>
      </c>
      <c r="Q56" s="33" t="n">
        <f>3161</f>
        <v>3161.0</v>
      </c>
      <c r="R56" s="34" t="s">
        <v>49</v>
      </c>
      <c r="S56" s="35" t="n">
        <f>3117.5</f>
        <v>3117.5</v>
      </c>
      <c r="T56" s="32" t="n">
        <f>1085</f>
        <v>1085.0</v>
      </c>
      <c r="U56" s="32" t="n">
        <f>1</f>
        <v>1.0</v>
      </c>
      <c r="V56" s="32" t="n">
        <f>3387532</f>
        <v>3387532.0</v>
      </c>
      <c r="W56" s="32" t="n">
        <f>3062</f>
        <v>3062.0</v>
      </c>
      <c r="X56" s="36" t="n">
        <f>18</f>
        <v>18.0</v>
      </c>
    </row>
    <row r="57">
      <c r="A57" s="27" t="s">
        <v>42</v>
      </c>
      <c r="B57" s="27" t="s">
        <v>210</v>
      </c>
      <c r="C57" s="27" t="s">
        <v>211</v>
      </c>
      <c r="D57" s="27" t="s">
        <v>212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1656</f>
        <v>1656.0</v>
      </c>
      <c r="L57" s="34" t="s">
        <v>48</v>
      </c>
      <c r="M57" s="33" t="n">
        <f>1664</f>
        <v>1664.0</v>
      </c>
      <c r="N57" s="34" t="s">
        <v>61</v>
      </c>
      <c r="O57" s="33" t="n">
        <f>1640</f>
        <v>1640.0</v>
      </c>
      <c r="P57" s="34" t="s">
        <v>116</v>
      </c>
      <c r="Q57" s="33" t="n">
        <f>1642</f>
        <v>1642.0</v>
      </c>
      <c r="R57" s="34" t="s">
        <v>49</v>
      </c>
      <c r="S57" s="35" t="n">
        <f>1653.77</f>
        <v>1653.77</v>
      </c>
      <c r="T57" s="32" t="n">
        <f>4892760</f>
        <v>4892760.0</v>
      </c>
      <c r="U57" s="32" t="n">
        <f>2983012</f>
        <v>2983012.0</v>
      </c>
      <c r="V57" s="32" t="n">
        <f>8094661463</f>
        <v>8.094661463E9</v>
      </c>
      <c r="W57" s="32" t="n">
        <f>4938823681</f>
        <v>4.938823681E9</v>
      </c>
      <c r="X57" s="36" t="n">
        <f>22</f>
        <v>22.0</v>
      </c>
    </row>
    <row r="58">
      <c r="A58" s="27" t="s">
        <v>42</v>
      </c>
      <c r="B58" s="27" t="s">
        <v>213</v>
      </c>
      <c r="C58" s="27" t="s">
        <v>214</v>
      </c>
      <c r="D58" s="27" t="s">
        <v>215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3104</f>
        <v>3104.0</v>
      </c>
      <c r="L58" s="34" t="s">
        <v>216</v>
      </c>
      <c r="M58" s="33" t="n">
        <f>3177</f>
        <v>3177.0</v>
      </c>
      <c r="N58" s="34" t="s">
        <v>106</v>
      </c>
      <c r="O58" s="33" t="n">
        <f>3041</f>
        <v>3041.0</v>
      </c>
      <c r="P58" s="34" t="s">
        <v>156</v>
      </c>
      <c r="Q58" s="33" t="n">
        <f>3140</f>
        <v>3140.0</v>
      </c>
      <c r="R58" s="34" t="s">
        <v>49</v>
      </c>
      <c r="S58" s="35" t="n">
        <f>3109.53</f>
        <v>3109.53</v>
      </c>
      <c r="T58" s="32" t="n">
        <f>570</f>
        <v>570.0</v>
      </c>
      <c r="U58" s="32" t="str">
        <f>"－"</f>
        <v>－</v>
      </c>
      <c r="V58" s="32" t="n">
        <f>1768706</f>
        <v>1768706.0</v>
      </c>
      <c r="W58" s="32" t="str">
        <f>"－"</f>
        <v>－</v>
      </c>
      <c r="X58" s="36" t="n">
        <f>15</f>
        <v>15.0</v>
      </c>
    </row>
    <row r="59">
      <c r="A59" s="27" t="s">
        <v>42</v>
      </c>
      <c r="B59" s="27" t="s">
        <v>217</v>
      </c>
      <c r="C59" s="27" t="s">
        <v>218</v>
      </c>
      <c r="D59" s="27" t="s">
        <v>219</v>
      </c>
      <c r="E59" s="28" t="s">
        <v>46</v>
      </c>
      <c r="F59" s="29" t="s">
        <v>46</v>
      </c>
      <c r="G59" s="30" t="s">
        <v>46</v>
      </c>
      <c r="H59" s="31"/>
      <c r="I59" s="31" t="s">
        <v>47</v>
      </c>
      <c r="J59" s="32" t="n">
        <v>10.0</v>
      </c>
      <c r="K59" s="33" t="n">
        <f>3011</f>
        <v>3011.0</v>
      </c>
      <c r="L59" s="34" t="s">
        <v>48</v>
      </c>
      <c r="M59" s="33" t="n">
        <f>3159</f>
        <v>3159.0</v>
      </c>
      <c r="N59" s="34" t="s">
        <v>106</v>
      </c>
      <c r="O59" s="33" t="n">
        <f>3005</f>
        <v>3005.0</v>
      </c>
      <c r="P59" s="34" t="s">
        <v>50</v>
      </c>
      <c r="Q59" s="33" t="n">
        <f>3118</f>
        <v>3118.0</v>
      </c>
      <c r="R59" s="34" t="s">
        <v>49</v>
      </c>
      <c r="S59" s="35" t="n">
        <f>3087.91</f>
        <v>3087.91</v>
      </c>
      <c r="T59" s="32" t="n">
        <f>4130</f>
        <v>4130.0</v>
      </c>
      <c r="U59" s="32" t="str">
        <f>"－"</f>
        <v>－</v>
      </c>
      <c r="V59" s="32" t="n">
        <f>12736590</f>
        <v>1.273659E7</v>
      </c>
      <c r="W59" s="32" t="str">
        <f>"－"</f>
        <v>－</v>
      </c>
      <c r="X59" s="36" t="n">
        <f>22</f>
        <v>22.0</v>
      </c>
    </row>
    <row r="60">
      <c r="A60" s="27" t="s">
        <v>42</v>
      </c>
      <c r="B60" s="27" t="s">
        <v>220</v>
      </c>
      <c r="C60" s="27" t="s">
        <v>221</v>
      </c>
      <c r="D60" s="27" t="s">
        <v>222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1.0</v>
      </c>
      <c r="K60" s="33" t="n">
        <f>44220</f>
        <v>44220.0</v>
      </c>
      <c r="L60" s="34" t="s">
        <v>69</v>
      </c>
      <c r="M60" s="33" t="n">
        <f>46530</f>
        <v>46530.0</v>
      </c>
      <c r="N60" s="34" t="s">
        <v>203</v>
      </c>
      <c r="O60" s="33" t="n">
        <f>43930</f>
        <v>43930.0</v>
      </c>
      <c r="P60" s="34" t="s">
        <v>203</v>
      </c>
      <c r="Q60" s="33" t="n">
        <f>46430</f>
        <v>46430.0</v>
      </c>
      <c r="R60" s="34" t="s">
        <v>203</v>
      </c>
      <c r="S60" s="35" t="n">
        <f>45416.67</f>
        <v>45416.67</v>
      </c>
      <c r="T60" s="32" t="n">
        <f>17</f>
        <v>17.0</v>
      </c>
      <c r="U60" s="32" t="str">
        <f>"－"</f>
        <v>－</v>
      </c>
      <c r="V60" s="32" t="n">
        <f>765480</f>
        <v>765480.0</v>
      </c>
      <c r="W60" s="32" t="str">
        <f>"－"</f>
        <v>－</v>
      </c>
      <c r="X60" s="36" t="n">
        <f>3</f>
        <v>3.0</v>
      </c>
    </row>
    <row r="61">
      <c r="A61" s="27" t="s">
        <v>42</v>
      </c>
      <c r="B61" s="27" t="s">
        <v>223</v>
      </c>
      <c r="C61" s="27" t="s">
        <v>224</v>
      </c>
      <c r="D61" s="27" t="s">
        <v>225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1.0</v>
      </c>
      <c r="K61" s="33" t="n">
        <f>23205</f>
        <v>23205.0</v>
      </c>
      <c r="L61" s="34" t="s">
        <v>48</v>
      </c>
      <c r="M61" s="33" t="n">
        <f>24355</f>
        <v>24355.0</v>
      </c>
      <c r="N61" s="34" t="s">
        <v>203</v>
      </c>
      <c r="O61" s="33" t="n">
        <f>23140</f>
        <v>23140.0</v>
      </c>
      <c r="P61" s="34" t="s">
        <v>48</v>
      </c>
      <c r="Q61" s="33" t="n">
        <f>24335</f>
        <v>24335.0</v>
      </c>
      <c r="R61" s="34" t="s">
        <v>49</v>
      </c>
      <c r="S61" s="35" t="n">
        <f>23958.64</f>
        <v>23958.64</v>
      </c>
      <c r="T61" s="32" t="n">
        <f>36722</f>
        <v>36722.0</v>
      </c>
      <c r="U61" s="32" t="n">
        <f>13271</f>
        <v>13271.0</v>
      </c>
      <c r="V61" s="32" t="n">
        <f>880243489</f>
        <v>8.80243489E8</v>
      </c>
      <c r="W61" s="32" t="n">
        <f>317153564</f>
        <v>3.17153564E8</v>
      </c>
      <c r="X61" s="36" t="n">
        <f>22</f>
        <v>22.0</v>
      </c>
    </row>
    <row r="62">
      <c r="A62" s="27" t="s">
        <v>42</v>
      </c>
      <c r="B62" s="27" t="s">
        <v>226</v>
      </c>
      <c r="C62" s="27" t="s">
        <v>227</v>
      </c>
      <c r="D62" s="27" t="s">
        <v>228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1.0</v>
      </c>
      <c r="K62" s="33" t="n">
        <f>12715</f>
        <v>12715.0</v>
      </c>
      <c r="L62" s="34" t="s">
        <v>48</v>
      </c>
      <c r="M62" s="33" t="n">
        <f>12900</f>
        <v>12900.0</v>
      </c>
      <c r="N62" s="34" t="s">
        <v>61</v>
      </c>
      <c r="O62" s="33" t="n">
        <f>12670</f>
        <v>12670.0</v>
      </c>
      <c r="P62" s="34" t="s">
        <v>229</v>
      </c>
      <c r="Q62" s="33" t="n">
        <f>12750</f>
        <v>12750.0</v>
      </c>
      <c r="R62" s="34" t="s">
        <v>49</v>
      </c>
      <c r="S62" s="35" t="n">
        <f>12788.18</f>
        <v>12788.18</v>
      </c>
      <c r="T62" s="32" t="n">
        <f>591504</f>
        <v>591504.0</v>
      </c>
      <c r="U62" s="32" t="n">
        <f>387200</f>
        <v>387200.0</v>
      </c>
      <c r="V62" s="32" t="n">
        <f>7561004965</f>
        <v>7.561004965E9</v>
      </c>
      <c r="W62" s="32" t="n">
        <f>4951426740</f>
        <v>4.95142674E9</v>
      </c>
      <c r="X62" s="36" t="n">
        <f>22</f>
        <v>22.0</v>
      </c>
    </row>
    <row r="63">
      <c r="A63" s="27" t="s">
        <v>42</v>
      </c>
      <c r="B63" s="27" t="s">
        <v>230</v>
      </c>
      <c r="C63" s="27" t="s">
        <v>231</v>
      </c>
      <c r="D63" s="27" t="s">
        <v>232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1.0</v>
      </c>
      <c r="K63" s="33" t="n">
        <f>1988</f>
        <v>1988.0</v>
      </c>
      <c r="L63" s="34" t="s">
        <v>48</v>
      </c>
      <c r="M63" s="33" t="n">
        <f>2046</f>
        <v>2046.0</v>
      </c>
      <c r="N63" s="34" t="s">
        <v>233</v>
      </c>
      <c r="O63" s="33" t="n">
        <f>1958</f>
        <v>1958.0</v>
      </c>
      <c r="P63" s="34" t="s">
        <v>48</v>
      </c>
      <c r="Q63" s="33" t="n">
        <f>2039</f>
        <v>2039.0</v>
      </c>
      <c r="R63" s="34" t="s">
        <v>49</v>
      </c>
      <c r="S63" s="35" t="n">
        <f>2006.18</f>
        <v>2006.18</v>
      </c>
      <c r="T63" s="32" t="n">
        <f>4955514</f>
        <v>4955514.0</v>
      </c>
      <c r="U63" s="32" t="n">
        <f>2065922</f>
        <v>2065922.0</v>
      </c>
      <c r="V63" s="32" t="n">
        <f>9983602652</f>
        <v>9.983602652E9</v>
      </c>
      <c r="W63" s="32" t="n">
        <f>4178020522</f>
        <v>4.178020522E9</v>
      </c>
      <c r="X63" s="36" t="n">
        <f>22</f>
        <v>22.0</v>
      </c>
    </row>
    <row r="64">
      <c r="A64" s="27" t="s">
        <v>42</v>
      </c>
      <c r="B64" s="27" t="s">
        <v>234</v>
      </c>
      <c r="C64" s="27" t="s">
        <v>235</v>
      </c>
      <c r="D64" s="27" t="s">
        <v>236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1.0</v>
      </c>
      <c r="K64" s="33" t="n">
        <f>2592</f>
        <v>2592.0</v>
      </c>
      <c r="L64" s="34" t="s">
        <v>48</v>
      </c>
      <c r="M64" s="33" t="n">
        <f>2627</f>
        <v>2627.0</v>
      </c>
      <c r="N64" s="34" t="s">
        <v>106</v>
      </c>
      <c r="O64" s="33" t="n">
        <f>2468</f>
        <v>2468.0</v>
      </c>
      <c r="P64" s="34" t="s">
        <v>156</v>
      </c>
      <c r="Q64" s="33" t="n">
        <f>2592</f>
        <v>2592.0</v>
      </c>
      <c r="R64" s="34" t="s">
        <v>49</v>
      </c>
      <c r="S64" s="35" t="n">
        <f>2558.14</f>
        <v>2558.14</v>
      </c>
      <c r="T64" s="32" t="n">
        <f>15209234</f>
        <v>1.5209234E7</v>
      </c>
      <c r="U64" s="32" t="n">
        <f>4068659</f>
        <v>4068659.0</v>
      </c>
      <c r="V64" s="32" t="n">
        <f>38756291400</f>
        <v>3.87562914E10</v>
      </c>
      <c r="W64" s="32" t="n">
        <f>10302028127</f>
        <v>1.0302028127E10</v>
      </c>
      <c r="X64" s="36" t="n">
        <f>22</f>
        <v>22.0</v>
      </c>
    </row>
    <row r="65">
      <c r="A65" s="27" t="s">
        <v>42</v>
      </c>
      <c r="B65" s="27" t="s">
        <v>237</v>
      </c>
      <c r="C65" s="27" t="s">
        <v>238</v>
      </c>
      <c r="D65" s="27" t="s">
        <v>239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1.0</v>
      </c>
      <c r="K65" s="33" t="n">
        <f>8650</f>
        <v>8650.0</v>
      </c>
      <c r="L65" s="34" t="s">
        <v>48</v>
      </c>
      <c r="M65" s="33" t="n">
        <f>9499</f>
        <v>9499.0</v>
      </c>
      <c r="N65" s="34" t="s">
        <v>80</v>
      </c>
      <c r="O65" s="33" t="n">
        <f>7174</f>
        <v>7174.0</v>
      </c>
      <c r="P65" s="34" t="s">
        <v>49</v>
      </c>
      <c r="Q65" s="33" t="n">
        <f>7294</f>
        <v>7294.0</v>
      </c>
      <c r="R65" s="34" t="s">
        <v>49</v>
      </c>
      <c r="S65" s="35" t="n">
        <f>7906.9</f>
        <v>7906.9</v>
      </c>
      <c r="T65" s="32" t="n">
        <f>7180</f>
        <v>7180.0</v>
      </c>
      <c r="U65" s="32" t="n">
        <f>5001</f>
        <v>5001.0</v>
      </c>
      <c r="V65" s="32" t="n">
        <f>54022942</f>
        <v>5.4022942E7</v>
      </c>
      <c r="W65" s="32" t="n">
        <f>36819821</f>
        <v>3.6819821E7</v>
      </c>
      <c r="X65" s="36" t="n">
        <f>20</f>
        <v>20.0</v>
      </c>
    </row>
    <row r="66">
      <c r="A66" s="27" t="s">
        <v>42</v>
      </c>
      <c r="B66" s="27" t="s">
        <v>240</v>
      </c>
      <c r="C66" s="27" t="s">
        <v>241</v>
      </c>
      <c r="D66" s="27" t="s">
        <v>242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1.0</v>
      </c>
      <c r="K66" s="33" t="n">
        <f>21470</f>
        <v>21470.0</v>
      </c>
      <c r="L66" s="34" t="s">
        <v>48</v>
      </c>
      <c r="M66" s="33" t="n">
        <f>21865</f>
        <v>21865.0</v>
      </c>
      <c r="N66" s="34" t="s">
        <v>106</v>
      </c>
      <c r="O66" s="33" t="n">
        <f>20585</f>
        <v>20585.0</v>
      </c>
      <c r="P66" s="34" t="s">
        <v>243</v>
      </c>
      <c r="Q66" s="33" t="n">
        <f>21320</f>
        <v>21320.0</v>
      </c>
      <c r="R66" s="34" t="s">
        <v>49</v>
      </c>
      <c r="S66" s="35" t="n">
        <f>21328.64</f>
        <v>21328.64</v>
      </c>
      <c r="T66" s="32" t="n">
        <f>7526</f>
        <v>7526.0</v>
      </c>
      <c r="U66" s="32" t="n">
        <f>55</f>
        <v>55.0</v>
      </c>
      <c r="V66" s="32" t="n">
        <f>160268989</f>
        <v>1.60268989E8</v>
      </c>
      <c r="W66" s="32" t="n">
        <f>1189069</f>
        <v>1189069.0</v>
      </c>
      <c r="X66" s="36" t="n">
        <f>22</f>
        <v>22.0</v>
      </c>
    </row>
    <row r="67">
      <c r="A67" s="27" t="s">
        <v>42</v>
      </c>
      <c r="B67" s="27" t="s">
        <v>244</v>
      </c>
      <c r="C67" s="27" t="s">
        <v>245</v>
      </c>
      <c r="D67" s="27" t="s">
        <v>246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36280</f>
        <v>36280.0</v>
      </c>
      <c r="L67" s="34" t="s">
        <v>48</v>
      </c>
      <c r="M67" s="33" t="n">
        <f>37000</f>
        <v>37000.0</v>
      </c>
      <c r="N67" s="34" t="s">
        <v>216</v>
      </c>
      <c r="O67" s="33" t="n">
        <f>34520</f>
        <v>34520.0</v>
      </c>
      <c r="P67" s="34" t="s">
        <v>156</v>
      </c>
      <c r="Q67" s="33" t="n">
        <f>35780</f>
        <v>35780.0</v>
      </c>
      <c r="R67" s="34" t="s">
        <v>49</v>
      </c>
      <c r="S67" s="35" t="n">
        <f>35884.55</f>
        <v>35884.55</v>
      </c>
      <c r="T67" s="32" t="n">
        <f>72618</f>
        <v>72618.0</v>
      </c>
      <c r="U67" s="32" t="n">
        <f>12103</f>
        <v>12103.0</v>
      </c>
      <c r="V67" s="32" t="n">
        <f>2600501611</f>
        <v>2.600501611E9</v>
      </c>
      <c r="W67" s="32" t="n">
        <f>430460241</f>
        <v>4.30460241E8</v>
      </c>
      <c r="X67" s="36" t="n">
        <f>22</f>
        <v>22.0</v>
      </c>
    </row>
    <row r="68">
      <c r="A68" s="27" t="s">
        <v>42</v>
      </c>
      <c r="B68" s="27" t="s">
        <v>247</v>
      </c>
      <c r="C68" s="27" t="s">
        <v>248</v>
      </c>
      <c r="D68" s="27" t="s">
        <v>249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1.0</v>
      </c>
      <c r="K68" s="33" t="n">
        <f>11000</f>
        <v>11000.0</v>
      </c>
      <c r="L68" s="34" t="s">
        <v>48</v>
      </c>
      <c r="M68" s="33" t="n">
        <f>11560</f>
        <v>11560.0</v>
      </c>
      <c r="N68" s="34" t="s">
        <v>233</v>
      </c>
      <c r="O68" s="33" t="n">
        <f>10870</f>
        <v>10870.0</v>
      </c>
      <c r="P68" s="34" t="s">
        <v>60</v>
      </c>
      <c r="Q68" s="33" t="n">
        <f>11345</f>
        <v>11345.0</v>
      </c>
      <c r="R68" s="34" t="s">
        <v>49</v>
      </c>
      <c r="S68" s="35" t="n">
        <f>11337.5</f>
        <v>11337.5</v>
      </c>
      <c r="T68" s="32" t="n">
        <f>9868</f>
        <v>9868.0</v>
      </c>
      <c r="U68" s="32" t="n">
        <f>161</f>
        <v>161.0</v>
      </c>
      <c r="V68" s="32" t="n">
        <f>111815098</f>
        <v>1.11815098E8</v>
      </c>
      <c r="W68" s="32" t="n">
        <f>1797778</f>
        <v>1797778.0</v>
      </c>
      <c r="X68" s="36" t="n">
        <f>22</f>
        <v>22.0</v>
      </c>
    </row>
    <row r="69">
      <c r="A69" s="27" t="s">
        <v>42</v>
      </c>
      <c r="B69" s="27" t="s">
        <v>250</v>
      </c>
      <c r="C69" s="27" t="s">
        <v>251</v>
      </c>
      <c r="D69" s="27" t="s">
        <v>252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1.0</v>
      </c>
      <c r="K69" s="33" t="n">
        <f>1778</f>
        <v>1778.0</v>
      </c>
      <c r="L69" s="34" t="s">
        <v>48</v>
      </c>
      <c r="M69" s="33" t="n">
        <f>1784</f>
        <v>1784.0</v>
      </c>
      <c r="N69" s="34" t="s">
        <v>69</v>
      </c>
      <c r="O69" s="33" t="n">
        <f>1754</f>
        <v>1754.0</v>
      </c>
      <c r="P69" s="34" t="s">
        <v>229</v>
      </c>
      <c r="Q69" s="33" t="n">
        <f>1757</f>
        <v>1757.0</v>
      </c>
      <c r="R69" s="34" t="s">
        <v>49</v>
      </c>
      <c r="S69" s="35" t="n">
        <f>1771.59</f>
        <v>1771.59</v>
      </c>
      <c r="T69" s="32" t="n">
        <f>695306</f>
        <v>695306.0</v>
      </c>
      <c r="U69" s="32" t="n">
        <f>401642</f>
        <v>401642.0</v>
      </c>
      <c r="V69" s="32" t="n">
        <f>1231541283</f>
        <v>1.231541283E9</v>
      </c>
      <c r="W69" s="32" t="n">
        <f>711397132</f>
        <v>7.11397132E8</v>
      </c>
      <c r="X69" s="36" t="n">
        <f>22</f>
        <v>22.0</v>
      </c>
    </row>
    <row r="70">
      <c r="A70" s="27" t="s">
        <v>42</v>
      </c>
      <c r="B70" s="27" t="s">
        <v>253</v>
      </c>
      <c r="C70" s="27" t="s">
        <v>254</v>
      </c>
      <c r="D70" s="27" t="s">
        <v>255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1.0</v>
      </c>
      <c r="K70" s="33" t="n">
        <f>1838</f>
        <v>1838.0</v>
      </c>
      <c r="L70" s="34" t="s">
        <v>48</v>
      </c>
      <c r="M70" s="33" t="n">
        <f>1839</f>
        <v>1839.0</v>
      </c>
      <c r="N70" s="34" t="s">
        <v>50</v>
      </c>
      <c r="O70" s="33" t="n">
        <f>1794</f>
        <v>1794.0</v>
      </c>
      <c r="P70" s="34" t="s">
        <v>61</v>
      </c>
      <c r="Q70" s="33" t="n">
        <f>1805</f>
        <v>1805.0</v>
      </c>
      <c r="R70" s="34" t="s">
        <v>49</v>
      </c>
      <c r="S70" s="35" t="n">
        <f>1813.32</f>
        <v>1813.32</v>
      </c>
      <c r="T70" s="32" t="n">
        <f>389597</f>
        <v>389597.0</v>
      </c>
      <c r="U70" s="32" t="str">
        <f>"－"</f>
        <v>－</v>
      </c>
      <c r="V70" s="32" t="n">
        <f>705291455</f>
        <v>7.05291455E8</v>
      </c>
      <c r="W70" s="32" t="str">
        <f>"－"</f>
        <v>－</v>
      </c>
      <c r="X70" s="36" t="n">
        <f>22</f>
        <v>22.0</v>
      </c>
    </row>
    <row r="71">
      <c r="A71" s="27" t="s">
        <v>42</v>
      </c>
      <c r="B71" s="27" t="s">
        <v>256</v>
      </c>
      <c r="C71" s="27" t="s">
        <v>257</v>
      </c>
      <c r="D71" s="27" t="s">
        <v>258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24700</f>
        <v>24700.0</v>
      </c>
      <c r="L71" s="34" t="s">
        <v>48</v>
      </c>
      <c r="M71" s="33" t="n">
        <f>27000</f>
        <v>27000.0</v>
      </c>
      <c r="N71" s="34" t="s">
        <v>49</v>
      </c>
      <c r="O71" s="33" t="n">
        <f>24670</f>
        <v>24670.0</v>
      </c>
      <c r="P71" s="34" t="s">
        <v>69</v>
      </c>
      <c r="Q71" s="33" t="n">
        <f>26915</f>
        <v>26915.0</v>
      </c>
      <c r="R71" s="34" t="s">
        <v>49</v>
      </c>
      <c r="S71" s="35" t="n">
        <f>25924.55</f>
        <v>25924.55</v>
      </c>
      <c r="T71" s="32" t="n">
        <f>4833</f>
        <v>4833.0</v>
      </c>
      <c r="U71" s="32" t="n">
        <f>3001</f>
        <v>3001.0</v>
      </c>
      <c r="V71" s="32" t="n">
        <f>125550651</f>
        <v>1.25550651E8</v>
      </c>
      <c r="W71" s="32" t="n">
        <f>78053436</f>
        <v>7.8053436E7</v>
      </c>
      <c r="X71" s="36" t="n">
        <f>22</f>
        <v>22.0</v>
      </c>
    </row>
    <row r="72">
      <c r="A72" s="27" t="s">
        <v>42</v>
      </c>
      <c r="B72" s="27" t="s">
        <v>259</v>
      </c>
      <c r="C72" s="27" t="s">
        <v>260</v>
      </c>
      <c r="D72" s="27" t="s">
        <v>261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9100</f>
        <v>9100.0</v>
      </c>
      <c r="L72" s="34" t="s">
        <v>48</v>
      </c>
      <c r="M72" s="33" t="n">
        <f>9130</f>
        <v>9130.0</v>
      </c>
      <c r="N72" s="34" t="s">
        <v>262</v>
      </c>
      <c r="O72" s="33" t="n">
        <f>8730</f>
        <v>8730.0</v>
      </c>
      <c r="P72" s="34" t="s">
        <v>79</v>
      </c>
      <c r="Q72" s="33" t="n">
        <f>8761</f>
        <v>8761.0</v>
      </c>
      <c r="R72" s="34" t="s">
        <v>49</v>
      </c>
      <c r="S72" s="35" t="n">
        <f>8882.77</f>
        <v>8882.77</v>
      </c>
      <c r="T72" s="32" t="n">
        <f>13107</f>
        <v>13107.0</v>
      </c>
      <c r="U72" s="32" t="str">
        <f>"－"</f>
        <v>－</v>
      </c>
      <c r="V72" s="32" t="n">
        <f>116264356</f>
        <v>1.16264356E8</v>
      </c>
      <c r="W72" s="32" t="str">
        <f>"－"</f>
        <v>－</v>
      </c>
      <c r="X72" s="36" t="n">
        <f>22</f>
        <v>22.0</v>
      </c>
    </row>
    <row r="73">
      <c r="A73" s="27" t="s">
        <v>42</v>
      </c>
      <c r="B73" s="27" t="s">
        <v>263</v>
      </c>
      <c r="C73" s="27" t="s">
        <v>264</v>
      </c>
      <c r="D73" s="27" t="s">
        <v>265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18985</f>
        <v>18985.0</v>
      </c>
      <c r="L73" s="34" t="s">
        <v>48</v>
      </c>
      <c r="M73" s="33" t="n">
        <f>25740</f>
        <v>25740.0</v>
      </c>
      <c r="N73" s="34" t="s">
        <v>61</v>
      </c>
      <c r="O73" s="33" t="n">
        <f>17870</f>
        <v>17870.0</v>
      </c>
      <c r="P73" s="34" t="s">
        <v>69</v>
      </c>
      <c r="Q73" s="33" t="n">
        <f>19170</f>
        <v>19170.0</v>
      </c>
      <c r="R73" s="34" t="s">
        <v>49</v>
      </c>
      <c r="S73" s="35" t="n">
        <f>19775.45</f>
        <v>19775.45</v>
      </c>
      <c r="T73" s="32" t="n">
        <f>32992772</f>
        <v>3.2992772E7</v>
      </c>
      <c r="U73" s="32" t="n">
        <f>3354008</f>
        <v>3354008.0</v>
      </c>
      <c r="V73" s="32" t="n">
        <f>671238830408</f>
        <v>6.71238830408E11</v>
      </c>
      <c r="W73" s="32" t="n">
        <f>68297221338</f>
        <v>6.8297221338E10</v>
      </c>
      <c r="X73" s="36" t="n">
        <f>22</f>
        <v>22.0</v>
      </c>
    </row>
    <row r="74">
      <c r="A74" s="27" t="s">
        <v>42</v>
      </c>
      <c r="B74" s="27" t="s">
        <v>266</v>
      </c>
      <c r="C74" s="27" t="s">
        <v>267</v>
      </c>
      <c r="D74" s="27" t="s">
        <v>268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1.0</v>
      </c>
      <c r="K74" s="33" t="n">
        <f>8400</f>
        <v>8400.0</v>
      </c>
      <c r="L74" s="34" t="s">
        <v>48</v>
      </c>
      <c r="M74" s="33" t="n">
        <f>10445</f>
        <v>10445.0</v>
      </c>
      <c r="N74" s="34" t="s">
        <v>61</v>
      </c>
      <c r="O74" s="33" t="n">
        <f>7001</f>
        <v>7001.0</v>
      </c>
      <c r="P74" s="34" t="s">
        <v>60</v>
      </c>
      <c r="Q74" s="33" t="n">
        <f>7478</f>
        <v>7478.0</v>
      </c>
      <c r="R74" s="34" t="s">
        <v>49</v>
      </c>
      <c r="S74" s="35" t="n">
        <f>8155</f>
        <v>8155.0</v>
      </c>
      <c r="T74" s="32" t="n">
        <f>4885598</f>
        <v>4885598.0</v>
      </c>
      <c r="U74" s="32" t="n">
        <f>16882</f>
        <v>16882.0</v>
      </c>
      <c r="V74" s="32" t="n">
        <f>40936379979</f>
        <v>4.0936379979E10</v>
      </c>
      <c r="W74" s="32" t="n">
        <f>149275724</f>
        <v>1.49275724E8</v>
      </c>
      <c r="X74" s="36" t="n">
        <f>22</f>
        <v>22.0</v>
      </c>
    </row>
    <row r="75">
      <c r="A75" s="27" t="s">
        <v>42</v>
      </c>
      <c r="B75" s="27" t="s">
        <v>269</v>
      </c>
      <c r="C75" s="27" t="s">
        <v>270</v>
      </c>
      <c r="D75" s="27" t="s">
        <v>271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1.0</v>
      </c>
      <c r="K75" s="33" t="n">
        <f>22795</f>
        <v>22795.0</v>
      </c>
      <c r="L75" s="34" t="s">
        <v>48</v>
      </c>
      <c r="M75" s="33" t="n">
        <f>27445</f>
        <v>27445.0</v>
      </c>
      <c r="N75" s="34" t="s">
        <v>61</v>
      </c>
      <c r="O75" s="33" t="n">
        <f>19995</f>
        <v>19995.0</v>
      </c>
      <c r="P75" s="34" t="s">
        <v>68</v>
      </c>
      <c r="Q75" s="33" t="n">
        <f>22280</f>
        <v>22280.0</v>
      </c>
      <c r="R75" s="34" t="s">
        <v>49</v>
      </c>
      <c r="S75" s="35" t="n">
        <f>22703.41</f>
        <v>22703.41</v>
      </c>
      <c r="T75" s="32" t="n">
        <f>3476667</f>
        <v>3476667.0</v>
      </c>
      <c r="U75" s="32" t="n">
        <f>33398</f>
        <v>33398.0</v>
      </c>
      <c r="V75" s="32" t="n">
        <f>81131221993</f>
        <v>8.1131221993E10</v>
      </c>
      <c r="W75" s="32" t="n">
        <f>764360463</f>
        <v>7.64360463E8</v>
      </c>
      <c r="X75" s="36" t="n">
        <f>22</f>
        <v>22.0</v>
      </c>
    </row>
    <row r="76">
      <c r="A76" s="27" t="s">
        <v>42</v>
      </c>
      <c r="B76" s="27" t="s">
        <v>272</v>
      </c>
      <c r="C76" s="27" t="s">
        <v>273</v>
      </c>
      <c r="D76" s="27" t="s">
        <v>274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1.0</v>
      </c>
      <c r="K76" s="33" t="n">
        <f>55390</f>
        <v>55390.0</v>
      </c>
      <c r="L76" s="34" t="s">
        <v>48</v>
      </c>
      <c r="M76" s="33" t="n">
        <f>78500</f>
        <v>78500.0</v>
      </c>
      <c r="N76" s="34" t="s">
        <v>61</v>
      </c>
      <c r="O76" s="33" t="n">
        <f>53490</f>
        <v>53490.0</v>
      </c>
      <c r="P76" s="34" t="s">
        <v>50</v>
      </c>
      <c r="Q76" s="33" t="n">
        <f>66620</f>
        <v>66620.0</v>
      </c>
      <c r="R76" s="34" t="s">
        <v>49</v>
      </c>
      <c r="S76" s="35" t="n">
        <f>63039.55</f>
        <v>63039.55</v>
      </c>
      <c r="T76" s="32" t="n">
        <f>110654</f>
        <v>110654.0</v>
      </c>
      <c r="U76" s="32" t="n">
        <f>2453</f>
        <v>2453.0</v>
      </c>
      <c r="V76" s="32" t="n">
        <f>7222201988</f>
        <v>7.222201988E9</v>
      </c>
      <c r="W76" s="32" t="n">
        <f>158947498</f>
        <v>1.58947498E8</v>
      </c>
      <c r="X76" s="36" t="n">
        <f>22</f>
        <v>22.0</v>
      </c>
    </row>
    <row r="77">
      <c r="A77" s="27" t="s">
        <v>42</v>
      </c>
      <c r="B77" s="27" t="s">
        <v>275</v>
      </c>
      <c r="C77" s="27" t="s">
        <v>276</v>
      </c>
      <c r="D77" s="27" t="s">
        <v>277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1.0</v>
      </c>
      <c r="K77" s="33" t="n">
        <f>36760</f>
        <v>36760.0</v>
      </c>
      <c r="L77" s="34" t="s">
        <v>48</v>
      </c>
      <c r="M77" s="33" t="n">
        <f>40590</f>
        <v>40590.0</v>
      </c>
      <c r="N77" s="34" t="s">
        <v>79</v>
      </c>
      <c r="O77" s="33" t="n">
        <f>36480</f>
        <v>36480.0</v>
      </c>
      <c r="P77" s="34" t="s">
        <v>48</v>
      </c>
      <c r="Q77" s="33" t="n">
        <f>40500</f>
        <v>40500.0</v>
      </c>
      <c r="R77" s="34" t="s">
        <v>49</v>
      </c>
      <c r="S77" s="35" t="n">
        <f>38406.36</f>
        <v>38406.36</v>
      </c>
      <c r="T77" s="32" t="n">
        <f>1610787</f>
        <v>1610787.0</v>
      </c>
      <c r="U77" s="32" t="n">
        <f>117341</f>
        <v>117341.0</v>
      </c>
      <c r="V77" s="32" t="n">
        <f>62312294104</f>
        <v>6.2312294104E10</v>
      </c>
      <c r="W77" s="32" t="n">
        <f>4651308204</f>
        <v>4.651308204E9</v>
      </c>
      <c r="X77" s="36" t="n">
        <f>22</f>
        <v>22.0</v>
      </c>
    </row>
    <row r="78">
      <c r="A78" s="27" t="s">
        <v>42</v>
      </c>
      <c r="B78" s="27" t="s">
        <v>278</v>
      </c>
      <c r="C78" s="27" t="s">
        <v>279</v>
      </c>
      <c r="D78" s="27" t="s">
        <v>280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1.0</v>
      </c>
      <c r="K78" s="33" t="n">
        <f>66600</f>
        <v>66600.0</v>
      </c>
      <c r="L78" s="34" t="s">
        <v>48</v>
      </c>
      <c r="M78" s="33" t="n">
        <f>71250</f>
        <v>71250.0</v>
      </c>
      <c r="N78" s="34" t="s">
        <v>49</v>
      </c>
      <c r="O78" s="33" t="n">
        <f>66080</f>
        <v>66080.0</v>
      </c>
      <c r="P78" s="34" t="s">
        <v>48</v>
      </c>
      <c r="Q78" s="33" t="n">
        <f>71180</f>
        <v>71180.0</v>
      </c>
      <c r="R78" s="34" t="s">
        <v>49</v>
      </c>
      <c r="S78" s="35" t="n">
        <f>68655</f>
        <v>68655.0</v>
      </c>
      <c r="T78" s="32" t="n">
        <f>40166</f>
        <v>40166.0</v>
      </c>
      <c r="U78" s="32" t="n">
        <f>128</f>
        <v>128.0</v>
      </c>
      <c r="V78" s="32" t="n">
        <f>2764976005</f>
        <v>2.764976005E9</v>
      </c>
      <c r="W78" s="32" t="n">
        <f>8864125</f>
        <v>8864125.0</v>
      </c>
      <c r="X78" s="36" t="n">
        <f>22</f>
        <v>22.0</v>
      </c>
    </row>
    <row r="79">
      <c r="A79" s="27" t="s">
        <v>42</v>
      </c>
      <c r="B79" s="27" t="s">
        <v>281</v>
      </c>
      <c r="C79" s="27" t="s">
        <v>282</v>
      </c>
      <c r="D79" s="27" t="s">
        <v>283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1.0</v>
      </c>
      <c r="K79" s="33" t="n">
        <f>10765</f>
        <v>10765.0</v>
      </c>
      <c r="L79" s="34" t="s">
        <v>48</v>
      </c>
      <c r="M79" s="33" t="n">
        <f>11555</f>
        <v>11555.0</v>
      </c>
      <c r="N79" s="34" t="s">
        <v>79</v>
      </c>
      <c r="O79" s="33" t="n">
        <f>10655</f>
        <v>10655.0</v>
      </c>
      <c r="P79" s="34" t="s">
        <v>48</v>
      </c>
      <c r="Q79" s="33" t="n">
        <f>11535</f>
        <v>11535.0</v>
      </c>
      <c r="R79" s="34" t="s">
        <v>49</v>
      </c>
      <c r="S79" s="35" t="n">
        <f>11128.41</f>
        <v>11128.41</v>
      </c>
      <c r="T79" s="32" t="n">
        <f>1041612</f>
        <v>1041612.0</v>
      </c>
      <c r="U79" s="32" t="n">
        <f>207879</f>
        <v>207879.0</v>
      </c>
      <c r="V79" s="32" t="n">
        <f>11560957620</f>
        <v>1.156095762E10</v>
      </c>
      <c r="W79" s="32" t="n">
        <f>2250400665</f>
        <v>2.250400665E9</v>
      </c>
      <c r="X79" s="36" t="n">
        <f>22</f>
        <v>22.0</v>
      </c>
    </row>
    <row r="80">
      <c r="A80" s="27" t="s">
        <v>42</v>
      </c>
      <c r="B80" s="27" t="s">
        <v>284</v>
      </c>
      <c r="C80" s="27" t="s">
        <v>285</v>
      </c>
      <c r="D80" s="27" t="s">
        <v>286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1.0</v>
      </c>
      <c r="K80" s="33" t="n">
        <f>6641</f>
        <v>6641.0</v>
      </c>
      <c r="L80" s="34" t="s">
        <v>48</v>
      </c>
      <c r="M80" s="33" t="n">
        <f>7070</f>
        <v>7070.0</v>
      </c>
      <c r="N80" s="34" t="s">
        <v>79</v>
      </c>
      <c r="O80" s="33" t="n">
        <f>6579</f>
        <v>6579.0</v>
      </c>
      <c r="P80" s="34" t="s">
        <v>48</v>
      </c>
      <c r="Q80" s="33" t="n">
        <f>7050</f>
        <v>7050.0</v>
      </c>
      <c r="R80" s="34" t="s">
        <v>49</v>
      </c>
      <c r="S80" s="35" t="n">
        <f>6838</f>
        <v>6838.0</v>
      </c>
      <c r="T80" s="32" t="n">
        <f>138947</f>
        <v>138947.0</v>
      </c>
      <c r="U80" s="32" t="n">
        <f>11515</f>
        <v>11515.0</v>
      </c>
      <c r="V80" s="32" t="n">
        <f>947422740</f>
        <v>9.4742274E8</v>
      </c>
      <c r="W80" s="32" t="n">
        <f>77774987</f>
        <v>7.7774987E7</v>
      </c>
      <c r="X80" s="36" t="n">
        <f>22</f>
        <v>22.0</v>
      </c>
    </row>
    <row r="81">
      <c r="A81" s="27" t="s">
        <v>42</v>
      </c>
      <c r="B81" s="27" t="s">
        <v>287</v>
      </c>
      <c r="C81" s="27" t="s">
        <v>288</v>
      </c>
      <c r="D81" s="27" t="s">
        <v>289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10.0</v>
      </c>
      <c r="K81" s="33" t="n">
        <f>6119</f>
        <v>6119.0</v>
      </c>
      <c r="L81" s="34" t="s">
        <v>48</v>
      </c>
      <c r="M81" s="33" t="n">
        <f>6200</f>
        <v>6200.0</v>
      </c>
      <c r="N81" s="34" t="s">
        <v>106</v>
      </c>
      <c r="O81" s="33" t="n">
        <f>6001</f>
        <v>6001.0</v>
      </c>
      <c r="P81" s="34" t="s">
        <v>80</v>
      </c>
      <c r="Q81" s="33" t="n">
        <f>6041</f>
        <v>6041.0</v>
      </c>
      <c r="R81" s="34" t="s">
        <v>49</v>
      </c>
      <c r="S81" s="35" t="n">
        <f>6108.43</f>
        <v>6108.43</v>
      </c>
      <c r="T81" s="32" t="n">
        <f>3140</f>
        <v>3140.0</v>
      </c>
      <c r="U81" s="32" t="n">
        <f>230</f>
        <v>230.0</v>
      </c>
      <c r="V81" s="32" t="n">
        <f>19216793</f>
        <v>1.9216793E7</v>
      </c>
      <c r="W81" s="32" t="n">
        <f>1391473</f>
        <v>1391473.0</v>
      </c>
      <c r="X81" s="36" t="n">
        <f>21</f>
        <v>21.0</v>
      </c>
    </row>
    <row r="82">
      <c r="A82" s="27" t="s">
        <v>42</v>
      </c>
      <c r="B82" s="27" t="s">
        <v>290</v>
      </c>
      <c r="C82" s="27" t="s">
        <v>291</v>
      </c>
      <c r="D82" s="27" t="s">
        <v>292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1.0</v>
      </c>
      <c r="K82" s="33" t="n">
        <f>5473</f>
        <v>5473.0</v>
      </c>
      <c r="L82" s="34" t="s">
        <v>48</v>
      </c>
      <c r="M82" s="33" t="n">
        <f>5875</f>
        <v>5875.0</v>
      </c>
      <c r="N82" s="34" t="s">
        <v>49</v>
      </c>
      <c r="O82" s="33" t="n">
        <f>5430</f>
        <v>5430.0</v>
      </c>
      <c r="P82" s="34" t="s">
        <v>48</v>
      </c>
      <c r="Q82" s="33" t="n">
        <f>5853</f>
        <v>5853.0</v>
      </c>
      <c r="R82" s="34" t="s">
        <v>49</v>
      </c>
      <c r="S82" s="35" t="n">
        <f>5672.64</f>
        <v>5672.64</v>
      </c>
      <c r="T82" s="32" t="n">
        <f>91930</f>
        <v>91930.0</v>
      </c>
      <c r="U82" s="32" t="n">
        <f>430</f>
        <v>430.0</v>
      </c>
      <c r="V82" s="32" t="n">
        <f>513086222</f>
        <v>5.13086222E8</v>
      </c>
      <c r="W82" s="32" t="n">
        <f>2480951</f>
        <v>2480951.0</v>
      </c>
      <c r="X82" s="36" t="n">
        <f>22</f>
        <v>22.0</v>
      </c>
    </row>
    <row r="83">
      <c r="A83" s="27" t="s">
        <v>42</v>
      </c>
      <c r="B83" s="27" t="s">
        <v>293</v>
      </c>
      <c r="C83" s="27" t="s">
        <v>294</v>
      </c>
      <c r="D83" s="27" t="s">
        <v>295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1.0</v>
      </c>
      <c r="K83" s="33" t="n">
        <f>2422</f>
        <v>2422.0</v>
      </c>
      <c r="L83" s="34" t="s">
        <v>48</v>
      </c>
      <c r="M83" s="33" t="n">
        <f>2597</f>
        <v>2597.0</v>
      </c>
      <c r="N83" s="34" t="s">
        <v>68</v>
      </c>
      <c r="O83" s="33" t="n">
        <f>2410</f>
        <v>2410.0</v>
      </c>
      <c r="P83" s="34" t="s">
        <v>48</v>
      </c>
      <c r="Q83" s="33" t="n">
        <f>2500</f>
        <v>2500.0</v>
      </c>
      <c r="R83" s="34" t="s">
        <v>49</v>
      </c>
      <c r="S83" s="35" t="n">
        <f>2494.59</f>
        <v>2494.59</v>
      </c>
      <c r="T83" s="32" t="n">
        <f>49487</f>
        <v>49487.0</v>
      </c>
      <c r="U83" s="32" t="n">
        <f>440</f>
        <v>440.0</v>
      </c>
      <c r="V83" s="32" t="n">
        <f>123980207</f>
        <v>1.23980207E8</v>
      </c>
      <c r="W83" s="32" t="n">
        <f>1081904</f>
        <v>1081904.0</v>
      </c>
      <c r="X83" s="36" t="n">
        <f>22</f>
        <v>22.0</v>
      </c>
    </row>
    <row r="84">
      <c r="A84" s="27" t="s">
        <v>42</v>
      </c>
      <c r="B84" s="27" t="s">
        <v>296</v>
      </c>
      <c r="C84" s="27" t="s">
        <v>297</v>
      </c>
      <c r="D84" s="27" t="s">
        <v>298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1.0</v>
      </c>
      <c r="K84" s="33" t="n">
        <f>98440</f>
        <v>98440.0</v>
      </c>
      <c r="L84" s="34" t="s">
        <v>48</v>
      </c>
      <c r="M84" s="33" t="n">
        <f>105650</f>
        <v>105650.0</v>
      </c>
      <c r="N84" s="34" t="s">
        <v>79</v>
      </c>
      <c r="O84" s="33" t="n">
        <f>97660</f>
        <v>97660.0</v>
      </c>
      <c r="P84" s="34" t="s">
        <v>48</v>
      </c>
      <c r="Q84" s="33" t="n">
        <f>105450</f>
        <v>105450.0</v>
      </c>
      <c r="R84" s="34" t="s">
        <v>49</v>
      </c>
      <c r="S84" s="35" t="n">
        <f>101736.82</f>
        <v>101736.82</v>
      </c>
      <c r="T84" s="32" t="n">
        <f>73836</f>
        <v>73836.0</v>
      </c>
      <c r="U84" s="32" t="n">
        <f>83</f>
        <v>83.0</v>
      </c>
      <c r="V84" s="32" t="n">
        <f>7539332287</f>
        <v>7.539332287E9</v>
      </c>
      <c r="W84" s="32" t="n">
        <f>8256757</f>
        <v>8256757.0</v>
      </c>
      <c r="X84" s="36" t="n">
        <f>22</f>
        <v>22.0</v>
      </c>
    </row>
    <row r="85">
      <c r="A85" s="27" t="s">
        <v>42</v>
      </c>
      <c r="B85" s="27" t="s">
        <v>299</v>
      </c>
      <c r="C85" s="27" t="s">
        <v>300</v>
      </c>
      <c r="D85" s="27" t="s">
        <v>301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1.0</v>
      </c>
      <c r="K85" s="33" t="n">
        <f>3500</f>
        <v>3500.0</v>
      </c>
      <c r="L85" s="34" t="s">
        <v>48</v>
      </c>
      <c r="M85" s="33" t="n">
        <f>3780</f>
        <v>3780.0</v>
      </c>
      <c r="N85" s="34" t="s">
        <v>106</v>
      </c>
      <c r="O85" s="33" t="n">
        <f>3428</f>
        <v>3428.0</v>
      </c>
      <c r="P85" s="34" t="s">
        <v>50</v>
      </c>
      <c r="Q85" s="33" t="n">
        <f>3735</f>
        <v>3735.0</v>
      </c>
      <c r="R85" s="34" t="s">
        <v>49</v>
      </c>
      <c r="S85" s="35" t="n">
        <f>3601.41</f>
        <v>3601.41</v>
      </c>
      <c r="T85" s="32" t="n">
        <f>9574</f>
        <v>9574.0</v>
      </c>
      <c r="U85" s="32" t="str">
        <f>"－"</f>
        <v>－</v>
      </c>
      <c r="V85" s="32" t="n">
        <f>34609538</f>
        <v>3.4609538E7</v>
      </c>
      <c r="W85" s="32" t="str">
        <f>"－"</f>
        <v>－</v>
      </c>
      <c r="X85" s="36" t="n">
        <f>22</f>
        <v>22.0</v>
      </c>
    </row>
    <row r="86">
      <c r="A86" s="27" t="s">
        <v>42</v>
      </c>
      <c r="B86" s="27" t="s">
        <v>302</v>
      </c>
      <c r="C86" s="27" t="s">
        <v>303</v>
      </c>
      <c r="D86" s="27" t="s">
        <v>304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1.0</v>
      </c>
      <c r="K86" s="33" t="n">
        <f>5430</f>
        <v>5430.0</v>
      </c>
      <c r="L86" s="34" t="s">
        <v>48</v>
      </c>
      <c r="M86" s="33" t="n">
        <f>5718</f>
        <v>5718.0</v>
      </c>
      <c r="N86" s="34" t="s">
        <v>68</v>
      </c>
      <c r="O86" s="33" t="n">
        <f>5360</f>
        <v>5360.0</v>
      </c>
      <c r="P86" s="34" t="s">
        <v>48</v>
      </c>
      <c r="Q86" s="33" t="n">
        <f>5637</f>
        <v>5637.0</v>
      </c>
      <c r="R86" s="34" t="s">
        <v>49</v>
      </c>
      <c r="S86" s="35" t="n">
        <f>5572.09</f>
        <v>5572.09</v>
      </c>
      <c r="T86" s="32" t="n">
        <f>7100</f>
        <v>7100.0</v>
      </c>
      <c r="U86" s="32" t="str">
        <f>"－"</f>
        <v>－</v>
      </c>
      <c r="V86" s="32" t="n">
        <f>39522445</f>
        <v>3.9522445E7</v>
      </c>
      <c r="W86" s="32" t="str">
        <f>"－"</f>
        <v>－</v>
      </c>
      <c r="X86" s="36" t="n">
        <f>22</f>
        <v>22.0</v>
      </c>
    </row>
    <row r="87">
      <c r="A87" s="27" t="s">
        <v>42</v>
      </c>
      <c r="B87" s="27" t="s">
        <v>305</v>
      </c>
      <c r="C87" s="27" t="s">
        <v>306</v>
      </c>
      <c r="D87" s="27" t="s">
        <v>307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2302</f>
        <v>2302.0</v>
      </c>
      <c r="L87" s="34" t="s">
        <v>48</v>
      </c>
      <c r="M87" s="33" t="n">
        <f>2330</f>
        <v>2330.0</v>
      </c>
      <c r="N87" s="34" t="s">
        <v>116</v>
      </c>
      <c r="O87" s="33" t="n">
        <f>2150</f>
        <v>2150.0</v>
      </c>
      <c r="P87" s="34" t="s">
        <v>79</v>
      </c>
      <c r="Q87" s="33" t="n">
        <f>2158</f>
        <v>2158.0</v>
      </c>
      <c r="R87" s="34" t="s">
        <v>49</v>
      </c>
      <c r="S87" s="35" t="n">
        <f>2250</f>
        <v>2250.0</v>
      </c>
      <c r="T87" s="32" t="n">
        <f>450343</f>
        <v>450343.0</v>
      </c>
      <c r="U87" s="32" t="n">
        <f>14380</f>
        <v>14380.0</v>
      </c>
      <c r="V87" s="32" t="n">
        <f>1010159562</f>
        <v>1.010159562E9</v>
      </c>
      <c r="W87" s="32" t="n">
        <f>32475857</f>
        <v>3.2475857E7</v>
      </c>
      <c r="X87" s="36" t="n">
        <f>22</f>
        <v>22.0</v>
      </c>
    </row>
    <row r="88">
      <c r="A88" s="27" t="s">
        <v>42</v>
      </c>
      <c r="B88" s="27" t="s">
        <v>308</v>
      </c>
      <c r="C88" s="27" t="s">
        <v>309</v>
      </c>
      <c r="D88" s="27" t="s">
        <v>310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51160</f>
        <v>51160.0</v>
      </c>
      <c r="L88" s="34" t="s">
        <v>48</v>
      </c>
      <c r="M88" s="33" t="n">
        <f>53000</f>
        <v>53000.0</v>
      </c>
      <c r="N88" s="34" t="s">
        <v>49</v>
      </c>
      <c r="O88" s="33" t="n">
        <f>50500</f>
        <v>50500.0</v>
      </c>
      <c r="P88" s="34" t="s">
        <v>69</v>
      </c>
      <c r="Q88" s="33" t="n">
        <f>52940</f>
        <v>52940.0</v>
      </c>
      <c r="R88" s="34" t="s">
        <v>49</v>
      </c>
      <c r="S88" s="35" t="n">
        <f>51965.45</f>
        <v>51965.45</v>
      </c>
      <c r="T88" s="32" t="n">
        <f>11356</f>
        <v>11356.0</v>
      </c>
      <c r="U88" s="32" t="n">
        <f>1407</f>
        <v>1407.0</v>
      </c>
      <c r="V88" s="32" t="n">
        <f>590558004</f>
        <v>5.90558004E8</v>
      </c>
      <c r="W88" s="32" t="n">
        <f>72478244</f>
        <v>7.2478244E7</v>
      </c>
      <c r="X88" s="36" t="n">
        <f>22</f>
        <v>22.0</v>
      </c>
    </row>
    <row r="89">
      <c r="A89" s="27" t="s">
        <v>42</v>
      </c>
      <c r="B89" s="27" t="s">
        <v>311</v>
      </c>
      <c r="C89" s="27" t="s">
        <v>312</v>
      </c>
      <c r="D89" s="27" t="s">
        <v>313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10.0</v>
      </c>
      <c r="K89" s="33" t="n">
        <f>604.3</f>
        <v>604.3</v>
      </c>
      <c r="L89" s="34" t="s">
        <v>48</v>
      </c>
      <c r="M89" s="33" t="n">
        <f>693.1</f>
        <v>693.1</v>
      </c>
      <c r="N89" s="34" t="s">
        <v>49</v>
      </c>
      <c r="O89" s="33" t="n">
        <f>586.2</f>
        <v>586.2</v>
      </c>
      <c r="P89" s="34" t="s">
        <v>50</v>
      </c>
      <c r="Q89" s="33" t="n">
        <f>687</f>
        <v>687.0</v>
      </c>
      <c r="R89" s="34" t="s">
        <v>49</v>
      </c>
      <c r="S89" s="35" t="n">
        <f>644.69</f>
        <v>644.69</v>
      </c>
      <c r="T89" s="32" t="n">
        <f>133582470</f>
        <v>1.3358247E8</v>
      </c>
      <c r="U89" s="32" t="n">
        <f>90680</f>
        <v>90680.0</v>
      </c>
      <c r="V89" s="32" t="n">
        <f>86256208269</f>
        <v>8.6256208269E10</v>
      </c>
      <c r="W89" s="32" t="n">
        <f>57977777</f>
        <v>5.7977777E7</v>
      </c>
      <c r="X89" s="36" t="n">
        <f>22</f>
        <v>22.0</v>
      </c>
    </row>
    <row r="90">
      <c r="A90" s="27" t="s">
        <v>42</v>
      </c>
      <c r="B90" s="27" t="s">
        <v>314</v>
      </c>
      <c r="C90" s="27" t="s">
        <v>315</v>
      </c>
      <c r="D90" s="27" t="s">
        <v>316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10.0</v>
      </c>
      <c r="K90" s="33" t="n">
        <f>1019</f>
        <v>1019.0</v>
      </c>
      <c r="L90" s="34" t="s">
        <v>48</v>
      </c>
      <c r="M90" s="33" t="n">
        <f>1034</f>
        <v>1034.0</v>
      </c>
      <c r="N90" s="34" t="s">
        <v>50</v>
      </c>
      <c r="O90" s="33" t="n">
        <f>945</f>
        <v>945.0</v>
      </c>
      <c r="P90" s="34" t="s">
        <v>49</v>
      </c>
      <c r="Q90" s="33" t="n">
        <f>949.5</f>
        <v>949.5</v>
      </c>
      <c r="R90" s="34" t="s">
        <v>49</v>
      </c>
      <c r="S90" s="35" t="n">
        <f>982.99</f>
        <v>982.99</v>
      </c>
      <c r="T90" s="32" t="n">
        <f>4064650</f>
        <v>4064650.0</v>
      </c>
      <c r="U90" s="32" t="n">
        <f>1547020</f>
        <v>1547020.0</v>
      </c>
      <c r="V90" s="32" t="n">
        <f>3988350059</f>
        <v>3.988350059E9</v>
      </c>
      <c r="W90" s="32" t="n">
        <f>1507189455</f>
        <v>1.507189455E9</v>
      </c>
      <c r="X90" s="36" t="n">
        <f>22</f>
        <v>22.0</v>
      </c>
    </row>
    <row r="91">
      <c r="A91" s="27" t="s">
        <v>42</v>
      </c>
      <c r="B91" s="27" t="s">
        <v>317</v>
      </c>
      <c r="C91" s="27" t="s">
        <v>318</v>
      </c>
      <c r="D91" s="27" t="s">
        <v>319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1.0</v>
      </c>
      <c r="K91" s="33" t="n">
        <f>34760</f>
        <v>34760.0</v>
      </c>
      <c r="L91" s="34" t="s">
        <v>48</v>
      </c>
      <c r="M91" s="33" t="n">
        <f>47210</f>
        <v>47210.0</v>
      </c>
      <c r="N91" s="34" t="s">
        <v>49</v>
      </c>
      <c r="O91" s="33" t="n">
        <f>34090</f>
        <v>34090.0</v>
      </c>
      <c r="P91" s="34" t="s">
        <v>48</v>
      </c>
      <c r="Q91" s="33" t="n">
        <f>47210</f>
        <v>47210.0</v>
      </c>
      <c r="R91" s="34" t="s">
        <v>49</v>
      </c>
      <c r="S91" s="35" t="n">
        <f>40635</f>
        <v>40635.0</v>
      </c>
      <c r="T91" s="32" t="n">
        <f>111920340</f>
        <v>1.1192034E8</v>
      </c>
      <c r="U91" s="32" t="n">
        <f>1270845</f>
        <v>1270845.0</v>
      </c>
      <c r="V91" s="32" t="n">
        <f>4574879897189</f>
        <v>4.574879897189E12</v>
      </c>
      <c r="W91" s="32" t="n">
        <f>51459447629</f>
        <v>5.1459447629E10</v>
      </c>
      <c r="X91" s="36" t="n">
        <f>22</f>
        <v>22.0</v>
      </c>
    </row>
    <row r="92">
      <c r="A92" s="27" t="s">
        <v>42</v>
      </c>
      <c r="B92" s="27" t="s">
        <v>320</v>
      </c>
      <c r="C92" s="27" t="s">
        <v>321</v>
      </c>
      <c r="D92" s="27" t="s">
        <v>322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1.0</v>
      </c>
      <c r="K92" s="33" t="n">
        <f>476</f>
        <v>476.0</v>
      </c>
      <c r="L92" s="34" t="s">
        <v>48</v>
      </c>
      <c r="M92" s="33" t="n">
        <f>480</f>
        <v>480.0</v>
      </c>
      <c r="N92" s="34" t="s">
        <v>48</v>
      </c>
      <c r="O92" s="33" t="n">
        <f>402</f>
        <v>402.0</v>
      </c>
      <c r="P92" s="34" t="s">
        <v>49</v>
      </c>
      <c r="Q92" s="33" t="n">
        <f>402</f>
        <v>402.0</v>
      </c>
      <c r="R92" s="34" t="s">
        <v>49</v>
      </c>
      <c r="S92" s="35" t="n">
        <f>437.36</f>
        <v>437.36</v>
      </c>
      <c r="T92" s="32" t="n">
        <f>100086063</f>
        <v>1.00086063E8</v>
      </c>
      <c r="U92" s="32" t="n">
        <f>36904210</f>
        <v>3.690421E7</v>
      </c>
      <c r="V92" s="32" t="n">
        <f>43998212534</f>
        <v>4.3998212534E10</v>
      </c>
      <c r="W92" s="32" t="n">
        <f>16476784662</f>
        <v>1.6476784662E10</v>
      </c>
      <c r="X92" s="36" t="n">
        <f>22</f>
        <v>22.0</v>
      </c>
    </row>
    <row r="93">
      <c r="A93" s="27" t="s">
        <v>42</v>
      </c>
      <c r="B93" s="27" t="s">
        <v>323</v>
      </c>
      <c r="C93" s="27" t="s">
        <v>324</v>
      </c>
      <c r="D93" s="27" t="s">
        <v>325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10.0</v>
      </c>
      <c r="K93" s="33" t="n">
        <f>8422</f>
        <v>8422.0</v>
      </c>
      <c r="L93" s="34" t="s">
        <v>48</v>
      </c>
      <c r="M93" s="33" t="n">
        <f>8972</f>
        <v>8972.0</v>
      </c>
      <c r="N93" s="34" t="s">
        <v>116</v>
      </c>
      <c r="O93" s="33" t="n">
        <f>7840</f>
        <v>7840.0</v>
      </c>
      <c r="P93" s="34" t="s">
        <v>61</v>
      </c>
      <c r="Q93" s="33" t="n">
        <f>8310</f>
        <v>8310.0</v>
      </c>
      <c r="R93" s="34" t="s">
        <v>49</v>
      </c>
      <c r="S93" s="35" t="n">
        <f>8466.14</f>
        <v>8466.14</v>
      </c>
      <c r="T93" s="32" t="n">
        <f>224760</f>
        <v>224760.0</v>
      </c>
      <c r="U93" s="32" t="str">
        <f>"－"</f>
        <v>－</v>
      </c>
      <c r="V93" s="32" t="n">
        <f>1890361020</f>
        <v>1.89036102E9</v>
      </c>
      <c r="W93" s="32" t="str">
        <f>"－"</f>
        <v>－</v>
      </c>
      <c r="X93" s="36" t="n">
        <f>22</f>
        <v>22.0</v>
      </c>
    </row>
    <row r="94">
      <c r="A94" s="27" t="s">
        <v>42</v>
      </c>
      <c r="B94" s="27" t="s">
        <v>326</v>
      </c>
      <c r="C94" s="27" t="s">
        <v>327</v>
      </c>
      <c r="D94" s="27" t="s">
        <v>328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10.0</v>
      </c>
      <c r="K94" s="33" t="n">
        <f>7150</f>
        <v>7150.0</v>
      </c>
      <c r="L94" s="34" t="s">
        <v>48</v>
      </c>
      <c r="M94" s="33" t="n">
        <f>7650</f>
        <v>7650.0</v>
      </c>
      <c r="N94" s="34" t="s">
        <v>156</v>
      </c>
      <c r="O94" s="33" t="n">
        <f>6902</f>
        <v>6902.0</v>
      </c>
      <c r="P94" s="34" t="s">
        <v>50</v>
      </c>
      <c r="Q94" s="33" t="n">
        <f>7594</f>
        <v>7594.0</v>
      </c>
      <c r="R94" s="34" t="s">
        <v>49</v>
      </c>
      <c r="S94" s="35" t="n">
        <f>7359.95</f>
        <v>7359.95</v>
      </c>
      <c r="T94" s="32" t="n">
        <f>24870</f>
        <v>24870.0</v>
      </c>
      <c r="U94" s="32" t="str">
        <f>"－"</f>
        <v>－</v>
      </c>
      <c r="V94" s="32" t="n">
        <f>182277260</f>
        <v>1.8227726E8</v>
      </c>
      <c r="W94" s="32" t="str">
        <f>"－"</f>
        <v>－</v>
      </c>
      <c r="X94" s="36" t="n">
        <f>22</f>
        <v>22.0</v>
      </c>
    </row>
    <row r="95">
      <c r="A95" s="27" t="s">
        <v>42</v>
      </c>
      <c r="B95" s="27" t="s">
        <v>329</v>
      </c>
      <c r="C95" s="27" t="s">
        <v>330</v>
      </c>
      <c r="D95" s="27" t="s">
        <v>331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1.0</v>
      </c>
      <c r="K95" s="33" t="n">
        <f>44130</f>
        <v>44130.0</v>
      </c>
      <c r="L95" s="34" t="s">
        <v>48</v>
      </c>
      <c r="M95" s="33" t="n">
        <f>45240</f>
        <v>45240.0</v>
      </c>
      <c r="N95" s="34" t="s">
        <v>106</v>
      </c>
      <c r="O95" s="33" t="n">
        <f>42630</f>
        <v>42630.0</v>
      </c>
      <c r="P95" s="34" t="s">
        <v>156</v>
      </c>
      <c r="Q95" s="33" t="n">
        <f>44530</f>
        <v>44530.0</v>
      </c>
      <c r="R95" s="34" t="s">
        <v>49</v>
      </c>
      <c r="S95" s="35" t="n">
        <f>44090</f>
        <v>44090.0</v>
      </c>
      <c r="T95" s="32" t="n">
        <f>184583</f>
        <v>184583.0</v>
      </c>
      <c r="U95" s="32" t="n">
        <f>57606</f>
        <v>57606.0</v>
      </c>
      <c r="V95" s="32" t="n">
        <f>8135761181</f>
        <v>8.135761181E9</v>
      </c>
      <c r="W95" s="32" t="n">
        <f>2542830001</f>
        <v>2.542830001E9</v>
      </c>
      <c r="X95" s="36" t="n">
        <f>22</f>
        <v>22.0</v>
      </c>
    </row>
    <row r="96">
      <c r="A96" s="27" t="s">
        <v>42</v>
      </c>
      <c r="B96" s="27" t="s">
        <v>332</v>
      </c>
      <c r="C96" s="27" t="s">
        <v>333</v>
      </c>
      <c r="D96" s="27" t="s">
        <v>334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1.0</v>
      </c>
      <c r="K96" s="33" t="n">
        <f>3591</f>
        <v>3591.0</v>
      </c>
      <c r="L96" s="34" t="s">
        <v>48</v>
      </c>
      <c r="M96" s="33" t="n">
        <f>4208</f>
        <v>4208.0</v>
      </c>
      <c r="N96" s="34" t="s">
        <v>49</v>
      </c>
      <c r="O96" s="33" t="n">
        <f>3562</f>
        <v>3562.0</v>
      </c>
      <c r="P96" s="34" t="s">
        <v>48</v>
      </c>
      <c r="Q96" s="33" t="n">
        <f>4198</f>
        <v>4198.0</v>
      </c>
      <c r="R96" s="34" t="s">
        <v>49</v>
      </c>
      <c r="S96" s="35" t="n">
        <f>3896.27</f>
        <v>3896.27</v>
      </c>
      <c r="T96" s="32" t="n">
        <f>324673</f>
        <v>324673.0</v>
      </c>
      <c r="U96" s="32" t="n">
        <f>64352</f>
        <v>64352.0</v>
      </c>
      <c r="V96" s="32" t="n">
        <f>1252965225</f>
        <v>1.252965225E9</v>
      </c>
      <c r="W96" s="32" t="n">
        <f>241506865</f>
        <v>2.41506865E8</v>
      </c>
      <c r="X96" s="36" t="n">
        <f>22</f>
        <v>22.0</v>
      </c>
    </row>
    <row r="97">
      <c r="A97" s="27" t="s">
        <v>42</v>
      </c>
      <c r="B97" s="27" t="s">
        <v>335</v>
      </c>
      <c r="C97" s="27" t="s">
        <v>336</v>
      </c>
      <c r="D97" s="27" t="s">
        <v>337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10.0</v>
      </c>
      <c r="K97" s="33" t="n">
        <f>373.9</f>
        <v>373.9</v>
      </c>
      <c r="L97" s="34" t="s">
        <v>48</v>
      </c>
      <c r="M97" s="33" t="n">
        <f>508.2</f>
        <v>508.2</v>
      </c>
      <c r="N97" s="34" t="s">
        <v>49</v>
      </c>
      <c r="O97" s="33" t="n">
        <f>366.9</f>
        <v>366.9</v>
      </c>
      <c r="P97" s="34" t="s">
        <v>48</v>
      </c>
      <c r="Q97" s="33" t="n">
        <f>508.2</f>
        <v>508.2</v>
      </c>
      <c r="R97" s="34" t="s">
        <v>49</v>
      </c>
      <c r="S97" s="35" t="n">
        <f>437.19</f>
        <v>437.19</v>
      </c>
      <c r="T97" s="32" t="n">
        <f>681114470</f>
        <v>6.8111447E8</v>
      </c>
      <c r="U97" s="32" t="n">
        <f>19072310</f>
        <v>1.907231E7</v>
      </c>
      <c r="V97" s="32" t="n">
        <f>298543361799</f>
        <v>2.98543361799E11</v>
      </c>
      <c r="W97" s="32" t="n">
        <f>8421394719</f>
        <v>8.421394719E9</v>
      </c>
      <c r="X97" s="36" t="n">
        <f>22</f>
        <v>22.0</v>
      </c>
    </row>
    <row r="98">
      <c r="A98" s="27" t="s">
        <v>42</v>
      </c>
      <c r="B98" s="27" t="s">
        <v>338</v>
      </c>
      <c r="C98" s="27" t="s">
        <v>339</v>
      </c>
      <c r="D98" s="27" t="s">
        <v>340</v>
      </c>
      <c r="E98" s="28" t="s">
        <v>46</v>
      </c>
      <c r="F98" s="29" t="s">
        <v>46</v>
      </c>
      <c r="G98" s="30" t="s">
        <v>46</v>
      </c>
      <c r="H98" s="31"/>
      <c r="I98" s="31" t="s">
        <v>47</v>
      </c>
      <c r="J98" s="32" t="n">
        <v>10.0</v>
      </c>
      <c r="K98" s="33" t="n">
        <f>1263.5</f>
        <v>1263.5</v>
      </c>
      <c r="L98" s="34" t="s">
        <v>48</v>
      </c>
      <c r="M98" s="33" t="n">
        <f>1274.5</f>
        <v>1274.5</v>
      </c>
      <c r="N98" s="34" t="s">
        <v>48</v>
      </c>
      <c r="O98" s="33" t="n">
        <f>1070</f>
        <v>1070.0</v>
      </c>
      <c r="P98" s="34" t="s">
        <v>49</v>
      </c>
      <c r="Q98" s="33" t="n">
        <f>1070</f>
        <v>1070.0</v>
      </c>
      <c r="R98" s="34" t="s">
        <v>49</v>
      </c>
      <c r="S98" s="35" t="n">
        <f>1161.91</f>
        <v>1161.91</v>
      </c>
      <c r="T98" s="32" t="n">
        <f>14498510</f>
        <v>1.449851E7</v>
      </c>
      <c r="U98" s="32" t="n">
        <f>3645010</f>
        <v>3645010.0</v>
      </c>
      <c r="V98" s="32" t="n">
        <f>16789993391</f>
        <v>1.6789993391E10</v>
      </c>
      <c r="W98" s="32" t="n">
        <f>4166924951</f>
        <v>4.166924951E9</v>
      </c>
      <c r="X98" s="36" t="n">
        <f>22</f>
        <v>22.0</v>
      </c>
    </row>
    <row r="99">
      <c r="A99" s="27" t="s">
        <v>42</v>
      </c>
      <c r="B99" s="27" t="s">
        <v>341</v>
      </c>
      <c r="C99" s="27" t="s">
        <v>342</v>
      </c>
      <c r="D99" s="27" t="s">
        <v>343</v>
      </c>
      <c r="E99" s="28" t="s">
        <v>46</v>
      </c>
      <c r="F99" s="29" t="s">
        <v>46</v>
      </c>
      <c r="G99" s="30" t="s">
        <v>46</v>
      </c>
      <c r="H99" s="31"/>
      <c r="I99" s="31" t="s">
        <v>47</v>
      </c>
      <c r="J99" s="32" t="n">
        <v>10.0</v>
      </c>
      <c r="K99" s="33" t="n">
        <f>2111.5</f>
        <v>2111.5</v>
      </c>
      <c r="L99" s="34" t="s">
        <v>50</v>
      </c>
      <c r="M99" s="33" t="n">
        <f>2300</f>
        <v>2300.0</v>
      </c>
      <c r="N99" s="34" t="s">
        <v>49</v>
      </c>
      <c r="O99" s="33" t="n">
        <f>2111.5</f>
        <v>2111.5</v>
      </c>
      <c r="P99" s="34" t="s">
        <v>50</v>
      </c>
      <c r="Q99" s="33" t="n">
        <f>2300</f>
        <v>2300.0</v>
      </c>
      <c r="R99" s="34" t="s">
        <v>49</v>
      </c>
      <c r="S99" s="35" t="n">
        <f>2204.22</f>
        <v>2204.22</v>
      </c>
      <c r="T99" s="32" t="n">
        <f>7220</f>
        <v>7220.0</v>
      </c>
      <c r="U99" s="32" t="str">
        <f>"－"</f>
        <v>－</v>
      </c>
      <c r="V99" s="32" t="n">
        <f>15781370</f>
        <v>1.578137E7</v>
      </c>
      <c r="W99" s="32" t="str">
        <f>"－"</f>
        <v>－</v>
      </c>
      <c r="X99" s="36" t="n">
        <f>16</f>
        <v>16.0</v>
      </c>
    </row>
    <row r="100">
      <c r="A100" s="27" t="s">
        <v>42</v>
      </c>
      <c r="B100" s="27" t="s">
        <v>344</v>
      </c>
      <c r="C100" s="27" t="s">
        <v>345</v>
      </c>
      <c r="D100" s="27" t="s">
        <v>346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1.0</v>
      </c>
      <c r="K100" s="33" t="n">
        <f>2471</f>
        <v>2471.0</v>
      </c>
      <c r="L100" s="34" t="s">
        <v>48</v>
      </c>
      <c r="M100" s="33" t="n">
        <f>2670</f>
        <v>2670.0</v>
      </c>
      <c r="N100" s="34" t="s">
        <v>49</v>
      </c>
      <c r="O100" s="33" t="n">
        <f>2434</f>
        <v>2434.0</v>
      </c>
      <c r="P100" s="34" t="s">
        <v>50</v>
      </c>
      <c r="Q100" s="33" t="n">
        <f>2651</f>
        <v>2651.0</v>
      </c>
      <c r="R100" s="34" t="s">
        <v>49</v>
      </c>
      <c r="S100" s="35" t="n">
        <f>2565.32</f>
        <v>2565.32</v>
      </c>
      <c r="T100" s="32" t="n">
        <f>4955</f>
        <v>4955.0</v>
      </c>
      <c r="U100" s="32" t="str">
        <f>"－"</f>
        <v>－</v>
      </c>
      <c r="V100" s="32" t="n">
        <f>12662652</f>
        <v>1.2662652E7</v>
      </c>
      <c r="W100" s="32" t="str">
        <f>"－"</f>
        <v>－</v>
      </c>
      <c r="X100" s="36" t="n">
        <f>22</f>
        <v>22.0</v>
      </c>
    </row>
    <row r="101">
      <c r="A101" s="27" t="s">
        <v>42</v>
      </c>
      <c r="B101" s="27" t="s">
        <v>347</v>
      </c>
      <c r="C101" s="27" t="s">
        <v>348</v>
      </c>
      <c r="D101" s="27" t="s">
        <v>349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1.0</v>
      </c>
      <c r="K101" s="33" t="n">
        <f>28440</f>
        <v>28440.0</v>
      </c>
      <c r="L101" s="34" t="s">
        <v>48</v>
      </c>
      <c r="M101" s="33" t="n">
        <f>30280</f>
        <v>30280.0</v>
      </c>
      <c r="N101" s="34" t="s">
        <v>49</v>
      </c>
      <c r="O101" s="33" t="n">
        <f>28010</f>
        <v>28010.0</v>
      </c>
      <c r="P101" s="34" t="s">
        <v>50</v>
      </c>
      <c r="Q101" s="33" t="n">
        <f>30200</f>
        <v>30200.0</v>
      </c>
      <c r="R101" s="34" t="s">
        <v>49</v>
      </c>
      <c r="S101" s="35" t="n">
        <f>29175.91</f>
        <v>29175.91</v>
      </c>
      <c r="T101" s="32" t="n">
        <f>897413</f>
        <v>897413.0</v>
      </c>
      <c r="U101" s="32" t="n">
        <f>816877</f>
        <v>816877.0</v>
      </c>
      <c r="V101" s="32" t="n">
        <f>26179275317</f>
        <v>2.6179275317E10</v>
      </c>
      <c r="W101" s="32" t="n">
        <f>23833946577</f>
        <v>2.3833946577E10</v>
      </c>
      <c r="X101" s="36" t="n">
        <f>22</f>
        <v>22.0</v>
      </c>
    </row>
    <row r="102">
      <c r="A102" s="27" t="s">
        <v>42</v>
      </c>
      <c r="B102" s="27" t="s">
        <v>350</v>
      </c>
      <c r="C102" s="27" t="s">
        <v>351</v>
      </c>
      <c r="D102" s="27" t="s">
        <v>352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1.0</v>
      </c>
      <c r="K102" s="33" t="n">
        <f>2586</f>
        <v>2586.0</v>
      </c>
      <c r="L102" s="34" t="s">
        <v>48</v>
      </c>
      <c r="M102" s="33" t="n">
        <f>2800</f>
        <v>2800.0</v>
      </c>
      <c r="N102" s="34" t="s">
        <v>49</v>
      </c>
      <c r="O102" s="33" t="n">
        <f>2563</f>
        <v>2563.0</v>
      </c>
      <c r="P102" s="34" t="s">
        <v>50</v>
      </c>
      <c r="Q102" s="33" t="n">
        <f>2782</f>
        <v>2782.0</v>
      </c>
      <c r="R102" s="34" t="s">
        <v>49</v>
      </c>
      <c r="S102" s="35" t="n">
        <f>2693.73</f>
        <v>2693.73</v>
      </c>
      <c r="T102" s="32" t="n">
        <f>308530</f>
        <v>308530.0</v>
      </c>
      <c r="U102" s="32" t="n">
        <f>47012</f>
        <v>47012.0</v>
      </c>
      <c r="V102" s="32" t="n">
        <f>832465669</f>
        <v>8.32465669E8</v>
      </c>
      <c r="W102" s="32" t="n">
        <f>125698700</f>
        <v>1.256987E8</v>
      </c>
      <c r="X102" s="36" t="n">
        <f>22</f>
        <v>22.0</v>
      </c>
    </row>
    <row r="103">
      <c r="A103" s="27" t="s">
        <v>42</v>
      </c>
      <c r="B103" s="27" t="s">
        <v>353</v>
      </c>
      <c r="C103" s="27" t="s">
        <v>354</v>
      </c>
      <c r="D103" s="27" t="s">
        <v>355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1.0</v>
      </c>
      <c r="K103" s="33" t="n">
        <f>29000</f>
        <v>29000.0</v>
      </c>
      <c r="L103" s="34" t="s">
        <v>48</v>
      </c>
      <c r="M103" s="33" t="n">
        <f>31260</f>
        <v>31260.0</v>
      </c>
      <c r="N103" s="34" t="s">
        <v>49</v>
      </c>
      <c r="O103" s="33" t="n">
        <f>28615</f>
        <v>28615.0</v>
      </c>
      <c r="P103" s="34" t="s">
        <v>50</v>
      </c>
      <c r="Q103" s="33" t="n">
        <f>31160</f>
        <v>31160.0</v>
      </c>
      <c r="R103" s="34" t="s">
        <v>49</v>
      </c>
      <c r="S103" s="35" t="n">
        <f>30108.18</f>
        <v>30108.18</v>
      </c>
      <c r="T103" s="32" t="n">
        <f>62628</f>
        <v>62628.0</v>
      </c>
      <c r="U103" s="32" t="n">
        <f>26541</f>
        <v>26541.0</v>
      </c>
      <c r="V103" s="32" t="n">
        <f>1905582042</f>
        <v>1.905582042E9</v>
      </c>
      <c r="W103" s="32" t="n">
        <f>817707922</f>
        <v>8.17707922E8</v>
      </c>
      <c r="X103" s="36" t="n">
        <f>22</f>
        <v>22.0</v>
      </c>
    </row>
    <row r="104">
      <c r="A104" s="27" t="s">
        <v>42</v>
      </c>
      <c r="B104" s="27" t="s">
        <v>356</v>
      </c>
      <c r="C104" s="27" t="s">
        <v>357</v>
      </c>
      <c r="D104" s="27" t="s">
        <v>358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10.0</v>
      </c>
      <c r="K104" s="33" t="n">
        <f>1992</f>
        <v>1992.0</v>
      </c>
      <c r="L104" s="34" t="s">
        <v>48</v>
      </c>
      <c r="M104" s="33" t="n">
        <f>2018.5</f>
        <v>2018.5</v>
      </c>
      <c r="N104" s="34" t="s">
        <v>49</v>
      </c>
      <c r="O104" s="33" t="n">
        <f>1935</f>
        <v>1935.0</v>
      </c>
      <c r="P104" s="34" t="s">
        <v>156</v>
      </c>
      <c r="Q104" s="33" t="n">
        <f>1981</f>
        <v>1981.0</v>
      </c>
      <c r="R104" s="34" t="s">
        <v>49</v>
      </c>
      <c r="S104" s="35" t="n">
        <f>1986.11</f>
        <v>1986.11</v>
      </c>
      <c r="T104" s="32" t="n">
        <f>2212890</f>
        <v>2212890.0</v>
      </c>
      <c r="U104" s="32" t="n">
        <f>1081470</f>
        <v>1081470.0</v>
      </c>
      <c r="V104" s="32" t="n">
        <f>4407538770</f>
        <v>4.40753877E9</v>
      </c>
      <c r="W104" s="32" t="n">
        <f>2161746245</f>
        <v>2.161746245E9</v>
      </c>
      <c r="X104" s="36" t="n">
        <f>22</f>
        <v>22.0</v>
      </c>
    </row>
    <row r="105">
      <c r="A105" s="27" t="s">
        <v>42</v>
      </c>
      <c r="B105" s="27" t="s">
        <v>359</v>
      </c>
      <c r="C105" s="27" t="s">
        <v>360</v>
      </c>
      <c r="D105" s="27" t="s">
        <v>361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10.0</v>
      </c>
      <c r="K105" s="33" t="n">
        <f>2450</f>
        <v>2450.0</v>
      </c>
      <c r="L105" s="34" t="s">
        <v>216</v>
      </c>
      <c r="M105" s="33" t="n">
        <f>2595</f>
        <v>2595.0</v>
      </c>
      <c r="N105" s="34" t="s">
        <v>79</v>
      </c>
      <c r="O105" s="33" t="n">
        <f>2363</f>
        <v>2363.0</v>
      </c>
      <c r="P105" s="34" t="s">
        <v>203</v>
      </c>
      <c r="Q105" s="33" t="n">
        <f>2595</f>
        <v>2595.0</v>
      </c>
      <c r="R105" s="34" t="s">
        <v>79</v>
      </c>
      <c r="S105" s="35" t="n">
        <f>2471.86</f>
        <v>2471.86</v>
      </c>
      <c r="T105" s="32" t="n">
        <f>900</f>
        <v>900.0</v>
      </c>
      <c r="U105" s="32" t="str">
        <f>"－"</f>
        <v>－</v>
      </c>
      <c r="V105" s="32" t="n">
        <f>2201710</f>
        <v>2201710.0</v>
      </c>
      <c r="W105" s="32" t="str">
        <f>"－"</f>
        <v>－</v>
      </c>
      <c r="X105" s="36" t="n">
        <f>7</f>
        <v>7.0</v>
      </c>
    </row>
    <row r="106">
      <c r="A106" s="27" t="s">
        <v>42</v>
      </c>
      <c r="B106" s="27" t="s">
        <v>362</v>
      </c>
      <c r="C106" s="27" t="s">
        <v>363</v>
      </c>
      <c r="D106" s="27" t="s">
        <v>364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1.0</v>
      </c>
      <c r="K106" s="33" t="n">
        <f>1973</f>
        <v>1973.0</v>
      </c>
      <c r="L106" s="34" t="s">
        <v>48</v>
      </c>
      <c r="M106" s="33" t="n">
        <f>2036</f>
        <v>2036.0</v>
      </c>
      <c r="N106" s="34" t="s">
        <v>49</v>
      </c>
      <c r="O106" s="33" t="n">
        <f>1949</f>
        <v>1949.0</v>
      </c>
      <c r="P106" s="34" t="s">
        <v>48</v>
      </c>
      <c r="Q106" s="33" t="n">
        <f>2032</f>
        <v>2032.0</v>
      </c>
      <c r="R106" s="34" t="s">
        <v>49</v>
      </c>
      <c r="S106" s="35" t="n">
        <f>1995.68</f>
        <v>1995.68</v>
      </c>
      <c r="T106" s="32" t="n">
        <f>8988371</f>
        <v>8988371.0</v>
      </c>
      <c r="U106" s="32" t="n">
        <f>6973787</f>
        <v>6973787.0</v>
      </c>
      <c r="V106" s="32" t="n">
        <f>17926732195</f>
        <v>1.7926732195E10</v>
      </c>
      <c r="W106" s="32" t="n">
        <f>13906506295</f>
        <v>1.3906506295E10</v>
      </c>
      <c r="X106" s="36" t="n">
        <f>22</f>
        <v>22.0</v>
      </c>
    </row>
    <row r="107">
      <c r="A107" s="27" t="s">
        <v>42</v>
      </c>
      <c r="B107" s="27" t="s">
        <v>365</v>
      </c>
      <c r="C107" s="27" t="s">
        <v>366</v>
      </c>
      <c r="D107" s="27" t="s">
        <v>367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1.0</v>
      </c>
      <c r="K107" s="33" t="n">
        <f>28500</f>
        <v>28500.0</v>
      </c>
      <c r="L107" s="34" t="s">
        <v>48</v>
      </c>
      <c r="M107" s="33" t="n">
        <f>30890</f>
        <v>30890.0</v>
      </c>
      <c r="N107" s="34" t="s">
        <v>49</v>
      </c>
      <c r="O107" s="33" t="n">
        <f>28375</f>
        <v>28375.0</v>
      </c>
      <c r="P107" s="34" t="s">
        <v>48</v>
      </c>
      <c r="Q107" s="33" t="n">
        <f>30800</f>
        <v>30800.0</v>
      </c>
      <c r="R107" s="34" t="s">
        <v>49</v>
      </c>
      <c r="S107" s="35" t="n">
        <f>29772.27</f>
        <v>29772.27</v>
      </c>
      <c r="T107" s="32" t="n">
        <f>15483</f>
        <v>15483.0</v>
      </c>
      <c r="U107" s="32" t="n">
        <f>2505</f>
        <v>2505.0</v>
      </c>
      <c r="V107" s="32" t="n">
        <f>462724206</f>
        <v>4.62724206E8</v>
      </c>
      <c r="W107" s="32" t="n">
        <f>75012376</f>
        <v>7.5012376E7</v>
      </c>
      <c r="X107" s="36" t="n">
        <f>22</f>
        <v>22.0</v>
      </c>
    </row>
    <row r="108">
      <c r="A108" s="27" t="s">
        <v>42</v>
      </c>
      <c r="B108" s="27" t="s">
        <v>368</v>
      </c>
      <c r="C108" s="27" t="s">
        <v>369</v>
      </c>
      <c r="D108" s="27" t="s">
        <v>370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10.0</v>
      </c>
      <c r="K108" s="33" t="n">
        <f>589.4</f>
        <v>589.4</v>
      </c>
      <c r="L108" s="34" t="s">
        <v>48</v>
      </c>
      <c r="M108" s="33" t="n">
        <f>665</f>
        <v>665.0</v>
      </c>
      <c r="N108" s="34" t="s">
        <v>216</v>
      </c>
      <c r="O108" s="33" t="n">
        <f>577.4</f>
        <v>577.4</v>
      </c>
      <c r="P108" s="34" t="s">
        <v>50</v>
      </c>
      <c r="Q108" s="33" t="n">
        <f>629.8</f>
        <v>629.8</v>
      </c>
      <c r="R108" s="34" t="s">
        <v>49</v>
      </c>
      <c r="S108" s="35" t="n">
        <f>608.09</f>
        <v>608.09</v>
      </c>
      <c r="T108" s="32" t="n">
        <f>937680</f>
        <v>937680.0</v>
      </c>
      <c r="U108" s="32" t="n">
        <f>100100</f>
        <v>100100.0</v>
      </c>
      <c r="V108" s="32" t="n">
        <f>576513489</f>
        <v>5.76513489E8</v>
      </c>
      <c r="W108" s="32" t="n">
        <f>61500299</f>
        <v>6.1500299E7</v>
      </c>
      <c r="X108" s="36" t="n">
        <f>22</f>
        <v>22.0</v>
      </c>
    </row>
    <row r="109">
      <c r="A109" s="27" t="s">
        <v>42</v>
      </c>
      <c r="B109" s="27" t="s">
        <v>371</v>
      </c>
      <c r="C109" s="27" t="s">
        <v>372</v>
      </c>
      <c r="D109" s="27" t="s">
        <v>373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10.0</v>
      </c>
      <c r="K109" s="33" t="n">
        <f>467.1</f>
        <v>467.1</v>
      </c>
      <c r="L109" s="34" t="s">
        <v>48</v>
      </c>
      <c r="M109" s="33" t="n">
        <f>470.6</f>
        <v>470.6</v>
      </c>
      <c r="N109" s="34" t="s">
        <v>49</v>
      </c>
      <c r="O109" s="33" t="n">
        <f>440</f>
        <v>440.0</v>
      </c>
      <c r="P109" s="34" t="s">
        <v>156</v>
      </c>
      <c r="Q109" s="33" t="n">
        <f>468.3</f>
        <v>468.3</v>
      </c>
      <c r="R109" s="34" t="s">
        <v>49</v>
      </c>
      <c r="S109" s="35" t="n">
        <f>457.27</f>
        <v>457.27</v>
      </c>
      <c r="T109" s="32" t="n">
        <f>95693660</f>
        <v>9.569366E7</v>
      </c>
      <c r="U109" s="32" t="n">
        <f>22425240</f>
        <v>2.242524E7</v>
      </c>
      <c r="V109" s="32" t="n">
        <f>43742257061</f>
        <v>4.3742257061E10</v>
      </c>
      <c r="W109" s="32" t="n">
        <f>10342303260</f>
        <v>1.034230326E10</v>
      </c>
      <c r="X109" s="36" t="n">
        <f>22</f>
        <v>22.0</v>
      </c>
    </row>
    <row r="110">
      <c r="A110" s="27" t="s">
        <v>42</v>
      </c>
      <c r="B110" s="27" t="s">
        <v>374</v>
      </c>
      <c r="C110" s="27" t="s">
        <v>375</v>
      </c>
      <c r="D110" s="27" t="s">
        <v>376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1.0</v>
      </c>
      <c r="K110" s="33" t="n">
        <f>40130</f>
        <v>40130.0</v>
      </c>
      <c r="L110" s="34" t="s">
        <v>48</v>
      </c>
      <c r="M110" s="33" t="n">
        <f>40670</f>
        <v>40670.0</v>
      </c>
      <c r="N110" s="34" t="s">
        <v>202</v>
      </c>
      <c r="O110" s="33" t="n">
        <f>39050</f>
        <v>39050.0</v>
      </c>
      <c r="P110" s="34" t="s">
        <v>79</v>
      </c>
      <c r="Q110" s="33" t="n">
        <f>40430</f>
        <v>40430.0</v>
      </c>
      <c r="R110" s="34" t="s">
        <v>49</v>
      </c>
      <c r="S110" s="35" t="n">
        <f>39930.91</f>
        <v>39930.91</v>
      </c>
      <c r="T110" s="32" t="n">
        <f>17993</f>
        <v>17993.0</v>
      </c>
      <c r="U110" s="32" t="n">
        <f>13697</f>
        <v>13697.0</v>
      </c>
      <c r="V110" s="32" t="n">
        <f>723721761</f>
        <v>7.23721761E8</v>
      </c>
      <c r="W110" s="32" t="n">
        <f>552530701</f>
        <v>5.52530701E8</v>
      </c>
      <c r="X110" s="36" t="n">
        <f>22</f>
        <v>22.0</v>
      </c>
    </row>
    <row r="111">
      <c r="A111" s="27" t="s">
        <v>42</v>
      </c>
      <c r="B111" s="27" t="s">
        <v>377</v>
      </c>
      <c r="C111" s="27" t="s">
        <v>378</v>
      </c>
      <c r="D111" s="27" t="s">
        <v>379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1.0</v>
      </c>
      <c r="K111" s="33" t="n">
        <f>25000</f>
        <v>25000.0</v>
      </c>
      <c r="L111" s="34" t="s">
        <v>48</v>
      </c>
      <c r="M111" s="33" t="n">
        <f>26770</f>
        <v>26770.0</v>
      </c>
      <c r="N111" s="34" t="s">
        <v>68</v>
      </c>
      <c r="O111" s="33" t="n">
        <f>24390</f>
        <v>24390.0</v>
      </c>
      <c r="P111" s="34" t="s">
        <v>156</v>
      </c>
      <c r="Q111" s="33" t="n">
        <f>26160</f>
        <v>26160.0</v>
      </c>
      <c r="R111" s="34" t="s">
        <v>49</v>
      </c>
      <c r="S111" s="35" t="n">
        <f>25387.05</f>
        <v>25387.05</v>
      </c>
      <c r="T111" s="32" t="n">
        <f>9413</f>
        <v>9413.0</v>
      </c>
      <c r="U111" s="32" t="n">
        <f>162</f>
        <v>162.0</v>
      </c>
      <c r="V111" s="32" t="n">
        <f>237384702</f>
        <v>2.37384702E8</v>
      </c>
      <c r="W111" s="32" t="n">
        <f>4155662</f>
        <v>4155662.0</v>
      </c>
      <c r="X111" s="36" t="n">
        <f>22</f>
        <v>22.0</v>
      </c>
    </row>
    <row r="112">
      <c r="A112" s="27" t="s">
        <v>42</v>
      </c>
      <c r="B112" s="27" t="s">
        <v>380</v>
      </c>
      <c r="C112" s="27" t="s">
        <v>381</v>
      </c>
      <c r="D112" s="27" t="s">
        <v>382</v>
      </c>
      <c r="E112" s="28" t="s">
        <v>46</v>
      </c>
      <c r="F112" s="29" t="s">
        <v>46</v>
      </c>
      <c r="G112" s="30" t="s">
        <v>46</v>
      </c>
      <c r="H112" s="31"/>
      <c r="I112" s="31" t="s">
        <v>47</v>
      </c>
      <c r="J112" s="32" t="n">
        <v>1.0</v>
      </c>
      <c r="K112" s="33" t="n">
        <f>37300</f>
        <v>37300.0</v>
      </c>
      <c r="L112" s="34" t="s">
        <v>48</v>
      </c>
      <c r="M112" s="33" t="n">
        <f>39850</f>
        <v>39850.0</v>
      </c>
      <c r="N112" s="34" t="s">
        <v>106</v>
      </c>
      <c r="O112" s="33" t="n">
        <f>36280</f>
        <v>36280.0</v>
      </c>
      <c r="P112" s="34" t="s">
        <v>50</v>
      </c>
      <c r="Q112" s="33" t="n">
        <f>38940</f>
        <v>38940.0</v>
      </c>
      <c r="R112" s="34" t="s">
        <v>49</v>
      </c>
      <c r="S112" s="35" t="n">
        <f>37949.09</f>
        <v>37949.09</v>
      </c>
      <c r="T112" s="32" t="n">
        <f>18836</f>
        <v>18836.0</v>
      </c>
      <c r="U112" s="32" t="n">
        <f>10588</f>
        <v>10588.0</v>
      </c>
      <c r="V112" s="32" t="n">
        <f>715418249</f>
        <v>7.15418249E8</v>
      </c>
      <c r="W112" s="32" t="n">
        <f>400748379</f>
        <v>4.00748379E8</v>
      </c>
      <c r="X112" s="36" t="n">
        <f>22</f>
        <v>22.0</v>
      </c>
    </row>
    <row r="113">
      <c r="A113" s="27" t="s">
        <v>42</v>
      </c>
      <c r="B113" s="27" t="s">
        <v>383</v>
      </c>
      <c r="C113" s="27" t="s">
        <v>384</v>
      </c>
      <c r="D113" s="27" t="s">
        <v>385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1.0</v>
      </c>
      <c r="K113" s="33" t="n">
        <f>30350</f>
        <v>30350.0</v>
      </c>
      <c r="L113" s="34" t="s">
        <v>48</v>
      </c>
      <c r="M113" s="33" t="n">
        <f>31950</f>
        <v>31950.0</v>
      </c>
      <c r="N113" s="34" t="s">
        <v>216</v>
      </c>
      <c r="O113" s="33" t="n">
        <f>29845</f>
        <v>29845.0</v>
      </c>
      <c r="P113" s="34" t="s">
        <v>50</v>
      </c>
      <c r="Q113" s="33" t="n">
        <f>30090</f>
        <v>30090.0</v>
      </c>
      <c r="R113" s="34" t="s">
        <v>49</v>
      </c>
      <c r="S113" s="35" t="n">
        <f>30559.77</f>
        <v>30559.77</v>
      </c>
      <c r="T113" s="32" t="n">
        <f>4888</f>
        <v>4888.0</v>
      </c>
      <c r="U113" s="32" t="n">
        <f>15</f>
        <v>15.0</v>
      </c>
      <c r="V113" s="32" t="n">
        <f>150493514</f>
        <v>1.50493514E8</v>
      </c>
      <c r="W113" s="32" t="n">
        <f>463524</f>
        <v>463524.0</v>
      </c>
      <c r="X113" s="36" t="n">
        <f>22</f>
        <v>22.0</v>
      </c>
    </row>
    <row r="114">
      <c r="A114" s="27" t="s">
        <v>42</v>
      </c>
      <c r="B114" s="27" t="s">
        <v>386</v>
      </c>
      <c r="C114" s="27" t="s">
        <v>387</v>
      </c>
      <c r="D114" s="27" t="s">
        <v>388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1.0</v>
      </c>
      <c r="K114" s="33" t="n">
        <f>26400</f>
        <v>26400.0</v>
      </c>
      <c r="L114" s="34" t="s">
        <v>48</v>
      </c>
      <c r="M114" s="33" t="n">
        <f>28315</f>
        <v>28315.0</v>
      </c>
      <c r="N114" s="34" t="s">
        <v>202</v>
      </c>
      <c r="O114" s="33" t="n">
        <f>26235</f>
        <v>26235.0</v>
      </c>
      <c r="P114" s="34" t="s">
        <v>48</v>
      </c>
      <c r="Q114" s="33" t="n">
        <f>26730</f>
        <v>26730.0</v>
      </c>
      <c r="R114" s="34" t="s">
        <v>49</v>
      </c>
      <c r="S114" s="35" t="n">
        <f>27281.36</f>
        <v>27281.36</v>
      </c>
      <c r="T114" s="32" t="n">
        <f>62877</f>
        <v>62877.0</v>
      </c>
      <c r="U114" s="32" t="n">
        <f>46439</f>
        <v>46439.0</v>
      </c>
      <c r="V114" s="32" t="n">
        <f>1735547399</f>
        <v>1.735547399E9</v>
      </c>
      <c r="W114" s="32" t="n">
        <f>1288939999</f>
        <v>1.288939999E9</v>
      </c>
      <c r="X114" s="36" t="n">
        <f>22</f>
        <v>22.0</v>
      </c>
    </row>
    <row r="115">
      <c r="A115" s="27" t="s">
        <v>42</v>
      </c>
      <c r="B115" s="27" t="s">
        <v>389</v>
      </c>
      <c r="C115" s="27" t="s">
        <v>390</v>
      </c>
      <c r="D115" s="27" t="s">
        <v>391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1.0</v>
      </c>
      <c r="K115" s="33" t="n">
        <f>32310</f>
        <v>32310.0</v>
      </c>
      <c r="L115" s="34" t="s">
        <v>48</v>
      </c>
      <c r="M115" s="33" t="n">
        <f>35400</f>
        <v>35400.0</v>
      </c>
      <c r="N115" s="34" t="s">
        <v>106</v>
      </c>
      <c r="O115" s="33" t="n">
        <f>31710</f>
        <v>31710.0</v>
      </c>
      <c r="P115" s="34" t="s">
        <v>50</v>
      </c>
      <c r="Q115" s="33" t="n">
        <f>34490</f>
        <v>34490.0</v>
      </c>
      <c r="R115" s="34" t="s">
        <v>49</v>
      </c>
      <c r="S115" s="35" t="n">
        <f>33616.36</f>
        <v>33616.36</v>
      </c>
      <c r="T115" s="32" t="n">
        <f>17217</f>
        <v>17217.0</v>
      </c>
      <c r="U115" s="32" t="n">
        <f>628</f>
        <v>628.0</v>
      </c>
      <c r="V115" s="32" t="n">
        <f>585373966</f>
        <v>5.85373966E8</v>
      </c>
      <c r="W115" s="32" t="n">
        <f>21908116</f>
        <v>2.1908116E7</v>
      </c>
      <c r="X115" s="36" t="n">
        <f>22</f>
        <v>22.0</v>
      </c>
    </row>
    <row r="116">
      <c r="A116" s="27" t="s">
        <v>42</v>
      </c>
      <c r="B116" s="27" t="s">
        <v>392</v>
      </c>
      <c r="C116" s="27" t="s">
        <v>393</v>
      </c>
      <c r="D116" s="27" t="s">
        <v>394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1.0</v>
      </c>
      <c r="K116" s="33" t="n">
        <f>36650</f>
        <v>36650.0</v>
      </c>
      <c r="L116" s="34" t="s">
        <v>48</v>
      </c>
      <c r="M116" s="33" t="n">
        <f>43520</f>
        <v>43520.0</v>
      </c>
      <c r="N116" s="34" t="s">
        <v>49</v>
      </c>
      <c r="O116" s="33" t="n">
        <f>35940</f>
        <v>35940.0</v>
      </c>
      <c r="P116" s="34" t="s">
        <v>48</v>
      </c>
      <c r="Q116" s="33" t="n">
        <f>43400</f>
        <v>43400.0</v>
      </c>
      <c r="R116" s="34" t="s">
        <v>49</v>
      </c>
      <c r="S116" s="35" t="n">
        <f>39139.09</f>
        <v>39139.09</v>
      </c>
      <c r="T116" s="32" t="n">
        <f>38820</f>
        <v>38820.0</v>
      </c>
      <c r="U116" s="32" t="n">
        <f>23535</f>
        <v>23535.0</v>
      </c>
      <c r="V116" s="32" t="n">
        <f>1538704142</f>
        <v>1.538704142E9</v>
      </c>
      <c r="W116" s="32" t="n">
        <f>932891062</f>
        <v>9.32891062E8</v>
      </c>
      <c r="X116" s="36" t="n">
        <f>22</f>
        <v>22.0</v>
      </c>
    </row>
    <row r="117">
      <c r="A117" s="27" t="s">
        <v>42</v>
      </c>
      <c r="B117" s="27" t="s">
        <v>395</v>
      </c>
      <c r="C117" s="27" t="s">
        <v>396</v>
      </c>
      <c r="D117" s="27" t="s">
        <v>397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1.0</v>
      </c>
      <c r="K117" s="33" t="n">
        <f>69110</f>
        <v>69110.0</v>
      </c>
      <c r="L117" s="34" t="s">
        <v>48</v>
      </c>
      <c r="M117" s="33" t="n">
        <f>81210</f>
        <v>81210.0</v>
      </c>
      <c r="N117" s="34" t="s">
        <v>106</v>
      </c>
      <c r="O117" s="33" t="n">
        <f>67900</f>
        <v>67900.0</v>
      </c>
      <c r="P117" s="34" t="s">
        <v>48</v>
      </c>
      <c r="Q117" s="33" t="n">
        <f>76360</f>
        <v>76360.0</v>
      </c>
      <c r="R117" s="34" t="s">
        <v>49</v>
      </c>
      <c r="S117" s="35" t="n">
        <f>74196.36</f>
        <v>74196.36</v>
      </c>
      <c r="T117" s="32" t="n">
        <f>14971</f>
        <v>14971.0</v>
      </c>
      <c r="U117" s="32" t="n">
        <f>8022</f>
        <v>8022.0</v>
      </c>
      <c r="V117" s="32" t="n">
        <f>1106394853</f>
        <v>1.106394853E9</v>
      </c>
      <c r="W117" s="32" t="n">
        <f>588357123</f>
        <v>5.88357123E8</v>
      </c>
      <c r="X117" s="36" t="n">
        <f>22</f>
        <v>22.0</v>
      </c>
    </row>
    <row r="118">
      <c r="A118" s="27" t="s">
        <v>42</v>
      </c>
      <c r="B118" s="27" t="s">
        <v>398</v>
      </c>
      <c r="C118" s="27" t="s">
        <v>399</v>
      </c>
      <c r="D118" s="27" t="s">
        <v>400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1.0</v>
      </c>
      <c r="K118" s="33" t="n">
        <f>42880</f>
        <v>42880.0</v>
      </c>
      <c r="L118" s="34" t="s">
        <v>48</v>
      </c>
      <c r="M118" s="33" t="n">
        <f>50450</f>
        <v>50450.0</v>
      </c>
      <c r="N118" s="34" t="s">
        <v>49</v>
      </c>
      <c r="O118" s="33" t="n">
        <f>42230</f>
        <v>42230.0</v>
      </c>
      <c r="P118" s="34" t="s">
        <v>48</v>
      </c>
      <c r="Q118" s="33" t="n">
        <f>50330</f>
        <v>50330.0</v>
      </c>
      <c r="R118" s="34" t="s">
        <v>49</v>
      </c>
      <c r="S118" s="35" t="n">
        <f>46394.55</f>
        <v>46394.55</v>
      </c>
      <c r="T118" s="32" t="n">
        <f>25159</f>
        <v>25159.0</v>
      </c>
      <c r="U118" s="32" t="n">
        <f>11928</f>
        <v>11928.0</v>
      </c>
      <c r="V118" s="32" t="n">
        <f>1171187762</f>
        <v>1.171187762E9</v>
      </c>
      <c r="W118" s="32" t="n">
        <f>549319112</f>
        <v>5.49319112E8</v>
      </c>
      <c r="X118" s="36" t="n">
        <f>22</f>
        <v>22.0</v>
      </c>
    </row>
    <row r="119">
      <c r="A119" s="27" t="s">
        <v>42</v>
      </c>
      <c r="B119" s="27" t="s">
        <v>401</v>
      </c>
      <c r="C119" s="27" t="s">
        <v>402</v>
      </c>
      <c r="D119" s="27" t="s">
        <v>403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1.0</v>
      </c>
      <c r="K119" s="33" t="n">
        <f>43000</f>
        <v>43000.0</v>
      </c>
      <c r="L119" s="34" t="s">
        <v>48</v>
      </c>
      <c r="M119" s="33" t="n">
        <f>45740</f>
        <v>45740.0</v>
      </c>
      <c r="N119" s="34" t="s">
        <v>49</v>
      </c>
      <c r="O119" s="33" t="n">
        <f>42320</f>
        <v>42320.0</v>
      </c>
      <c r="P119" s="34" t="s">
        <v>50</v>
      </c>
      <c r="Q119" s="33" t="n">
        <f>45540</f>
        <v>45540.0</v>
      </c>
      <c r="R119" s="34" t="s">
        <v>49</v>
      </c>
      <c r="S119" s="35" t="n">
        <f>44120.45</f>
        <v>44120.45</v>
      </c>
      <c r="T119" s="32" t="n">
        <f>5339</f>
        <v>5339.0</v>
      </c>
      <c r="U119" s="32" t="n">
        <f>121</f>
        <v>121.0</v>
      </c>
      <c r="V119" s="32" t="n">
        <f>235854581</f>
        <v>2.35854581E8</v>
      </c>
      <c r="W119" s="32" t="n">
        <f>5394291</f>
        <v>5394291.0</v>
      </c>
      <c r="X119" s="36" t="n">
        <f>22</f>
        <v>22.0</v>
      </c>
    </row>
    <row r="120">
      <c r="A120" s="27" t="s">
        <v>42</v>
      </c>
      <c r="B120" s="27" t="s">
        <v>404</v>
      </c>
      <c r="C120" s="27" t="s">
        <v>405</v>
      </c>
      <c r="D120" s="27" t="s">
        <v>406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1.0</v>
      </c>
      <c r="K120" s="33" t="n">
        <f>9999</f>
        <v>9999.0</v>
      </c>
      <c r="L120" s="34" t="s">
        <v>48</v>
      </c>
      <c r="M120" s="33" t="n">
        <f>10795</f>
        <v>10795.0</v>
      </c>
      <c r="N120" s="34" t="s">
        <v>49</v>
      </c>
      <c r="O120" s="33" t="n">
        <f>9645</f>
        <v>9645.0</v>
      </c>
      <c r="P120" s="34" t="s">
        <v>50</v>
      </c>
      <c r="Q120" s="33" t="n">
        <f>10695</f>
        <v>10695.0</v>
      </c>
      <c r="R120" s="34" t="s">
        <v>49</v>
      </c>
      <c r="S120" s="35" t="n">
        <f>10268.27</f>
        <v>10268.27</v>
      </c>
      <c r="T120" s="32" t="n">
        <f>146842</f>
        <v>146842.0</v>
      </c>
      <c r="U120" s="32" t="n">
        <f>93489</f>
        <v>93489.0</v>
      </c>
      <c r="V120" s="32" t="n">
        <f>1516628385</f>
        <v>1.516628385E9</v>
      </c>
      <c r="W120" s="32" t="n">
        <f>969064550</f>
        <v>9.6906455E8</v>
      </c>
      <c r="X120" s="36" t="n">
        <f>22</f>
        <v>22.0</v>
      </c>
    </row>
    <row r="121">
      <c r="A121" s="27" t="s">
        <v>42</v>
      </c>
      <c r="B121" s="27" t="s">
        <v>407</v>
      </c>
      <c r="C121" s="27" t="s">
        <v>408</v>
      </c>
      <c r="D121" s="27" t="s">
        <v>409</v>
      </c>
      <c r="E121" s="28" t="s">
        <v>46</v>
      </c>
      <c r="F121" s="29" t="s">
        <v>46</v>
      </c>
      <c r="G121" s="30" t="s">
        <v>46</v>
      </c>
      <c r="H121" s="31"/>
      <c r="I121" s="31" t="s">
        <v>47</v>
      </c>
      <c r="J121" s="32" t="n">
        <v>1.0</v>
      </c>
      <c r="K121" s="33" t="n">
        <f>20645</f>
        <v>20645.0</v>
      </c>
      <c r="L121" s="34" t="s">
        <v>48</v>
      </c>
      <c r="M121" s="33" t="n">
        <f>20950</f>
        <v>20950.0</v>
      </c>
      <c r="N121" s="34" t="s">
        <v>216</v>
      </c>
      <c r="O121" s="33" t="n">
        <f>20000</f>
        <v>20000.0</v>
      </c>
      <c r="P121" s="34" t="s">
        <v>156</v>
      </c>
      <c r="Q121" s="33" t="n">
        <f>20300</f>
        <v>20300.0</v>
      </c>
      <c r="R121" s="34" t="s">
        <v>49</v>
      </c>
      <c r="S121" s="35" t="n">
        <f>20434.32</f>
        <v>20434.32</v>
      </c>
      <c r="T121" s="32" t="n">
        <f>73514</f>
        <v>73514.0</v>
      </c>
      <c r="U121" s="32" t="n">
        <f>58879</f>
        <v>58879.0</v>
      </c>
      <c r="V121" s="32" t="n">
        <f>1514157024</f>
        <v>1.514157024E9</v>
      </c>
      <c r="W121" s="32" t="n">
        <f>1216037859</f>
        <v>1.216037859E9</v>
      </c>
      <c r="X121" s="36" t="n">
        <f>22</f>
        <v>22.0</v>
      </c>
    </row>
    <row r="122">
      <c r="A122" s="27" t="s">
        <v>42</v>
      </c>
      <c r="B122" s="27" t="s">
        <v>410</v>
      </c>
      <c r="C122" s="27" t="s">
        <v>411</v>
      </c>
      <c r="D122" s="27" t="s">
        <v>412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1.0</v>
      </c>
      <c r="K122" s="33" t="n">
        <f>100400</f>
        <v>100400.0</v>
      </c>
      <c r="L122" s="34" t="s">
        <v>48</v>
      </c>
      <c r="M122" s="33" t="n">
        <f>110000</f>
        <v>110000.0</v>
      </c>
      <c r="N122" s="34" t="s">
        <v>79</v>
      </c>
      <c r="O122" s="33" t="n">
        <f>98630</f>
        <v>98630.0</v>
      </c>
      <c r="P122" s="34" t="s">
        <v>48</v>
      </c>
      <c r="Q122" s="33" t="n">
        <f>104600</f>
        <v>104600.0</v>
      </c>
      <c r="R122" s="34" t="s">
        <v>49</v>
      </c>
      <c r="S122" s="35" t="n">
        <f>102434.55</f>
        <v>102434.55</v>
      </c>
      <c r="T122" s="32" t="n">
        <f>29112</f>
        <v>29112.0</v>
      </c>
      <c r="U122" s="32" t="n">
        <f>1316</f>
        <v>1316.0</v>
      </c>
      <c r="V122" s="32" t="n">
        <f>2985524024</f>
        <v>2.985524024E9</v>
      </c>
      <c r="W122" s="32" t="n">
        <f>134908674</f>
        <v>1.34908674E8</v>
      </c>
      <c r="X122" s="36" t="n">
        <f>22</f>
        <v>22.0</v>
      </c>
    </row>
    <row r="123">
      <c r="A123" s="27" t="s">
        <v>42</v>
      </c>
      <c r="B123" s="27" t="s">
        <v>413</v>
      </c>
      <c r="C123" s="27" t="s">
        <v>414</v>
      </c>
      <c r="D123" s="27" t="s">
        <v>415</v>
      </c>
      <c r="E123" s="28" t="s">
        <v>46</v>
      </c>
      <c r="F123" s="29" t="s">
        <v>46</v>
      </c>
      <c r="G123" s="30" t="s">
        <v>46</v>
      </c>
      <c r="H123" s="31"/>
      <c r="I123" s="31" t="s">
        <v>416</v>
      </c>
      <c r="J123" s="32" t="n">
        <v>1.0</v>
      </c>
      <c r="K123" s="33" t="n">
        <f>11625</f>
        <v>11625.0</v>
      </c>
      <c r="L123" s="34" t="s">
        <v>48</v>
      </c>
      <c r="M123" s="33" t="n">
        <f>12935</f>
        <v>12935.0</v>
      </c>
      <c r="N123" s="34" t="s">
        <v>49</v>
      </c>
      <c r="O123" s="33" t="n">
        <f>11420</f>
        <v>11420.0</v>
      </c>
      <c r="P123" s="34" t="s">
        <v>50</v>
      </c>
      <c r="Q123" s="33" t="n">
        <f>12935</f>
        <v>12935.0</v>
      </c>
      <c r="R123" s="34" t="s">
        <v>49</v>
      </c>
      <c r="S123" s="35" t="n">
        <f>12225</f>
        <v>12225.0</v>
      </c>
      <c r="T123" s="32" t="n">
        <f>12720</f>
        <v>12720.0</v>
      </c>
      <c r="U123" s="32" t="n">
        <f>3000</f>
        <v>3000.0</v>
      </c>
      <c r="V123" s="32" t="n">
        <f>158807260</f>
        <v>1.5880726E8</v>
      </c>
      <c r="W123" s="32" t="n">
        <f>37878000</f>
        <v>3.7878E7</v>
      </c>
      <c r="X123" s="36" t="n">
        <f>22</f>
        <v>22.0</v>
      </c>
    </row>
    <row r="124">
      <c r="A124" s="27" t="s">
        <v>42</v>
      </c>
      <c r="B124" s="27" t="s">
        <v>417</v>
      </c>
      <c r="C124" s="27" t="s">
        <v>418</v>
      </c>
      <c r="D124" s="27" t="s">
        <v>419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1.0</v>
      </c>
      <c r="K124" s="33" t="n">
        <f>33960</f>
        <v>33960.0</v>
      </c>
      <c r="L124" s="34" t="s">
        <v>48</v>
      </c>
      <c r="M124" s="33" t="n">
        <f>36370</f>
        <v>36370.0</v>
      </c>
      <c r="N124" s="34" t="s">
        <v>106</v>
      </c>
      <c r="O124" s="33" t="n">
        <f>33080</f>
        <v>33080.0</v>
      </c>
      <c r="P124" s="34" t="s">
        <v>69</v>
      </c>
      <c r="Q124" s="33" t="n">
        <f>35890</f>
        <v>35890.0</v>
      </c>
      <c r="R124" s="34" t="s">
        <v>49</v>
      </c>
      <c r="S124" s="35" t="n">
        <f>34755.91</f>
        <v>34755.91</v>
      </c>
      <c r="T124" s="32" t="n">
        <f>25207</f>
        <v>25207.0</v>
      </c>
      <c r="U124" s="32" t="n">
        <f>17163</f>
        <v>17163.0</v>
      </c>
      <c r="V124" s="32" t="n">
        <f>882705202</f>
        <v>8.82705202E8</v>
      </c>
      <c r="W124" s="32" t="n">
        <f>602677022</f>
        <v>6.02677022E8</v>
      </c>
      <c r="X124" s="36" t="n">
        <f>22</f>
        <v>22.0</v>
      </c>
    </row>
    <row r="125">
      <c r="A125" s="27" t="s">
        <v>42</v>
      </c>
      <c r="B125" s="27" t="s">
        <v>420</v>
      </c>
      <c r="C125" s="27" t="s">
        <v>421</v>
      </c>
      <c r="D125" s="27" t="s">
        <v>422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1.0</v>
      </c>
      <c r="K125" s="33" t="n">
        <f>25190</f>
        <v>25190.0</v>
      </c>
      <c r="L125" s="34" t="s">
        <v>48</v>
      </c>
      <c r="M125" s="33" t="n">
        <f>25200</f>
        <v>25200.0</v>
      </c>
      <c r="N125" s="34" t="s">
        <v>49</v>
      </c>
      <c r="O125" s="33" t="n">
        <f>23205</f>
        <v>23205.0</v>
      </c>
      <c r="P125" s="34" t="s">
        <v>216</v>
      </c>
      <c r="Q125" s="33" t="n">
        <f>25130</f>
        <v>25130.0</v>
      </c>
      <c r="R125" s="34" t="s">
        <v>49</v>
      </c>
      <c r="S125" s="35" t="n">
        <f>24500</f>
        <v>24500.0</v>
      </c>
      <c r="T125" s="32" t="n">
        <f>118734</f>
        <v>118734.0</v>
      </c>
      <c r="U125" s="32" t="n">
        <f>22634</f>
        <v>22634.0</v>
      </c>
      <c r="V125" s="32" t="n">
        <f>2912685520</f>
        <v>2.91268552E9</v>
      </c>
      <c r="W125" s="32" t="n">
        <f>566505325</f>
        <v>5.66505325E8</v>
      </c>
      <c r="X125" s="36" t="n">
        <f>22</f>
        <v>22.0</v>
      </c>
    </row>
    <row r="126">
      <c r="A126" s="27" t="s">
        <v>42</v>
      </c>
      <c r="B126" s="27" t="s">
        <v>423</v>
      </c>
      <c r="C126" s="27" t="s">
        <v>424</v>
      </c>
      <c r="D126" s="27" t="s">
        <v>425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1.0</v>
      </c>
      <c r="K126" s="33" t="n">
        <f>32000</f>
        <v>32000.0</v>
      </c>
      <c r="L126" s="34" t="s">
        <v>48</v>
      </c>
      <c r="M126" s="33" t="n">
        <f>32580</f>
        <v>32580.0</v>
      </c>
      <c r="N126" s="34" t="s">
        <v>116</v>
      </c>
      <c r="O126" s="33" t="n">
        <f>30450</f>
        <v>30450.0</v>
      </c>
      <c r="P126" s="34" t="s">
        <v>60</v>
      </c>
      <c r="Q126" s="33" t="n">
        <f>30830</f>
        <v>30830.0</v>
      </c>
      <c r="R126" s="34" t="s">
        <v>49</v>
      </c>
      <c r="S126" s="35" t="n">
        <f>31359.55</f>
        <v>31359.55</v>
      </c>
      <c r="T126" s="32" t="n">
        <f>20978</f>
        <v>20978.0</v>
      </c>
      <c r="U126" s="32" t="n">
        <f>718</f>
        <v>718.0</v>
      </c>
      <c r="V126" s="32" t="n">
        <f>656632224</f>
        <v>6.56632224E8</v>
      </c>
      <c r="W126" s="32" t="n">
        <f>22232294</f>
        <v>2.2232294E7</v>
      </c>
      <c r="X126" s="36" t="n">
        <f>22</f>
        <v>22.0</v>
      </c>
    </row>
    <row r="127">
      <c r="A127" s="27" t="s">
        <v>42</v>
      </c>
      <c r="B127" s="27" t="s">
        <v>426</v>
      </c>
      <c r="C127" s="27" t="s">
        <v>427</v>
      </c>
      <c r="D127" s="27" t="s">
        <v>428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1.0</v>
      </c>
      <c r="K127" s="33" t="n">
        <f>47580</f>
        <v>47580.0</v>
      </c>
      <c r="L127" s="34" t="s">
        <v>48</v>
      </c>
      <c r="M127" s="33" t="n">
        <f>49760</f>
        <v>49760.0</v>
      </c>
      <c r="N127" s="34" t="s">
        <v>262</v>
      </c>
      <c r="O127" s="33" t="n">
        <f>45710</f>
        <v>45710.0</v>
      </c>
      <c r="P127" s="34" t="s">
        <v>69</v>
      </c>
      <c r="Q127" s="33" t="n">
        <f>46960</f>
        <v>46960.0</v>
      </c>
      <c r="R127" s="34" t="s">
        <v>49</v>
      </c>
      <c r="S127" s="35" t="n">
        <f>47586.36</f>
        <v>47586.36</v>
      </c>
      <c r="T127" s="32" t="n">
        <f>7572</f>
        <v>7572.0</v>
      </c>
      <c r="U127" s="32" t="n">
        <f>66</f>
        <v>66.0</v>
      </c>
      <c r="V127" s="32" t="n">
        <f>360129602</f>
        <v>3.60129602E8</v>
      </c>
      <c r="W127" s="32" t="n">
        <f>3148532</f>
        <v>3148532.0</v>
      </c>
      <c r="X127" s="36" t="n">
        <f>22</f>
        <v>22.0</v>
      </c>
    </row>
    <row r="128">
      <c r="A128" s="27" t="s">
        <v>42</v>
      </c>
      <c r="B128" s="27" t="s">
        <v>429</v>
      </c>
      <c r="C128" s="27" t="s">
        <v>430</v>
      </c>
      <c r="D128" s="27" t="s">
        <v>431</v>
      </c>
      <c r="E128" s="28" t="s">
        <v>46</v>
      </c>
      <c r="F128" s="29" t="s">
        <v>46</v>
      </c>
      <c r="G128" s="30" t="s">
        <v>46</v>
      </c>
      <c r="H128" s="31"/>
      <c r="I128" s="31" t="s">
        <v>416</v>
      </c>
      <c r="J128" s="32" t="n">
        <v>1.0</v>
      </c>
      <c r="K128" s="33" t="n">
        <f>10345</f>
        <v>10345.0</v>
      </c>
      <c r="L128" s="34" t="s">
        <v>48</v>
      </c>
      <c r="M128" s="33" t="n">
        <f>13000</f>
        <v>13000.0</v>
      </c>
      <c r="N128" s="34" t="s">
        <v>49</v>
      </c>
      <c r="O128" s="33" t="n">
        <f>10125</f>
        <v>10125.0</v>
      </c>
      <c r="P128" s="34" t="s">
        <v>48</v>
      </c>
      <c r="Q128" s="33" t="n">
        <f>12765</f>
        <v>12765.0</v>
      </c>
      <c r="R128" s="34" t="s">
        <v>49</v>
      </c>
      <c r="S128" s="35" t="n">
        <f>11389.09</f>
        <v>11389.09</v>
      </c>
      <c r="T128" s="32" t="n">
        <f>252717</f>
        <v>252717.0</v>
      </c>
      <c r="U128" s="32" t="n">
        <f>3900</f>
        <v>3900.0</v>
      </c>
      <c r="V128" s="32" t="n">
        <f>2915350335</f>
        <v>2.915350335E9</v>
      </c>
      <c r="W128" s="32" t="n">
        <f>46577700</f>
        <v>4.65777E7</v>
      </c>
      <c r="X128" s="36" t="n">
        <f>22</f>
        <v>22.0</v>
      </c>
    </row>
    <row r="129">
      <c r="A129" s="27" t="s">
        <v>42</v>
      </c>
      <c r="B129" s="27" t="s">
        <v>432</v>
      </c>
      <c r="C129" s="27" t="s">
        <v>433</v>
      </c>
      <c r="D129" s="27" t="s">
        <v>434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1.0</v>
      </c>
      <c r="K129" s="33" t="n">
        <f>2395</f>
        <v>2395.0</v>
      </c>
      <c r="L129" s="34" t="s">
        <v>48</v>
      </c>
      <c r="M129" s="33" t="n">
        <f>2500</f>
        <v>2500.0</v>
      </c>
      <c r="N129" s="34" t="s">
        <v>216</v>
      </c>
      <c r="O129" s="33" t="n">
        <f>2345</f>
        <v>2345.0</v>
      </c>
      <c r="P129" s="34" t="s">
        <v>50</v>
      </c>
      <c r="Q129" s="33" t="n">
        <f>2454</f>
        <v>2454.0</v>
      </c>
      <c r="R129" s="34" t="s">
        <v>49</v>
      </c>
      <c r="S129" s="35" t="n">
        <f>2418.82</f>
        <v>2418.82</v>
      </c>
      <c r="T129" s="32" t="n">
        <f>2451950</f>
        <v>2451950.0</v>
      </c>
      <c r="U129" s="32" t="n">
        <f>1254640</f>
        <v>1254640.0</v>
      </c>
      <c r="V129" s="32" t="n">
        <f>5903106715</f>
        <v>5.903106715E9</v>
      </c>
      <c r="W129" s="32" t="n">
        <f>3001735069</f>
        <v>3.001735069E9</v>
      </c>
      <c r="X129" s="36" t="n">
        <f>22</f>
        <v>22.0</v>
      </c>
    </row>
    <row r="130">
      <c r="A130" s="27" t="s">
        <v>42</v>
      </c>
      <c r="B130" s="27" t="s">
        <v>435</v>
      </c>
      <c r="C130" s="27" t="s">
        <v>436</v>
      </c>
      <c r="D130" s="27" t="s">
        <v>437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10.0</v>
      </c>
      <c r="K130" s="33" t="n">
        <f>3701</f>
        <v>3701.0</v>
      </c>
      <c r="L130" s="34" t="s">
        <v>50</v>
      </c>
      <c r="M130" s="33" t="n">
        <f>3990</f>
        <v>3990.0</v>
      </c>
      <c r="N130" s="34" t="s">
        <v>49</v>
      </c>
      <c r="O130" s="33" t="n">
        <f>3701</f>
        <v>3701.0</v>
      </c>
      <c r="P130" s="34" t="s">
        <v>50</v>
      </c>
      <c r="Q130" s="33" t="n">
        <f>3990</f>
        <v>3990.0</v>
      </c>
      <c r="R130" s="34" t="s">
        <v>49</v>
      </c>
      <c r="S130" s="35" t="n">
        <f>3858.67</f>
        <v>3858.67</v>
      </c>
      <c r="T130" s="32" t="n">
        <f>35000</f>
        <v>35000.0</v>
      </c>
      <c r="U130" s="32" t="str">
        <f>"－"</f>
        <v>－</v>
      </c>
      <c r="V130" s="32" t="n">
        <f>135889140</f>
        <v>1.3588914E8</v>
      </c>
      <c r="W130" s="32" t="str">
        <f>"－"</f>
        <v>－</v>
      </c>
      <c r="X130" s="36" t="n">
        <f>12</f>
        <v>12.0</v>
      </c>
    </row>
    <row r="131">
      <c r="A131" s="27" t="s">
        <v>42</v>
      </c>
      <c r="B131" s="27" t="s">
        <v>438</v>
      </c>
      <c r="C131" s="27" t="s">
        <v>439</v>
      </c>
      <c r="D131" s="27" t="s">
        <v>440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10.0</v>
      </c>
      <c r="K131" s="33" t="n">
        <f>4080</f>
        <v>4080.0</v>
      </c>
      <c r="L131" s="34" t="s">
        <v>48</v>
      </c>
      <c r="M131" s="33" t="n">
        <f>4460</f>
        <v>4460.0</v>
      </c>
      <c r="N131" s="34" t="s">
        <v>49</v>
      </c>
      <c r="O131" s="33" t="n">
        <f>3995</f>
        <v>3995.0</v>
      </c>
      <c r="P131" s="34" t="s">
        <v>50</v>
      </c>
      <c r="Q131" s="33" t="n">
        <f>4447</f>
        <v>4447.0</v>
      </c>
      <c r="R131" s="34" t="s">
        <v>49</v>
      </c>
      <c r="S131" s="35" t="n">
        <f>4248</f>
        <v>4248.0</v>
      </c>
      <c r="T131" s="32" t="n">
        <f>123230</f>
        <v>123230.0</v>
      </c>
      <c r="U131" s="32" t="n">
        <f>25000</f>
        <v>25000.0</v>
      </c>
      <c r="V131" s="32" t="n">
        <f>514776010</f>
        <v>5.1477601E8</v>
      </c>
      <c r="W131" s="32" t="n">
        <f>100312500</f>
        <v>1.003125E8</v>
      </c>
      <c r="X131" s="36" t="n">
        <f>20</f>
        <v>20.0</v>
      </c>
    </row>
    <row r="132">
      <c r="A132" s="27" t="s">
        <v>42</v>
      </c>
      <c r="B132" s="27" t="s">
        <v>441</v>
      </c>
      <c r="C132" s="27" t="s">
        <v>442</v>
      </c>
      <c r="D132" s="27" t="s">
        <v>443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10.0</v>
      </c>
      <c r="K132" s="33" t="n">
        <f>2636.5</f>
        <v>2636.5</v>
      </c>
      <c r="L132" s="34" t="s">
        <v>262</v>
      </c>
      <c r="M132" s="33" t="n">
        <f>2724.5</f>
        <v>2724.5</v>
      </c>
      <c r="N132" s="34" t="s">
        <v>49</v>
      </c>
      <c r="O132" s="33" t="n">
        <f>2548.5</f>
        <v>2548.5</v>
      </c>
      <c r="P132" s="34" t="s">
        <v>156</v>
      </c>
      <c r="Q132" s="33" t="n">
        <f>2724.5</f>
        <v>2724.5</v>
      </c>
      <c r="R132" s="34" t="s">
        <v>49</v>
      </c>
      <c r="S132" s="35" t="n">
        <f>2656.58</f>
        <v>2656.58</v>
      </c>
      <c r="T132" s="32" t="n">
        <f>430</f>
        <v>430.0</v>
      </c>
      <c r="U132" s="32" t="str">
        <f>"－"</f>
        <v>－</v>
      </c>
      <c r="V132" s="32" t="n">
        <f>1121965</f>
        <v>1121965.0</v>
      </c>
      <c r="W132" s="32" t="str">
        <f>"－"</f>
        <v>－</v>
      </c>
      <c r="X132" s="36" t="n">
        <f>6</f>
        <v>6.0</v>
      </c>
    </row>
    <row r="133">
      <c r="A133" s="27" t="s">
        <v>42</v>
      </c>
      <c r="B133" s="27" t="s">
        <v>444</v>
      </c>
      <c r="C133" s="27" t="s">
        <v>445</v>
      </c>
      <c r="D133" s="27" t="s">
        <v>446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10.0</v>
      </c>
      <c r="K133" s="33" t="n">
        <f>711.5</f>
        <v>711.5</v>
      </c>
      <c r="L133" s="34" t="s">
        <v>48</v>
      </c>
      <c r="M133" s="33" t="n">
        <f>763.8</f>
        <v>763.8</v>
      </c>
      <c r="N133" s="34" t="s">
        <v>79</v>
      </c>
      <c r="O133" s="33" t="n">
        <f>706.1</f>
        <v>706.1</v>
      </c>
      <c r="P133" s="34" t="s">
        <v>48</v>
      </c>
      <c r="Q133" s="33" t="n">
        <f>763.3</f>
        <v>763.3</v>
      </c>
      <c r="R133" s="34" t="s">
        <v>49</v>
      </c>
      <c r="S133" s="35" t="n">
        <f>735.72</f>
        <v>735.72</v>
      </c>
      <c r="T133" s="32" t="n">
        <f>33832140</f>
        <v>3.383214E7</v>
      </c>
      <c r="U133" s="32" t="n">
        <f>1618780</f>
        <v>1618780.0</v>
      </c>
      <c r="V133" s="32" t="n">
        <f>24900961207</f>
        <v>2.4900961207E10</v>
      </c>
      <c r="W133" s="32" t="n">
        <f>1190642627</f>
        <v>1.190642627E9</v>
      </c>
      <c r="X133" s="36" t="n">
        <f>22</f>
        <v>22.0</v>
      </c>
    </row>
    <row r="134">
      <c r="A134" s="27" t="s">
        <v>42</v>
      </c>
      <c r="B134" s="27" t="s">
        <v>447</v>
      </c>
      <c r="C134" s="27" t="s">
        <v>448</v>
      </c>
      <c r="D134" s="27" t="s">
        <v>449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10.0</v>
      </c>
      <c r="K134" s="33" t="n">
        <f>300.5</f>
        <v>300.5</v>
      </c>
      <c r="L134" s="34" t="s">
        <v>48</v>
      </c>
      <c r="M134" s="33" t="n">
        <f>311.7</f>
        <v>311.7</v>
      </c>
      <c r="N134" s="34" t="s">
        <v>49</v>
      </c>
      <c r="O134" s="33" t="n">
        <f>298.3</f>
        <v>298.3</v>
      </c>
      <c r="P134" s="34" t="s">
        <v>48</v>
      </c>
      <c r="Q134" s="33" t="n">
        <f>311.7</f>
        <v>311.7</v>
      </c>
      <c r="R134" s="34" t="s">
        <v>49</v>
      </c>
      <c r="S134" s="35" t="n">
        <f>307.13</f>
        <v>307.13</v>
      </c>
      <c r="T134" s="32" t="n">
        <f>20594470</f>
        <v>2.059447E7</v>
      </c>
      <c r="U134" s="32" t="n">
        <f>17767110</f>
        <v>1.776711E7</v>
      </c>
      <c r="V134" s="32" t="n">
        <f>6325709127</f>
        <v>6.325709127E9</v>
      </c>
      <c r="W134" s="32" t="n">
        <f>5457248458</f>
        <v>5.457248458E9</v>
      </c>
      <c r="X134" s="36" t="n">
        <f>22</f>
        <v>22.0</v>
      </c>
    </row>
    <row r="135">
      <c r="A135" s="27" t="s">
        <v>42</v>
      </c>
      <c r="B135" s="27" t="s">
        <v>450</v>
      </c>
      <c r="C135" s="27" t="s">
        <v>451</v>
      </c>
      <c r="D135" s="27" t="s">
        <v>452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1.0</v>
      </c>
      <c r="K135" s="33" t="n">
        <f>5949</f>
        <v>5949.0</v>
      </c>
      <c r="L135" s="34" t="s">
        <v>48</v>
      </c>
      <c r="M135" s="33" t="n">
        <f>6317</f>
        <v>6317.0</v>
      </c>
      <c r="N135" s="34" t="s">
        <v>79</v>
      </c>
      <c r="O135" s="33" t="n">
        <f>5865</f>
        <v>5865.0</v>
      </c>
      <c r="P135" s="34" t="s">
        <v>48</v>
      </c>
      <c r="Q135" s="33" t="n">
        <f>6299</f>
        <v>6299.0</v>
      </c>
      <c r="R135" s="34" t="s">
        <v>49</v>
      </c>
      <c r="S135" s="35" t="n">
        <f>6114.05</f>
        <v>6114.05</v>
      </c>
      <c r="T135" s="32" t="n">
        <f>59124</f>
        <v>59124.0</v>
      </c>
      <c r="U135" s="32" t="n">
        <f>15852</f>
        <v>15852.0</v>
      </c>
      <c r="V135" s="32" t="n">
        <f>362576020</f>
        <v>3.6257602E8</v>
      </c>
      <c r="W135" s="32" t="n">
        <f>97797477</f>
        <v>9.7797477E7</v>
      </c>
      <c r="X135" s="36" t="n">
        <f>22</f>
        <v>22.0</v>
      </c>
    </row>
    <row r="136">
      <c r="A136" s="27" t="s">
        <v>42</v>
      </c>
      <c r="B136" s="27" t="s">
        <v>453</v>
      </c>
      <c r="C136" s="27" t="s">
        <v>454</v>
      </c>
      <c r="D136" s="27" t="s">
        <v>455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3272</f>
        <v>3272.0</v>
      </c>
      <c r="L136" s="34" t="s">
        <v>48</v>
      </c>
      <c r="M136" s="33" t="n">
        <f>3629</f>
        <v>3629.0</v>
      </c>
      <c r="N136" s="34" t="s">
        <v>49</v>
      </c>
      <c r="O136" s="33" t="n">
        <f>3270</f>
        <v>3270.0</v>
      </c>
      <c r="P136" s="34" t="s">
        <v>48</v>
      </c>
      <c r="Q136" s="33" t="n">
        <f>3568</f>
        <v>3568.0</v>
      </c>
      <c r="R136" s="34" t="s">
        <v>49</v>
      </c>
      <c r="S136" s="35" t="n">
        <f>3429.27</f>
        <v>3429.27</v>
      </c>
      <c r="T136" s="32" t="n">
        <f>154821</f>
        <v>154821.0</v>
      </c>
      <c r="U136" s="32" t="n">
        <f>29682</f>
        <v>29682.0</v>
      </c>
      <c r="V136" s="32" t="n">
        <f>530134645</f>
        <v>5.30134645E8</v>
      </c>
      <c r="W136" s="32" t="n">
        <f>99953162</f>
        <v>9.9953162E7</v>
      </c>
      <c r="X136" s="36" t="n">
        <f>22</f>
        <v>22.0</v>
      </c>
    </row>
    <row r="137">
      <c r="A137" s="27" t="s">
        <v>42</v>
      </c>
      <c r="B137" s="27" t="s">
        <v>456</v>
      </c>
      <c r="C137" s="27" t="s">
        <v>457</v>
      </c>
      <c r="D137" s="27" t="s">
        <v>458</v>
      </c>
      <c r="E137" s="28" t="s">
        <v>46</v>
      </c>
      <c r="F137" s="29" t="s">
        <v>46</v>
      </c>
      <c r="G137" s="30" t="s">
        <v>46</v>
      </c>
      <c r="H137" s="31"/>
      <c r="I137" s="31" t="s">
        <v>47</v>
      </c>
      <c r="J137" s="32" t="n">
        <v>1.0</v>
      </c>
      <c r="K137" s="33" t="n">
        <f>3232</f>
        <v>3232.0</v>
      </c>
      <c r="L137" s="34" t="s">
        <v>48</v>
      </c>
      <c r="M137" s="33" t="n">
        <f>3400</f>
        <v>3400.0</v>
      </c>
      <c r="N137" s="34" t="s">
        <v>106</v>
      </c>
      <c r="O137" s="33" t="n">
        <f>3204</f>
        <v>3204.0</v>
      </c>
      <c r="P137" s="34" t="s">
        <v>69</v>
      </c>
      <c r="Q137" s="33" t="n">
        <f>3280</f>
        <v>3280.0</v>
      </c>
      <c r="R137" s="34" t="s">
        <v>49</v>
      </c>
      <c r="S137" s="35" t="n">
        <f>3292.23</f>
        <v>3292.23</v>
      </c>
      <c r="T137" s="32" t="n">
        <f>363234</f>
        <v>363234.0</v>
      </c>
      <c r="U137" s="32" t="str">
        <f>"－"</f>
        <v>－</v>
      </c>
      <c r="V137" s="32" t="n">
        <f>1195615177</f>
        <v>1.195615177E9</v>
      </c>
      <c r="W137" s="32" t="str">
        <f>"－"</f>
        <v>－</v>
      </c>
      <c r="X137" s="36" t="n">
        <f>22</f>
        <v>22.0</v>
      </c>
    </row>
    <row r="138">
      <c r="A138" s="27" t="s">
        <v>42</v>
      </c>
      <c r="B138" s="27" t="s">
        <v>459</v>
      </c>
      <c r="C138" s="27" t="s">
        <v>460</v>
      </c>
      <c r="D138" s="27" t="s">
        <v>461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1.0</v>
      </c>
      <c r="K138" s="33" t="n">
        <f>11285</f>
        <v>11285.0</v>
      </c>
      <c r="L138" s="34" t="s">
        <v>48</v>
      </c>
      <c r="M138" s="33" t="n">
        <f>11540</f>
        <v>11540.0</v>
      </c>
      <c r="N138" s="34" t="s">
        <v>68</v>
      </c>
      <c r="O138" s="33" t="n">
        <f>11045</f>
        <v>11045.0</v>
      </c>
      <c r="P138" s="34" t="s">
        <v>156</v>
      </c>
      <c r="Q138" s="33" t="n">
        <f>11450</f>
        <v>11450.0</v>
      </c>
      <c r="R138" s="34" t="s">
        <v>49</v>
      </c>
      <c r="S138" s="35" t="n">
        <f>11327.73</f>
        <v>11327.73</v>
      </c>
      <c r="T138" s="32" t="n">
        <f>596428</f>
        <v>596428.0</v>
      </c>
      <c r="U138" s="32" t="n">
        <f>463277</f>
        <v>463277.0</v>
      </c>
      <c r="V138" s="32" t="n">
        <f>6744679991</f>
        <v>6.744679991E9</v>
      </c>
      <c r="W138" s="32" t="n">
        <f>5243001081</f>
        <v>5.243001081E9</v>
      </c>
      <c r="X138" s="36" t="n">
        <f>22</f>
        <v>22.0</v>
      </c>
    </row>
    <row r="139">
      <c r="A139" s="27" t="s">
        <v>42</v>
      </c>
      <c r="B139" s="27" t="s">
        <v>462</v>
      </c>
      <c r="C139" s="27" t="s">
        <v>463</v>
      </c>
      <c r="D139" s="27" t="s">
        <v>464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2992</f>
        <v>2992.0</v>
      </c>
      <c r="L139" s="34" t="s">
        <v>48</v>
      </c>
      <c r="M139" s="33" t="n">
        <f>3089</f>
        <v>3089.0</v>
      </c>
      <c r="N139" s="34" t="s">
        <v>116</v>
      </c>
      <c r="O139" s="33" t="n">
        <f>2771</f>
        <v>2771.0</v>
      </c>
      <c r="P139" s="34" t="s">
        <v>61</v>
      </c>
      <c r="Q139" s="33" t="n">
        <f>3011</f>
        <v>3011.0</v>
      </c>
      <c r="R139" s="34" t="s">
        <v>49</v>
      </c>
      <c r="S139" s="35" t="n">
        <f>2958.73</f>
        <v>2958.73</v>
      </c>
      <c r="T139" s="32" t="n">
        <f>6202639</f>
        <v>6202639.0</v>
      </c>
      <c r="U139" s="32" t="n">
        <f>44388</f>
        <v>44388.0</v>
      </c>
      <c r="V139" s="32" t="n">
        <f>18288231031</f>
        <v>1.8288231031E10</v>
      </c>
      <c r="W139" s="32" t="n">
        <f>128885896</f>
        <v>1.28885896E8</v>
      </c>
      <c r="X139" s="36" t="n">
        <f>22</f>
        <v>22.0</v>
      </c>
    </row>
    <row r="140">
      <c r="A140" s="27" t="s">
        <v>42</v>
      </c>
      <c r="B140" s="27" t="s">
        <v>465</v>
      </c>
      <c r="C140" s="27" t="s">
        <v>466</v>
      </c>
      <c r="D140" s="27" t="s">
        <v>467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53320</f>
        <v>53320.0</v>
      </c>
      <c r="L140" s="34" t="s">
        <v>48</v>
      </c>
      <c r="M140" s="33" t="n">
        <f>61480</f>
        <v>61480.0</v>
      </c>
      <c r="N140" s="34" t="s">
        <v>61</v>
      </c>
      <c r="O140" s="33" t="n">
        <f>52770</f>
        <v>52770.0</v>
      </c>
      <c r="P140" s="34" t="s">
        <v>50</v>
      </c>
      <c r="Q140" s="33" t="n">
        <f>57540</f>
        <v>57540.0</v>
      </c>
      <c r="R140" s="34" t="s">
        <v>49</v>
      </c>
      <c r="S140" s="35" t="n">
        <f>57175.45</f>
        <v>57175.45</v>
      </c>
      <c r="T140" s="32" t="n">
        <f>57375</f>
        <v>57375.0</v>
      </c>
      <c r="U140" s="32" t="str">
        <f>"－"</f>
        <v>－</v>
      </c>
      <c r="V140" s="32" t="n">
        <f>3299363510</f>
        <v>3.29936351E9</v>
      </c>
      <c r="W140" s="32" t="str">
        <f>"－"</f>
        <v>－</v>
      </c>
      <c r="X140" s="36" t="n">
        <f>22</f>
        <v>22.0</v>
      </c>
    </row>
    <row r="141">
      <c r="A141" s="27" t="s">
        <v>42</v>
      </c>
      <c r="B141" s="27" t="s">
        <v>468</v>
      </c>
      <c r="C141" s="27" t="s">
        <v>469</v>
      </c>
      <c r="D141" s="27" t="s">
        <v>470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10.0</v>
      </c>
      <c r="K141" s="33" t="n">
        <f>6449</f>
        <v>6449.0</v>
      </c>
      <c r="L141" s="34" t="s">
        <v>48</v>
      </c>
      <c r="M141" s="33" t="n">
        <f>8389</f>
        <v>8389.0</v>
      </c>
      <c r="N141" s="34" t="s">
        <v>61</v>
      </c>
      <c r="O141" s="33" t="n">
        <f>6290</f>
        <v>6290.0</v>
      </c>
      <c r="P141" s="34" t="s">
        <v>48</v>
      </c>
      <c r="Q141" s="33" t="n">
        <f>6930</f>
        <v>6930.0</v>
      </c>
      <c r="R141" s="34" t="s">
        <v>49</v>
      </c>
      <c r="S141" s="35" t="n">
        <f>6879.45</f>
        <v>6879.45</v>
      </c>
      <c r="T141" s="32" t="n">
        <f>840230</f>
        <v>840230.0</v>
      </c>
      <c r="U141" s="32" t="str">
        <f>"－"</f>
        <v>－</v>
      </c>
      <c r="V141" s="32" t="n">
        <f>5847625170</f>
        <v>5.84762517E9</v>
      </c>
      <c r="W141" s="32" t="str">
        <f>"－"</f>
        <v>－</v>
      </c>
      <c r="X141" s="36" t="n">
        <f>22</f>
        <v>22.0</v>
      </c>
    </row>
    <row r="142">
      <c r="A142" s="27" t="s">
        <v>42</v>
      </c>
      <c r="B142" s="27" t="s">
        <v>471</v>
      </c>
      <c r="C142" s="27" t="s">
        <v>472</v>
      </c>
      <c r="D142" s="27" t="s">
        <v>473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1.0</v>
      </c>
      <c r="K142" s="33" t="n">
        <f>21500</f>
        <v>21500.0</v>
      </c>
      <c r="L142" s="34" t="s">
        <v>48</v>
      </c>
      <c r="M142" s="33" t="n">
        <f>23855</f>
        <v>23855.0</v>
      </c>
      <c r="N142" s="34" t="s">
        <v>61</v>
      </c>
      <c r="O142" s="33" t="n">
        <f>20560</f>
        <v>20560.0</v>
      </c>
      <c r="P142" s="34" t="s">
        <v>474</v>
      </c>
      <c r="Q142" s="33" t="n">
        <f>22910</f>
        <v>22910.0</v>
      </c>
      <c r="R142" s="34" t="s">
        <v>49</v>
      </c>
      <c r="S142" s="35" t="n">
        <f>22281.82</f>
        <v>22281.82</v>
      </c>
      <c r="T142" s="32" t="n">
        <f>161412</f>
        <v>161412.0</v>
      </c>
      <c r="U142" s="32" t="str">
        <f>"－"</f>
        <v>－</v>
      </c>
      <c r="V142" s="32" t="n">
        <f>3605760710</f>
        <v>3.60576071E9</v>
      </c>
      <c r="W142" s="32" t="str">
        <f>"－"</f>
        <v>－</v>
      </c>
      <c r="X142" s="36" t="n">
        <f>22</f>
        <v>22.0</v>
      </c>
    </row>
    <row r="143">
      <c r="A143" s="27" t="s">
        <v>42</v>
      </c>
      <c r="B143" s="27" t="s">
        <v>475</v>
      </c>
      <c r="C143" s="27" t="s">
        <v>476</v>
      </c>
      <c r="D143" s="27" t="s">
        <v>477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1.0</v>
      </c>
      <c r="K143" s="33" t="n">
        <f>17240</f>
        <v>17240.0</v>
      </c>
      <c r="L143" s="34" t="s">
        <v>48</v>
      </c>
      <c r="M143" s="33" t="n">
        <f>22395</f>
        <v>22395.0</v>
      </c>
      <c r="N143" s="34" t="s">
        <v>61</v>
      </c>
      <c r="O143" s="33" t="n">
        <f>16690</f>
        <v>16690.0</v>
      </c>
      <c r="P143" s="34" t="s">
        <v>48</v>
      </c>
      <c r="Q143" s="33" t="n">
        <f>20690</f>
        <v>20690.0</v>
      </c>
      <c r="R143" s="34" t="s">
        <v>49</v>
      </c>
      <c r="S143" s="35" t="n">
        <f>19547.05</f>
        <v>19547.05</v>
      </c>
      <c r="T143" s="32" t="n">
        <f>64952</f>
        <v>64952.0</v>
      </c>
      <c r="U143" s="32" t="str">
        <f>"－"</f>
        <v>－</v>
      </c>
      <c r="V143" s="32" t="n">
        <f>1294510105</f>
        <v>1.294510105E9</v>
      </c>
      <c r="W143" s="32" t="str">
        <f>"－"</f>
        <v>－</v>
      </c>
      <c r="X143" s="36" t="n">
        <f>22</f>
        <v>22.0</v>
      </c>
    </row>
    <row r="144">
      <c r="A144" s="27" t="s">
        <v>42</v>
      </c>
      <c r="B144" s="27" t="s">
        <v>478</v>
      </c>
      <c r="C144" s="27" t="s">
        <v>479</v>
      </c>
      <c r="D144" s="27" t="s">
        <v>480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1.0</v>
      </c>
      <c r="K144" s="33" t="n">
        <f>35990</f>
        <v>35990.0</v>
      </c>
      <c r="L144" s="34" t="s">
        <v>48</v>
      </c>
      <c r="M144" s="33" t="n">
        <f>54190</f>
        <v>54190.0</v>
      </c>
      <c r="N144" s="34" t="s">
        <v>61</v>
      </c>
      <c r="O144" s="33" t="n">
        <f>33700</f>
        <v>33700.0</v>
      </c>
      <c r="P144" s="34" t="s">
        <v>48</v>
      </c>
      <c r="Q144" s="33" t="n">
        <f>37100</f>
        <v>37100.0</v>
      </c>
      <c r="R144" s="34" t="s">
        <v>49</v>
      </c>
      <c r="S144" s="35" t="n">
        <f>38282.27</f>
        <v>38282.27</v>
      </c>
      <c r="T144" s="32" t="n">
        <f>21560</f>
        <v>21560.0</v>
      </c>
      <c r="U144" s="32" t="str">
        <f>"－"</f>
        <v>－</v>
      </c>
      <c r="V144" s="32" t="n">
        <f>890234570</f>
        <v>8.9023457E8</v>
      </c>
      <c r="W144" s="32" t="str">
        <f>"－"</f>
        <v>－</v>
      </c>
      <c r="X144" s="36" t="n">
        <f>22</f>
        <v>22.0</v>
      </c>
    </row>
    <row r="145">
      <c r="A145" s="27" t="s">
        <v>42</v>
      </c>
      <c r="B145" s="27" t="s">
        <v>481</v>
      </c>
      <c r="C145" s="27" t="s">
        <v>482</v>
      </c>
      <c r="D145" s="27" t="s">
        <v>483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10.0</v>
      </c>
      <c r="K145" s="33" t="n">
        <f>56700</f>
        <v>56700.0</v>
      </c>
      <c r="L145" s="34" t="s">
        <v>48</v>
      </c>
      <c r="M145" s="33" t="n">
        <f>58900</f>
        <v>58900.0</v>
      </c>
      <c r="N145" s="34" t="s">
        <v>49</v>
      </c>
      <c r="O145" s="33" t="n">
        <f>56400</f>
        <v>56400.0</v>
      </c>
      <c r="P145" s="34" t="s">
        <v>50</v>
      </c>
      <c r="Q145" s="33" t="n">
        <f>58830</f>
        <v>58830.0</v>
      </c>
      <c r="R145" s="34" t="s">
        <v>49</v>
      </c>
      <c r="S145" s="35" t="n">
        <f>58019.09</f>
        <v>58019.09</v>
      </c>
      <c r="T145" s="32" t="n">
        <f>2940</f>
        <v>2940.0</v>
      </c>
      <c r="U145" s="32" t="n">
        <f>40</f>
        <v>40.0</v>
      </c>
      <c r="V145" s="32" t="n">
        <f>170021600</f>
        <v>1.700216E8</v>
      </c>
      <c r="W145" s="32" t="n">
        <f>2291000</f>
        <v>2291000.0</v>
      </c>
      <c r="X145" s="36" t="n">
        <f>22</f>
        <v>22.0</v>
      </c>
    </row>
    <row r="146">
      <c r="A146" s="27" t="s">
        <v>42</v>
      </c>
      <c r="B146" s="27" t="s">
        <v>484</v>
      </c>
      <c r="C146" s="27" t="s">
        <v>485</v>
      </c>
      <c r="D146" s="27" t="s">
        <v>486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10.0</v>
      </c>
      <c r="K146" s="33" t="n">
        <f>327.3</f>
        <v>327.3</v>
      </c>
      <c r="L146" s="34" t="s">
        <v>48</v>
      </c>
      <c r="M146" s="33" t="n">
        <f>361.9</f>
        <v>361.9</v>
      </c>
      <c r="N146" s="34" t="s">
        <v>203</v>
      </c>
      <c r="O146" s="33" t="n">
        <f>325.4</f>
        <v>325.4</v>
      </c>
      <c r="P146" s="34" t="s">
        <v>48</v>
      </c>
      <c r="Q146" s="33" t="n">
        <f>355</f>
        <v>355.0</v>
      </c>
      <c r="R146" s="34" t="s">
        <v>49</v>
      </c>
      <c r="S146" s="35" t="n">
        <f>347</f>
        <v>347.0</v>
      </c>
      <c r="T146" s="32" t="n">
        <f>27309790</f>
        <v>2.730979E7</v>
      </c>
      <c r="U146" s="32" t="n">
        <f>506210</f>
        <v>506210.0</v>
      </c>
      <c r="V146" s="32" t="n">
        <f>9508696440</f>
        <v>9.50869644E9</v>
      </c>
      <c r="W146" s="32" t="n">
        <f>177077067</f>
        <v>1.77077067E8</v>
      </c>
      <c r="X146" s="36" t="n">
        <f>22</f>
        <v>22.0</v>
      </c>
    </row>
    <row r="147">
      <c r="A147" s="27" t="s">
        <v>42</v>
      </c>
      <c r="B147" s="27" t="s">
        <v>487</v>
      </c>
      <c r="C147" s="27" t="s">
        <v>488</v>
      </c>
      <c r="D147" s="27" t="s">
        <v>489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10.0</v>
      </c>
      <c r="K147" s="33" t="n">
        <f>55990</f>
        <v>55990.0</v>
      </c>
      <c r="L147" s="34" t="s">
        <v>48</v>
      </c>
      <c r="M147" s="33" t="n">
        <f>59750</f>
        <v>59750.0</v>
      </c>
      <c r="N147" s="34" t="s">
        <v>79</v>
      </c>
      <c r="O147" s="33" t="n">
        <f>55810</f>
        <v>55810.0</v>
      </c>
      <c r="P147" s="34" t="s">
        <v>50</v>
      </c>
      <c r="Q147" s="33" t="n">
        <f>59750</f>
        <v>59750.0</v>
      </c>
      <c r="R147" s="34" t="s">
        <v>79</v>
      </c>
      <c r="S147" s="35" t="n">
        <f>57976.25</f>
        <v>57976.25</v>
      </c>
      <c r="T147" s="32" t="n">
        <f>2830</f>
        <v>2830.0</v>
      </c>
      <c r="U147" s="32" t="str">
        <f>"－"</f>
        <v>－</v>
      </c>
      <c r="V147" s="32" t="n">
        <f>167258200</f>
        <v>1.672582E8</v>
      </c>
      <c r="W147" s="32" t="str">
        <f>"－"</f>
        <v>－</v>
      </c>
      <c r="X147" s="36" t="n">
        <f>16</f>
        <v>16.0</v>
      </c>
    </row>
    <row r="148">
      <c r="A148" s="27" t="s">
        <v>42</v>
      </c>
      <c r="B148" s="27" t="s">
        <v>490</v>
      </c>
      <c r="C148" s="27" t="s">
        <v>491</v>
      </c>
      <c r="D148" s="27" t="s">
        <v>492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1.0</v>
      </c>
      <c r="K148" s="33" t="n">
        <f>6801</f>
        <v>6801.0</v>
      </c>
      <c r="L148" s="34" t="s">
        <v>48</v>
      </c>
      <c r="M148" s="33" t="n">
        <f>7270</f>
        <v>7270.0</v>
      </c>
      <c r="N148" s="34" t="s">
        <v>79</v>
      </c>
      <c r="O148" s="33" t="n">
        <f>6752</f>
        <v>6752.0</v>
      </c>
      <c r="P148" s="34" t="s">
        <v>48</v>
      </c>
      <c r="Q148" s="33" t="n">
        <f>7250</f>
        <v>7250.0</v>
      </c>
      <c r="R148" s="34" t="s">
        <v>49</v>
      </c>
      <c r="S148" s="35" t="n">
        <f>7034.68</f>
        <v>7034.68</v>
      </c>
      <c r="T148" s="32" t="n">
        <f>120091</f>
        <v>120091.0</v>
      </c>
      <c r="U148" s="32" t="n">
        <f>11</f>
        <v>11.0</v>
      </c>
      <c r="V148" s="32" t="n">
        <f>828075575</f>
        <v>8.28075575E8</v>
      </c>
      <c r="W148" s="32" t="n">
        <f>76276</f>
        <v>76276.0</v>
      </c>
      <c r="X148" s="36" t="n">
        <f>22</f>
        <v>22.0</v>
      </c>
    </row>
    <row r="149">
      <c r="A149" s="27" t="s">
        <v>42</v>
      </c>
      <c r="B149" s="27" t="s">
        <v>493</v>
      </c>
      <c r="C149" s="27" t="s">
        <v>494</v>
      </c>
      <c r="D149" s="27" t="s">
        <v>495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1.0</v>
      </c>
      <c r="K149" s="33" t="n">
        <f>2517</f>
        <v>2517.0</v>
      </c>
      <c r="L149" s="34" t="s">
        <v>48</v>
      </c>
      <c r="M149" s="33" t="n">
        <f>2749</f>
        <v>2749.0</v>
      </c>
      <c r="N149" s="34" t="s">
        <v>79</v>
      </c>
      <c r="O149" s="33" t="n">
        <f>2507</f>
        <v>2507.0</v>
      </c>
      <c r="P149" s="34" t="s">
        <v>48</v>
      </c>
      <c r="Q149" s="33" t="n">
        <f>2734</f>
        <v>2734.0</v>
      </c>
      <c r="R149" s="34" t="s">
        <v>49</v>
      </c>
      <c r="S149" s="35" t="n">
        <f>2632.14</f>
        <v>2632.14</v>
      </c>
      <c r="T149" s="32" t="n">
        <f>112322</f>
        <v>112322.0</v>
      </c>
      <c r="U149" s="32" t="n">
        <f>1390</f>
        <v>1390.0</v>
      </c>
      <c r="V149" s="32" t="n">
        <f>296127038</f>
        <v>2.96127038E8</v>
      </c>
      <c r="W149" s="32" t="n">
        <f>3623727</f>
        <v>3623727.0</v>
      </c>
      <c r="X149" s="36" t="n">
        <f>22</f>
        <v>22.0</v>
      </c>
    </row>
    <row r="150">
      <c r="A150" s="27" t="s">
        <v>42</v>
      </c>
      <c r="B150" s="27" t="s">
        <v>496</v>
      </c>
      <c r="C150" s="27" t="s">
        <v>497</v>
      </c>
      <c r="D150" s="27" t="s">
        <v>498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10.0</v>
      </c>
      <c r="K150" s="33" t="n">
        <f>1799.5</f>
        <v>1799.5</v>
      </c>
      <c r="L150" s="34" t="s">
        <v>50</v>
      </c>
      <c r="M150" s="33" t="n">
        <f>1949.5</f>
        <v>1949.5</v>
      </c>
      <c r="N150" s="34" t="s">
        <v>116</v>
      </c>
      <c r="O150" s="33" t="n">
        <f>1795</f>
        <v>1795.0</v>
      </c>
      <c r="P150" s="34" t="s">
        <v>474</v>
      </c>
      <c r="Q150" s="33" t="n">
        <f>1899.5</f>
        <v>1899.5</v>
      </c>
      <c r="R150" s="34" t="s">
        <v>79</v>
      </c>
      <c r="S150" s="35" t="n">
        <f>1847.6</f>
        <v>1847.6</v>
      </c>
      <c r="T150" s="32" t="n">
        <f>1370</f>
        <v>1370.0</v>
      </c>
      <c r="U150" s="32" t="str">
        <f>"－"</f>
        <v>－</v>
      </c>
      <c r="V150" s="32" t="n">
        <f>2532300</f>
        <v>2532300.0</v>
      </c>
      <c r="W150" s="32" t="str">
        <f>"－"</f>
        <v>－</v>
      </c>
      <c r="X150" s="36" t="n">
        <f>15</f>
        <v>15.0</v>
      </c>
    </row>
    <row r="151">
      <c r="A151" s="27" t="s">
        <v>42</v>
      </c>
      <c r="B151" s="27" t="s">
        <v>499</v>
      </c>
      <c r="C151" s="27" t="s">
        <v>500</v>
      </c>
      <c r="D151" s="27" t="s">
        <v>501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10.0</v>
      </c>
      <c r="K151" s="33" t="n">
        <f>520</f>
        <v>520.0</v>
      </c>
      <c r="L151" s="34" t="s">
        <v>48</v>
      </c>
      <c r="M151" s="33" t="n">
        <f>529.9</f>
        <v>529.9</v>
      </c>
      <c r="N151" s="34" t="s">
        <v>106</v>
      </c>
      <c r="O151" s="33" t="n">
        <f>474</f>
        <v>474.0</v>
      </c>
      <c r="P151" s="34" t="s">
        <v>61</v>
      </c>
      <c r="Q151" s="33" t="n">
        <f>518</f>
        <v>518.0</v>
      </c>
      <c r="R151" s="34" t="s">
        <v>49</v>
      </c>
      <c r="S151" s="35" t="n">
        <f>505.38</f>
        <v>505.38</v>
      </c>
      <c r="T151" s="32" t="n">
        <f>57110</f>
        <v>57110.0</v>
      </c>
      <c r="U151" s="32" t="str">
        <f>"－"</f>
        <v>－</v>
      </c>
      <c r="V151" s="32" t="n">
        <f>28894899</f>
        <v>2.8894899E7</v>
      </c>
      <c r="W151" s="32" t="str">
        <f>"－"</f>
        <v>－</v>
      </c>
      <c r="X151" s="36" t="n">
        <f>22</f>
        <v>22.0</v>
      </c>
    </row>
    <row r="152">
      <c r="A152" s="27" t="s">
        <v>42</v>
      </c>
      <c r="B152" s="27" t="s">
        <v>502</v>
      </c>
      <c r="C152" s="27" t="s">
        <v>503</v>
      </c>
      <c r="D152" s="27" t="s">
        <v>504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10.0</v>
      </c>
      <c r="K152" s="33" t="n">
        <f>2358</f>
        <v>2358.0</v>
      </c>
      <c r="L152" s="34" t="s">
        <v>48</v>
      </c>
      <c r="M152" s="33" t="n">
        <f>2600</f>
        <v>2600.0</v>
      </c>
      <c r="N152" s="34" t="s">
        <v>49</v>
      </c>
      <c r="O152" s="33" t="n">
        <f>2315</f>
        <v>2315.0</v>
      </c>
      <c r="P152" s="34" t="s">
        <v>48</v>
      </c>
      <c r="Q152" s="33" t="n">
        <f>2600</f>
        <v>2600.0</v>
      </c>
      <c r="R152" s="34" t="s">
        <v>49</v>
      </c>
      <c r="S152" s="35" t="n">
        <f>2472.73</f>
        <v>2472.73</v>
      </c>
      <c r="T152" s="32" t="n">
        <f>3920</f>
        <v>3920.0</v>
      </c>
      <c r="U152" s="32" t="str">
        <f>"－"</f>
        <v>－</v>
      </c>
      <c r="V152" s="32" t="n">
        <f>9831830</f>
        <v>9831830.0</v>
      </c>
      <c r="W152" s="32" t="str">
        <f>"－"</f>
        <v>－</v>
      </c>
      <c r="X152" s="36" t="n">
        <f>22</f>
        <v>22.0</v>
      </c>
    </row>
    <row r="153">
      <c r="A153" s="27" t="s">
        <v>42</v>
      </c>
      <c r="B153" s="27" t="s">
        <v>505</v>
      </c>
      <c r="C153" s="27" t="s">
        <v>506</v>
      </c>
      <c r="D153" s="27" t="s">
        <v>507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10.0</v>
      </c>
      <c r="K153" s="33" t="n">
        <f>890</f>
        <v>890.0</v>
      </c>
      <c r="L153" s="34" t="s">
        <v>48</v>
      </c>
      <c r="M153" s="33" t="n">
        <f>939.9</f>
        <v>939.9</v>
      </c>
      <c r="N153" s="34" t="s">
        <v>49</v>
      </c>
      <c r="O153" s="33" t="n">
        <f>840</f>
        <v>840.0</v>
      </c>
      <c r="P153" s="34" t="s">
        <v>156</v>
      </c>
      <c r="Q153" s="33" t="n">
        <f>932.1</f>
        <v>932.1</v>
      </c>
      <c r="R153" s="34" t="s">
        <v>49</v>
      </c>
      <c r="S153" s="35" t="n">
        <f>899.48</f>
        <v>899.48</v>
      </c>
      <c r="T153" s="32" t="n">
        <f>57250</f>
        <v>57250.0</v>
      </c>
      <c r="U153" s="32" t="str">
        <f>"－"</f>
        <v>－</v>
      </c>
      <c r="V153" s="32" t="n">
        <f>51413289</f>
        <v>5.1413289E7</v>
      </c>
      <c r="W153" s="32" t="str">
        <f>"－"</f>
        <v>－</v>
      </c>
      <c r="X153" s="36" t="n">
        <f>22</f>
        <v>22.0</v>
      </c>
    </row>
    <row r="154">
      <c r="A154" s="27" t="s">
        <v>42</v>
      </c>
      <c r="B154" s="27" t="s">
        <v>508</v>
      </c>
      <c r="C154" s="27" t="s">
        <v>509</v>
      </c>
      <c r="D154" s="27" t="s">
        <v>510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10.0</v>
      </c>
      <c r="K154" s="33" t="n">
        <f>476</f>
        <v>476.0</v>
      </c>
      <c r="L154" s="34" t="s">
        <v>48</v>
      </c>
      <c r="M154" s="33" t="n">
        <f>523.3</f>
        <v>523.3</v>
      </c>
      <c r="N154" s="34" t="s">
        <v>49</v>
      </c>
      <c r="O154" s="33" t="n">
        <f>467.9</f>
        <v>467.9</v>
      </c>
      <c r="P154" s="34" t="s">
        <v>48</v>
      </c>
      <c r="Q154" s="33" t="n">
        <f>522.9</f>
        <v>522.9</v>
      </c>
      <c r="R154" s="34" t="s">
        <v>49</v>
      </c>
      <c r="S154" s="35" t="n">
        <f>493.3</f>
        <v>493.3</v>
      </c>
      <c r="T154" s="32" t="n">
        <f>177670</f>
        <v>177670.0</v>
      </c>
      <c r="U154" s="32" t="str">
        <f>"－"</f>
        <v>－</v>
      </c>
      <c r="V154" s="32" t="n">
        <f>87054288</f>
        <v>8.7054288E7</v>
      </c>
      <c r="W154" s="32" t="str">
        <f>"－"</f>
        <v>－</v>
      </c>
      <c r="X154" s="36" t="n">
        <f>22</f>
        <v>22.0</v>
      </c>
    </row>
    <row r="155">
      <c r="A155" s="27" t="s">
        <v>42</v>
      </c>
      <c r="B155" s="27" t="s">
        <v>511</v>
      </c>
      <c r="C155" s="27" t="s">
        <v>512</v>
      </c>
      <c r="D155" s="27" t="s">
        <v>513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1.0</v>
      </c>
      <c r="K155" s="33" t="n">
        <f>971</f>
        <v>971.0</v>
      </c>
      <c r="L155" s="34" t="s">
        <v>48</v>
      </c>
      <c r="M155" s="33" t="n">
        <f>1062</f>
        <v>1062.0</v>
      </c>
      <c r="N155" s="34" t="s">
        <v>202</v>
      </c>
      <c r="O155" s="33" t="n">
        <f>905</f>
        <v>905.0</v>
      </c>
      <c r="P155" s="34" t="s">
        <v>61</v>
      </c>
      <c r="Q155" s="33" t="n">
        <f>1018</f>
        <v>1018.0</v>
      </c>
      <c r="R155" s="34" t="s">
        <v>49</v>
      </c>
      <c r="S155" s="35" t="n">
        <f>984.41</f>
        <v>984.41</v>
      </c>
      <c r="T155" s="32" t="n">
        <f>1424578</f>
        <v>1424578.0</v>
      </c>
      <c r="U155" s="32" t="str">
        <f>"－"</f>
        <v>－</v>
      </c>
      <c r="V155" s="32" t="n">
        <f>1393610550</f>
        <v>1.39361055E9</v>
      </c>
      <c r="W155" s="32" t="str">
        <f>"－"</f>
        <v>－</v>
      </c>
      <c r="X155" s="36" t="n">
        <f>22</f>
        <v>22.0</v>
      </c>
    </row>
    <row r="156">
      <c r="A156" s="27" t="s">
        <v>42</v>
      </c>
      <c r="B156" s="27" t="s">
        <v>514</v>
      </c>
      <c r="C156" s="27" t="s">
        <v>515</v>
      </c>
      <c r="D156" s="27" t="s">
        <v>516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10.0</v>
      </c>
      <c r="K156" s="33" t="n">
        <f>1452.5</f>
        <v>1452.5</v>
      </c>
      <c r="L156" s="34" t="s">
        <v>48</v>
      </c>
      <c r="M156" s="33" t="n">
        <f>1460</f>
        <v>1460.0</v>
      </c>
      <c r="N156" s="34" t="s">
        <v>48</v>
      </c>
      <c r="O156" s="33" t="n">
        <f>1306</f>
        <v>1306.0</v>
      </c>
      <c r="P156" s="34" t="s">
        <v>61</v>
      </c>
      <c r="Q156" s="33" t="n">
        <f>1412.5</f>
        <v>1412.5</v>
      </c>
      <c r="R156" s="34" t="s">
        <v>49</v>
      </c>
      <c r="S156" s="35" t="n">
        <f>1385.75</f>
        <v>1385.75</v>
      </c>
      <c r="T156" s="32" t="n">
        <f>74960</f>
        <v>74960.0</v>
      </c>
      <c r="U156" s="32" t="str">
        <f>"－"</f>
        <v>－</v>
      </c>
      <c r="V156" s="32" t="n">
        <f>103372095</f>
        <v>1.03372095E8</v>
      </c>
      <c r="W156" s="32" t="str">
        <f>"－"</f>
        <v>－</v>
      </c>
      <c r="X156" s="36" t="n">
        <f>22</f>
        <v>22.0</v>
      </c>
    </row>
    <row r="157">
      <c r="A157" s="27" t="s">
        <v>42</v>
      </c>
      <c r="B157" s="27" t="s">
        <v>517</v>
      </c>
      <c r="C157" s="27" t="s">
        <v>518</v>
      </c>
      <c r="D157" s="27" t="s">
        <v>519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1.0</v>
      </c>
      <c r="K157" s="33" t="n">
        <f>7958</f>
        <v>7958.0</v>
      </c>
      <c r="L157" s="34" t="s">
        <v>48</v>
      </c>
      <c r="M157" s="33" t="n">
        <f>8474</f>
        <v>8474.0</v>
      </c>
      <c r="N157" s="34" t="s">
        <v>80</v>
      </c>
      <c r="O157" s="33" t="n">
        <f>7415</f>
        <v>7415.0</v>
      </c>
      <c r="P157" s="34" t="s">
        <v>61</v>
      </c>
      <c r="Q157" s="33" t="n">
        <f>8080</f>
        <v>8080.0</v>
      </c>
      <c r="R157" s="34" t="s">
        <v>49</v>
      </c>
      <c r="S157" s="35" t="n">
        <f>7826</f>
        <v>7826.0</v>
      </c>
      <c r="T157" s="32" t="n">
        <f>5092</f>
        <v>5092.0</v>
      </c>
      <c r="U157" s="32" t="str">
        <f>"－"</f>
        <v>－</v>
      </c>
      <c r="V157" s="32" t="n">
        <f>39778893</f>
        <v>3.9778893E7</v>
      </c>
      <c r="W157" s="32" t="str">
        <f>"－"</f>
        <v>－</v>
      </c>
      <c r="X157" s="36" t="n">
        <f>20</f>
        <v>20.0</v>
      </c>
    </row>
    <row r="158">
      <c r="A158" s="27" t="s">
        <v>42</v>
      </c>
      <c r="B158" s="27" t="s">
        <v>520</v>
      </c>
      <c r="C158" s="27" t="s">
        <v>521</v>
      </c>
      <c r="D158" s="27" t="s">
        <v>522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100.0</v>
      </c>
      <c r="K158" s="33" t="n">
        <f>519.6</f>
        <v>519.6</v>
      </c>
      <c r="L158" s="34" t="s">
        <v>48</v>
      </c>
      <c r="M158" s="33" t="n">
        <f>599.9</f>
        <v>599.9</v>
      </c>
      <c r="N158" s="34" t="s">
        <v>233</v>
      </c>
      <c r="O158" s="33" t="n">
        <f>507.7</f>
        <v>507.7</v>
      </c>
      <c r="P158" s="34" t="s">
        <v>156</v>
      </c>
      <c r="Q158" s="33" t="n">
        <f>576</f>
        <v>576.0</v>
      </c>
      <c r="R158" s="34" t="s">
        <v>49</v>
      </c>
      <c r="S158" s="35" t="n">
        <f>551.33</f>
        <v>551.33</v>
      </c>
      <c r="T158" s="32" t="n">
        <f>126100</f>
        <v>126100.0</v>
      </c>
      <c r="U158" s="32" t="str">
        <f>"－"</f>
        <v>－</v>
      </c>
      <c r="V158" s="32" t="n">
        <f>69680230</f>
        <v>6.968023E7</v>
      </c>
      <c r="W158" s="32" t="str">
        <f>"－"</f>
        <v>－</v>
      </c>
      <c r="X158" s="36" t="n">
        <f>22</f>
        <v>22.0</v>
      </c>
    </row>
    <row r="159">
      <c r="A159" s="27" t="s">
        <v>42</v>
      </c>
      <c r="B159" s="27" t="s">
        <v>523</v>
      </c>
      <c r="C159" s="27" t="s">
        <v>524</v>
      </c>
      <c r="D159" s="27" t="s">
        <v>525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10.0</v>
      </c>
      <c r="K159" s="33" t="n">
        <f>6387</f>
        <v>6387.0</v>
      </c>
      <c r="L159" s="34" t="s">
        <v>48</v>
      </c>
      <c r="M159" s="33" t="n">
        <f>7059</f>
        <v>7059.0</v>
      </c>
      <c r="N159" s="34" t="s">
        <v>106</v>
      </c>
      <c r="O159" s="33" t="n">
        <f>6256</f>
        <v>6256.0</v>
      </c>
      <c r="P159" s="34" t="s">
        <v>48</v>
      </c>
      <c r="Q159" s="33" t="n">
        <f>6893</f>
        <v>6893.0</v>
      </c>
      <c r="R159" s="34" t="s">
        <v>49</v>
      </c>
      <c r="S159" s="35" t="n">
        <f>6730.95</f>
        <v>6730.95</v>
      </c>
      <c r="T159" s="32" t="n">
        <f>572820</f>
        <v>572820.0</v>
      </c>
      <c r="U159" s="32" t="str">
        <f>"－"</f>
        <v>－</v>
      </c>
      <c r="V159" s="32" t="n">
        <f>3858114790</f>
        <v>3.85811479E9</v>
      </c>
      <c r="W159" s="32" t="str">
        <f>"－"</f>
        <v>－</v>
      </c>
      <c r="X159" s="36" t="n">
        <f>22</f>
        <v>22.0</v>
      </c>
    </row>
    <row r="160">
      <c r="A160" s="27" t="s">
        <v>42</v>
      </c>
      <c r="B160" s="27" t="s">
        <v>526</v>
      </c>
      <c r="C160" s="27" t="s">
        <v>527</v>
      </c>
      <c r="D160" s="27" t="s">
        <v>528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10.0</v>
      </c>
      <c r="K160" s="33" t="n">
        <f>2046.5</f>
        <v>2046.5</v>
      </c>
      <c r="L160" s="34" t="s">
        <v>48</v>
      </c>
      <c r="M160" s="33" t="n">
        <f>2120</f>
        <v>2120.0</v>
      </c>
      <c r="N160" s="34" t="s">
        <v>229</v>
      </c>
      <c r="O160" s="33" t="n">
        <f>1979.5</f>
        <v>1979.5</v>
      </c>
      <c r="P160" s="34" t="s">
        <v>50</v>
      </c>
      <c r="Q160" s="33" t="n">
        <f>2074</f>
        <v>2074.0</v>
      </c>
      <c r="R160" s="34" t="s">
        <v>49</v>
      </c>
      <c r="S160" s="35" t="n">
        <f>2046.2</f>
        <v>2046.2</v>
      </c>
      <c r="T160" s="32" t="n">
        <f>24070</f>
        <v>24070.0</v>
      </c>
      <c r="U160" s="32" t="str">
        <f>"－"</f>
        <v>－</v>
      </c>
      <c r="V160" s="32" t="n">
        <f>49398800</f>
        <v>4.93988E7</v>
      </c>
      <c r="W160" s="32" t="str">
        <f>"－"</f>
        <v>－</v>
      </c>
      <c r="X160" s="36" t="n">
        <f>22</f>
        <v>22.0</v>
      </c>
    </row>
    <row r="161">
      <c r="A161" s="27" t="s">
        <v>42</v>
      </c>
      <c r="B161" s="27" t="s">
        <v>529</v>
      </c>
      <c r="C161" s="27" t="s">
        <v>530</v>
      </c>
      <c r="D161" s="27" t="s">
        <v>531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1.0</v>
      </c>
      <c r="K161" s="33" t="n">
        <f>2604</f>
        <v>2604.0</v>
      </c>
      <c r="L161" s="34" t="s">
        <v>48</v>
      </c>
      <c r="M161" s="33" t="n">
        <f>2818</f>
        <v>2818.0</v>
      </c>
      <c r="N161" s="34" t="s">
        <v>79</v>
      </c>
      <c r="O161" s="33" t="n">
        <f>2560</f>
        <v>2560.0</v>
      </c>
      <c r="P161" s="34" t="s">
        <v>48</v>
      </c>
      <c r="Q161" s="33" t="n">
        <f>2779</f>
        <v>2779.0</v>
      </c>
      <c r="R161" s="34" t="s">
        <v>49</v>
      </c>
      <c r="S161" s="35" t="n">
        <f>2655.18</f>
        <v>2655.18</v>
      </c>
      <c r="T161" s="32" t="n">
        <f>307551</f>
        <v>307551.0</v>
      </c>
      <c r="U161" s="32" t="str">
        <f>"－"</f>
        <v>－</v>
      </c>
      <c r="V161" s="32" t="n">
        <f>816643393</f>
        <v>8.16643393E8</v>
      </c>
      <c r="W161" s="32" t="str">
        <f>"－"</f>
        <v>－</v>
      </c>
      <c r="X161" s="36" t="n">
        <f>22</f>
        <v>22.0</v>
      </c>
    </row>
    <row r="162">
      <c r="A162" s="27" t="s">
        <v>42</v>
      </c>
      <c r="B162" s="27" t="s">
        <v>532</v>
      </c>
      <c r="C162" s="27" t="s">
        <v>533</v>
      </c>
      <c r="D162" s="27" t="s">
        <v>534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1.0</v>
      </c>
      <c r="K162" s="33" t="n">
        <f>2710</f>
        <v>2710.0</v>
      </c>
      <c r="L162" s="34" t="s">
        <v>48</v>
      </c>
      <c r="M162" s="33" t="n">
        <f>2945</f>
        <v>2945.0</v>
      </c>
      <c r="N162" s="34" t="s">
        <v>79</v>
      </c>
      <c r="O162" s="33" t="n">
        <f>2680</f>
        <v>2680.0</v>
      </c>
      <c r="P162" s="34" t="s">
        <v>48</v>
      </c>
      <c r="Q162" s="33" t="n">
        <f>2917</f>
        <v>2917.0</v>
      </c>
      <c r="R162" s="34" t="s">
        <v>49</v>
      </c>
      <c r="S162" s="35" t="n">
        <f>2807.09</f>
        <v>2807.09</v>
      </c>
      <c r="T162" s="32" t="n">
        <f>49885</f>
        <v>49885.0</v>
      </c>
      <c r="U162" s="32" t="str">
        <f>"－"</f>
        <v>－</v>
      </c>
      <c r="V162" s="32" t="n">
        <f>139237338</f>
        <v>1.39237338E8</v>
      </c>
      <c r="W162" s="32" t="str">
        <f>"－"</f>
        <v>－</v>
      </c>
      <c r="X162" s="36" t="n">
        <f>22</f>
        <v>22.0</v>
      </c>
    </row>
    <row r="163">
      <c r="A163" s="27" t="s">
        <v>42</v>
      </c>
      <c r="B163" s="27" t="s">
        <v>535</v>
      </c>
      <c r="C163" s="27" t="s">
        <v>536</v>
      </c>
      <c r="D163" s="27" t="s">
        <v>537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10.0</v>
      </c>
      <c r="K163" s="33" t="n">
        <f>3727</f>
        <v>3727.0</v>
      </c>
      <c r="L163" s="34" t="s">
        <v>48</v>
      </c>
      <c r="M163" s="33" t="n">
        <f>4250</f>
        <v>4250.0</v>
      </c>
      <c r="N163" s="34" t="s">
        <v>49</v>
      </c>
      <c r="O163" s="33" t="n">
        <f>3646</f>
        <v>3646.0</v>
      </c>
      <c r="P163" s="34" t="s">
        <v>48</v>
      </c>
      <c r="Q163" s="33" t="n">
        <f>4080</f>
        <v>4080.0</v>
      </c>
      <c r="R163" s="34" t="s">
        <v>49</v>
      </c>
      <c r="S163" s="35" t="n">
        <f>3894.86</f>
        <v>3894.86</v>
      </c>
      <c r="T163" s="32" t="n">
        <f>19730</f>
        <v>19730.0</v>
      </c>
      <c r="U163" s="32" t="str">
        <f>"－"</f>
        <v>－</v>
      </c>
      <c r="V163" s="32" t="n">
        <f>77035130</f>
        <v>7.703513E7</v>
      </c>
      <c r="W163" s="32" t="str">
        <f>"－"</f>
        <v>－</v>
      </c>
      <c r="X163" s="36" t="n">
        <f>22</f>
        <v>22.0</v>
      </c>
    </row>
    <row r="164">
      <c r="A164" s="27" t="s">
        <v>42</v>
      </c>
      <c r="B164" s="27" t="s">
        <v>538</v>
      </c>
      <c r="C164" s="27" t="s">
        <v>539</v>
      </c>
      <c r="D164" s="27" t="s">
        <v>540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1.0</v>
      </c>
      <c r="K164" s="33" t="n">
        <f>3414</f>
        <v>3414.0</v>
      </c>
      <c r="L164" s="34" t="s">
        <v>48</v>
      </c>
      <c r="M164" s="33" t="n">
        <f>3491</f>
        <v>3491.0</v>
      </c>
      <c r="N164" s="34" t="s">
        <v>106</v>
      </c>
      <c r="O164" s="33" t="n">
        <f>3310</f>
        <v>3310.0</v>
      </c>
      <c r="P164" s="34" t="s">
        <v>156</v>
      </c>
      <c r="Q164" s="33" t="n">
        <f>3456</f>
        <v>3456.0</v>
      </c>
      <c r="R164" s="34" t="s">
        <v>49</v>
      </c>
      <c r="S164" s="35" t="n">
        <f>3414.36</f>
        <v>3414.36</v>
      </c>
      <c r="T164" s="32" t="n">
        <f>2423196</f>
        <v>2423196.0</v>
      </c>
      <c r="U164" s="32" t="n">
        <f>1909330</f>
        <v>1909330.0</v>
      </c>
      <c r="V164" s="32" t="n">
        <f>8317012096</f>
        <v>8.317012096E9</v>
      </c>
      <c r="W164" s="32" t="n">
        <f>6565154016</f>
        <v>6.565154016E9</v>
      </c>
      <c r="X164" s="36" t="n">
        <f>22</f>
        <v>22.0</v>
      </c>
    </row>
    <row r="165">
      <c r="A165" s="27" t="s">
        <v>42</v>
      </c>
      <c r="B165" s="27" t="s">
        <v>541</v>
      </c>
      <c r="C165" s="27" t="s">
        <v>542</v>
      </c>
      <c r="D165" s="27" t="s">
        <v>543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10.0</v>
      </c>
      <c r="K165" s="33" t="n">
        <f>385.4</f>
        <v>385.4</v>
      </c>
      <c r="L165" s="34" t="s">
        <v>48</v>
      </c>
      <c r="M165" s="33" t="n">
        <f>397.3</f>
        <v>397.3</v>
      </c>
      <c r="N165" s="34" t="s">
        <v>116</v>
      </c>
      <c r="O165" s="33" t="n">
        <f>358.8</f>
        <v>358.8</v>
      </c>
      <c r="P165" s="34" t="s">
        <v>61</v>
      </c>
      <c r="Q165" s="33" t="n">
        <f>391</f>
        <v>391.0</v>
      </c>
      <c r="R165" s="34" t="s">
        <v>49</v>
      </c>
      <c r="S165" s="35" t="n">
        <f>382.06</f>
        <v>382.06</v>
      </c>
      <c r="T165" s="32" t="n">
        <f>18671570</f>
        <v>1.867157E7</v>
      </c>
      <c r="U165" s="32" t="n">
        <f>342780</f>
        <v>342780.0</v>
      </c>
      <c r="V165" s="32" t="n">
        <f>7103992717</f>
        <v>7.103992717E9</v>
      </c>
      <c r="W165" s="32" t="n">
        <f>129624518</f>
        <v>1.29624518E8</v>
      </c>
      <c r="X165" s="36" t="n">
        <f>22</f>
        <v>22.0</v>
      </c>
    </row>
    <row r="166">
      <c r="A166" s="27" t="s">
        <v>42</v>
      </c>
      <c r="B166" s="27" t="s">
        <v>544</v>
      </c>
      <c r="C166" s="27" t="s">
        <v>545</v>
      </c>
      <c r="D166" s="27" t="s">
        <v>546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1.0</v>
      </c>
      <c r="K166" s="33" t="n">
        <f>2323</f>
        <v>2323.0</v>
      </c>
      <c r="L166" s="34" t="s">
        <v>48</v>
      </c>
      <c r="M166" s="33" t="n">
        <f>2480</f>
        <v>2480.0</v>
      </c>
      <c r="N166" s="34" t="s">
        <v>49</v>
      </c>
      <c r="O166" s="33" t="n">
        <f>2245</f>
        <v>2245.0</v>
      </c>
      <c r="P166" s="34" t="s">
        <v>156</v>
      </c>
      <c r="Q166" s="33" t="n">
        <f>2410</f>
        <v>2410.0</v>
      </c>
      <c r="R166" s="34" t="s">
        <v>49</v>
      </c>
      <c r="S166" s="35" t="n">
        <f>2331.14</f>
        <v>2331.14</v>
      </c>
      <c r="T166" s="32" t="n">
        <f>47023</f>
        <v>47023.0</v>
      </c>
      <c r="U166" s="32" t="str">
        <f>"－"</f>
        <v>－</v>
      </c>
      <c r="V166" s="32" t="n">
        <f>109144188</f>
        <v>1.09144188E8</v>
      </c>
      <c r="W166" s="32" t="str">
        <f>"－"</f>
        <v>－</v>
      </c>
      <c r="X166" s="36" t="n">
        <f>22</f>
        <v>22.0</v>
      </c>
    </row>
    <row r="167">
      <c r="A167" s="27" t="s">
        <v>42</v>
      </c>
      <c r="B167" s="27" t="s">
        <v>547</v>
      </c>
      <c r="C167" s="27" t="s">
        <v>548</v>
      </c>
      <c r="D167" s="27" t="s">
        <v>549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1.0</v>
      </c>
      <c r="K167" s="33" t="n">
        <f>1386</f>
        <v>1386.0</v>
      </c>
      <c r="L167" s="34" t="s">
        <v>48</v>
      </c>
      <c r="M167" s="33" t="n">
        <f>1524</f>
        <v>1524.0</v>
      </c>
      <c r="N167" s="34" t="s">
        <v>79</v>
      </c>
      <c r="O167" s="33" t="n">
        <f>1372</f>
        <v>1372.0</v>
      </c>
      <c r="P167" s="34" t="s">
        <v>48</v>
      </c>
      <c r="Q167" s="33" t="n">
        <f>1518</f>
        <v>1518.0</v>
      </c>
      <c r="R167" s="34" t="s">
        <v>49</v>
      </c>
      <c r="S167" s="35" t="n">
        <f>1449.27</f>
        <v>1449.27</v>
      </c>
      <c r="T167" s="32" t="n">
        <f>870812</f>
        <v>870812.0</v>
      </c>
      <c r="U167" s="32" t="n">
        <f>1</f>
        <v>1.0</v>
      </c>
      <c r="V167" s="32" t="n">
        <f>1255852726</f>
        <v>1.255852726E9</v>
      </c>
      <c r="W167" s="32" t="n">
        <f>1516</f>
        <v>1516.0</v>
      </c>
      <c r="X167" s="36" t="n">
        <f>22</f>
        <v>22.0</v>
      </c>
    </row>
    <row r="168">
      <c r="A168" s="27" t="s">
        <v>42</v>
      </c>
      <c r="B168" s="27" t="s">
        <v>550</v>
      </c>
      <c r="C168" s="27" t="s">
        <v>551</v>
      </c>
      <c r="D168" s="27" t="s">
        <v>552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10.0</v>
      </c>
      <c r="K168" s="33" t="n">
        <f>269.2</f>
        <v>269.2</v>
      </c>
      <c r="L168" s="34" t="s">
        <v>48</v>
      </c>
      <c r="M168" s="33" t="n">
        <f>280.8</f>
        <v>280.8</v>
      </c>
      <c r="N168" s="34" t="s">
        <v>49</v>
      </c>
      <c r="O168" s="33" t="n">
        <f>268</f>
        <v>268.0</v>
      </c>
      <c r="P168" s="34" t="s">
        <v>262</v>
      </c>
      <c r="Q168" s="33" t="n">
        <f>280.8</f>
        <v>280.8</v>
      </c>
      <c r="R168" s="34" t="s">
        <v>49</v>
      </c>
      <c r="S168" s="35" t="n">
        <f>274</f>
        <v>274.0</v>
      </c>
      <c r="T168" s="32" t="n">
        <f>9421390</f>
        <v>9421390.0</v>
      </c>
      <c r="U168" s="32" t="n">
        <f>960</f>
        <v>960.0</v>
      </c>
      <c r="V168" s="32" t="n">
        <f>2585338980</f>
        <v>2.58533898E9</v>
      </c>
      <c r="W168" s="32" t="n">
        <f>254544</f>
        <v>254544.0</v>
      </c>
      <c r="X168" s="36" t="n">
        <f>22</f>
        <v>22.0</v>
      </c>
    </row>
    <row r="169">
      <c r="A169" s="27" t="s">
        <v>42</v>
      </c>
      <c r="B169" s="27" t="s">
        <v>553</v>
      </c>
      <c r="C169" s="27" t="s">
        <v>554</v>
      </c>
      <c r="D169" s="27" t="s">
        <v>555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10.0</v>
      </c>
      <c r="K169" s="33" t="n">
        <f>286.7</f>
        <v>286.7</v>
      </c>
      <c r="L169" s="34" t="s">
        <v>48</v>
      </c>
      <c r="M169" s="33" t="n">
        <f>304</f>
        <v>304.0</v>
      </c>
      <c r="N169" s="34" t="s">
        <v>60</v>
      </c>
      <c r="O169" s="33" t="n">
        <f>282.2</f>
        <v>282.2</v>
      </c>
      <c r="P169" s="34" t="s">
        <v>48</v>
      </c>
      <c r="Q169" s="33" t="n">
        <f>303.5</f>
        <v>303.5</v>
      </c>
      <c r="R169" s="34" t="s">
        <v>49</v>
      </c>
      <c r="S169" s="35" t="n">
        <f>296.07</f>
        <v>296.07</v>
      </c>
      <c r="T169" s="32" t="n">
        <f>2933570</f>
        <v>2933570.0</v>
      </c>
      <c r="U169" s="32" t="str">
        <f>"－"</f>
        <v>－</v>
      </c>
      <c r="V169" s="32" t="n">
        <f>865931949</f>
        <v>8.65931949E8</v>
      </c>
      <c r="W169" s="32" t="str">
        <f>"－"</f>
        <v>－</v>
      </c>
      <c r="X169" s="36" t="n">
        <f>22</f>
        <v>22.0</v>
      </c>
    </row>
    <row r="170">
      <c r="A170" s="27" t="s">
        <v>42</v>
      </c>
      <c r="B170" s="27" t="s">
        <v>556</v>
      </c>
      <c r="C170" s="27" t="s">
        <v>557</v>
      </c>
      <c r="D170" s="27" t="s">
        <v>558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10.0</v>
      </c>
      <c r="K170" s="33" t="n">
        <f>505.9</f>
        <v>505.9</v>
      </c>
      <c r="L170" s="34" t="s">
        <v>48</v>
      </c>
      <c r="M170" s="33" t="n">
        <f>519.8</f>
        <v>519.8</v>
      </c>
      <c r="N170" s="34" t="s">
        <v>80</v>
      </c>
      <c r="O170" s="33" t="n">
        <f>494.1</f>
        <v>494.1</v>
      </c>
      <c r="P170" s="34" t="s">
        <v>50</v>
      </c>
      <c r="Q170" s="33" t="n">
        <f>511.8</f>
        <v>511.8</v>
      </c>
      <c r="R170" s="34" t="s">
        <v>60</v>
      </c>
      <c r="S170" s="35" t="n">
        <f>508.21</f>
        <v>508.21</v>
      </c>
      <c r="T170" s="32" t="n">
        <f>3906690</f>
        <v>3906690.0</v>
      </c>
      <c r="U170" s="32" t="n">
        <f>3900000</f>
        <v>3900000.0</v>
      </c>
      <c r="V170" s="32" t="n">
        <f>2000601285</f>
        <v>2.000601285E9</v>
      </c>
      <c r="W170" s="32" t="n">
        <f>1997190000</f>
        <v>1.99719E9</v>
      </c>
      <c r="X170" s="36" t="n">
        <f>17</f>
        <v>17.0</v>
      </c>
    </row>
    <row r="171">
      <c r="A171" s="27" t="s">
        <v>42</v>
      </c>
      <c r="B171" s="27" t="s">
        <v>559</v>
      </c>
      <c r="C171" s="27" t="s">
        <v>560</v>
      </c>
      <c r="D171" s="27" t="s">
        <v>561</v>
      </c>
      <c r="E171" s="28" t="s">
        <v>46</v>
      </c>
      <c r="F171" s="29" t="s">
        <v>46</v>
      </c>
      <c r="G171" s="30" t="s">
        <v>46</v>
      </c>
      <c r="H171" s="31"/>
      <c r="I171" s="31" t="s">
        <v>47</v>
      </c>
      <c r="J171" s="32" t="n">
        <v>10.0</v>
      </c>
      <c r="K171" s="33" t="n">
        <f>489.6</f>
        <v>489.6</v>
      </c>
      <c r="L171" s="34" t="s">
        <v>48</v>
      </c>
      <c r="M171" s="33" t="n">
        <f>526.8</f>
        <v>526.8</v>
      </c>
      <c r="N171" s="34" t="s">
        <v>474</v>
      </c>
      <c r="O171" s="33" t="n">
        <f>489</f>
        <v>489.0</v>
      </c>
      <c r="P171" s="34" t="s">
        <v>48</v>
      </c>
      <c r="Q171" s="33" t="n">
        <f>518.8</f>
        <v>518.8</v>
      </c>
      <c r="R171" s="34" t="s">
        <v>49</v>
      </c>
      <c r="S171" s="35" t="n">
        <f>510.64</f>
        <v>510.64</v>
      </c>
      <c r="T171" s="32" t="n">
        <f>88240</f>
        <v>88240.0</v>
      </c>
      <c r="U171" s="32" t="str">
        <f>"－"</f>
        <v>－</v>
      </c>
      <c r="V171" s="32" t="n">
        <f>45505320</f>
        <v>4.550532E7</v>
      </c>
      <c r="W171" s="32" t="str">
        <f>"－"</f>
        <v>－</v>
      </c>
      <c r="X171" s="36" t="n">
        <f>21</f>
        <v>21.0</v>
      </c>
    </row>
    <row r="172">
      <c r="A172" s="27" t="s">
        <v>42</v>
      </c>
      <c r="B172" s="27" t="s">
        <v>562</v>
      </c>
      <c r="C172" s="27" t="s">
        <v>563</v>
      </c>
      <c r="D172" s="27" t="s">
        <v>564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10.0</v>
      </c>
      <c r="K172" s="33" t="n">
        <f>477.2</f>
        <v>477.2</v>
      </c>
      <c r="L172" s="34" t="s">
        <v>48</v>
      </c>
      <c r="M172" s="33" t="n">
        <f>498</f>
        <v>498.0</v>
      </c>
      <c r="N172" s="34" t="s">
        <v>79</v>
      </c>
      <c r="O172" s="33" t="n">
        <f>477.2</f>
        <v>477.2</v>
      </c>
      <c r="P172" s="34" t="s">
        <v>48</v>
      </c>
      <c r="Q172" s="33" t="n">
        <f>485</f>
        <v>485.0</v>
      </c>
      <c r="R172" s="34" t="s">
        <v>49</v>
      </c>
      <c r="S172" s="35" t="n">
        <f>486.07</f>
        <v>486.07</v>
      </c>
      <c r="T172" s="32" t="n">
        <f>3206510</f>
        <v>3206510.0</v>
      </c>
      <c r="U172" s="32" t="n">
        <f>3200010</f>
        <v>3200010.0</v>
      </c>
      <c r="V172" s="32" t="n">
        <f>1570065756</f>
        <v>1.570065756E9</v>
      </c>
      <c r="W172" s="32" t="n">
        <f>1566902579</f>
        <v>1.566902579E9</v>
      </c>
      <c r="X172" s="36" t="n">
        <f>20</f>
        <v>20.0</v>
      </c>
    </row>
    <row r="173">
      <c r="A173" s="27" t="s">
        <v>42</v>
      </c>
      <c r="B173" s="27" t="s">
        <v>565</v>
      </c>
      <c r="C173" s="27" t="s">
        <v>566</v>
      </c>
      <c r="D173" s="27" t="s">
        <v>567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1.0</v>
      </c>
      <c r="K173" s="33" t="n">
        <f>928</f>
        <v>928.0</v>
      </c>
      <c r="L173" s="34" t="s">
        <v>48</v>
      </c>
      <c r="M173" s="33" t="n">
        <f>1071</f>
        <v>1071.0</v>
      </c>
      <c r="N173" s="34" t="s">
        <v>87</v>
      </c>
      <c r="O173" s="33" t="n">
        <f>923</f>
        <v>923.0</v>
      </c>
      <c r="P173" s="34" t="s">
        <v>69</v>
      </c>
      <c r="Q173" s="33" t="n">
        <f>1006</f>
        <v>1006.0</v>
      </c>
      <c r="R173" s="34" t="s">
        <v>49</v>
      </c>
      <c r="S173" s="35" t="n">
        <f>985.68</f>
        <v>985.68</v>
      </c>
      <c r="T173" s="32" t="n">
        <f>941798</f>
        <v>941798.0</v>
      </c>
      <c r="U173" s="32" t="n">
        <f>422</f>
        <v>422.0</v>
      </c>
      <c r="V173" s="32" t="n">
        <f>944465428</f>
        <v>9.44465428E8</v>
      </c>
      <c r="W173" s="32" t="n">
        <f>428755</f>
        <v>428755.0</v>
      </c>
      <c r="X173" s="36" t="n">
        <f>22</f>
        <v>22.0</v>
      </c>
    </row>
    <row r="174">
      <c r="A174" s="27" t="s">
        <v>42</v>
      </c>
      <c r="B174" s="27" t="s">
        <v>568</v>
      </c>
      <c r="C174" s="27" t="s">
        <v>569</v>
      </c>
      <c r="D174" s="27" t="s">
        <v>570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1.0</v>
      </c>
      <c r="K174" s="33" t="n">
        <f>1978</f>
        <v>1978.0</v>
      </c>
      <c r="L174" s="34" t="s">
        <v>48</v>
      </c>
      <c r="M174" s="33" t="n">
        <f>2433</f>
        <v>2433.0</v>
      </c>
      <c r="N174" s="34" t="s">
        <v>49</v>
      </c>
      <c r="O174" s="33" t="n">
        <f>1945</f>
        <v>1945.0</v>
      </c>
      <c r="P174" s="34" t="s">
        <v>48</v>
      </c>
      <c r="Q174" s="33" t="n">
        <f>2433</f>
        <v>2433.0</v>
      </c>
      <c r="R174" s="34" t="s">
        <v>49</v>
      </c>
      <c r="S174" s="35" t="n">
        <f>2175.5</f>
        <v>2175.5</v>
      </c>
      <c r="T174" s="32" t="n">
        <f>14285880</f>
        <v>1.428588E7</v>
      </c>
      <c r="U174" s="32" t="n">
        <f>378928</f>
        <v>378928.0</v>
      </c>
      <c r="V174" s="32" t="n">
        <f>31417336182</f>
        <v>3.1417336182E10</v>
      </c>
      <c r="W174" s="32" t="n">
        <f>830614677</f>
        <v>8.30614677E8</v>
      </c>
      <c r="X174" s="36" t="n">
        <f>22</f>
        <v>22.0</v>
      </c>
    </row>
    <row r="175">
      <c r="A175" s="27" t="s">
        <v>42</v>
      </c>
      <c r="B175" s="27" t="s">
        <v>571</v>
      </c>
      <c r="C175" s="27" t="s">
        <v>572</v>
      </c>
      <c r="D175" s="27" t="s">
        <v>573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10.0</v>
      </c>
      <c r="K175" s="33" t="n">
        <f>690.6</f>
        <v>690.6</v>
      </c>
      <c r="L175" s="34" t="s">
        <v>48</v>
      </c>
      <c r="M175" s="33" t="n">
        <f>705</f>
        <v>705.0</v>
      </c>
      <c r="N175" s="34" t="s">
        <v>202</v>
      </c>
      <c r="O175" s="33" t="n">
        <f>661.3</f>
        <v>661.3</v>
      </c>
      <c r="P175" s="34" t="s">
        <v>156</v>
      </c>
      <c r="Q175" s="33" t="n">
        <f>689.1</f>
        <v>689.1</v>
      </c>
      <c r="R175" s="34" t="s">
        <v>49</v>
      </c>
      <c r="S175" s="35" t="n">
        <f>683.19</f>
        <v>683.19</v>
      </c>
      <c r="T175" s="32" t="n">
        <f>635110</f>
        <v>635110.0</v>
      </c>
      <c r="U175" s="32" t="n">
        <f>160</f>
        <v>160.0</v>
      </c>
      <c r="V175" s="32" t="n">
        <f>428630641</f>
        <v>4.28630641E8</v>
      </c>
      <c r="W175" s="32" t="n">
        <f>107492</f>
        <v>107492.0</v>
      </c>
      <c r="X175" s="36" t="n">
        <f>22</f>
        <v>22.0</v>
      </c>
    </row>
    <row r="176">
      <c r="A176" s="27" t="s">
        <v>42</v>
      </c>
      <c r="B176" s="27" t="s">
        <v>574</v>
      </c>
      <c r="C176" s="27" t="s">
        <v>575</v>
      </c>
      <c r="D176" s="27" t="s">
        <v>576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10.0</v>
      </c>
      <c r="K176" s="33" t="n">
        <f>218.5</f>
        <v>218.5</v>
      </c>
      <c r="L176" s="34" t="s">
        <v>48</v>
      </c>
      <c r="M176" s="33" t="n">
        <f>228</f>
        <v>228.0</v>
      </c>
      <c r="N176" s="34" t="s">
        <v>49</v>
      </c>
      <c r="O176" s="33" t="n">
        <f>216.7</f>
        <v>216.7</v>
      </c>
      <c r="P176" s="34" t="s">
        <v>50</v>
      </c>
      <c r="Q176" s="33" t="n">
        <f>228</f>
        <v>228.0</v>
      </c>
      <c r="R176" s="34" t="s">
        <v>49</v>
      </c>
      <c r="S176" s="35" t="n">
        <f>223.28</f>
        <v>223.28</v>
      </c>
      <c r="T176" s="32" t="n">
        <f>4733830</f>
        <v>4733830.0</v>
      </c>
      <c r="U176" s="32" t="n">
        <f>2700000</f>
        <v>2700000.0</v>
      </c>
      <c r="V176" s="32" t="n">
        <f>1063738220</f>
        <v>1.06373822E9</v>
      </c>
      <c r="W176" s="32" t="n">
        <f>605579000</f>
        <v>6.05579E8</v>
      </c>
      <c r="X176" s="36" t="n">
        <f>22</f>
        <v>22.0</v>
      </c>
    </row>
    <row r="177">
      <c r="A177" s="27" t="s">
        <v>42</v>
      </c>
      <c r="B177" s="27" t="s">
        <v>577</v>
      </c>
      <c r="C177" s="27" t="s">
        <v>578</v>
      </c>
      <c r="D177" s="27" t="s">
        <v>579</v>
      </c>
      <c r="E177" s="28" t="s">
        <v>46</v>
      </c>
      <c r="F177" s="29" t="s">
        <v>46</v>
      </c>
      <c r="G177" s="30" t="s">
        <v>46</v>
      </c>
      <c r="H177" s="31"/>
      <c r="I177" s="31" t="s">
        <v>47</v>
      </c>
      <c r="J177" s="32" t="n">
        <v>10.0</v>
      </c>
      <c r="K177" s="33" t="n">
        <f>244.4</f>
        <v>244.4</v>
      </c>
      <c r="L177" s="34" t="s">
        <v>48</v>
      </c>
      <c r="M177" s="33" t="n">
        <f>252.8</f>
        <v>252.8</v>
      </c>
      <c r="N177" s="34" t="s">
        <v>203</v>
      </c>
      <c r="O177" s="33" t="n">
        <f>242.1</f>
        <v>242.1</v>
      </c>
      <c r="P177" s="34" t="s">
        <v>69</v>
      </c>
      <c r="Q177" s="33" t="n">
        <f>248</f>
        <v>248.0</v>
      </c>
      <c r="R177" s="34" t="s">
        <v>49</v>
      </c>
      <c r="S177" s="35" t="n">
        <f>248.55</f>
        <v>248.55</v>
      </c>
      <c r="T177" s="32" t="n">
        <f>15622140</f>
        <v>1.562214E7</v>
      </c>
      <c r="U177" s="32" t="n">
        <f>2400210</f>
        <v>2400210.0</v>
      </c>
      <c r="V177" s="32" t="n">
        <f>3871419354</f>
        <v>3.871419354E9</v>
      </c>
      <c r="W177" s="32" t="n">
        <f>586673056</f>
        <v>5.86673056E8</v>
      </c>
      <c r="X177" s="36" t="n">
        <f>22</f>
        <v>22.0</v>
      </c>
    </row>
    <row r="178">
      <c r="A178" s="27" t="s">
        <v>42</v>
      </c>
      <c r="B178" s="27" t="s">
        <v>580</v>
      </c>
      <c r="C178" s="27" t="s">
        <v>581</v>
      </c>
      <c r="D178" s="27" t="s">
        <v>582</v>
      </c>
      <c r="E178" s="28" t="s">
        <v>46</v>
      </c>
      <c r="F178" s="29" t="s">
        <v>46</v>
      </c>
      <c r="G178" s="30" t="s">
        <v>46</v>
      </c>
      <c r="H178" s="31"/>
      <c r="I178" s="31" t="s">
        <v>47</v>
      </c>
      <c r="J178" s="32" t="n">
        <v>10.0</v>
      </c>
      <c r="K178" s="33" t="n">
        <f>257.9</f>
        <v>257.9</v>
      </c>
      <c r="L178" s="34" t="s">
        <v>48</v>
      </c>
      <c r="M178" s="33" t="n">
        <f>271.1</f>
        <v>271.1</v>
      </c>
      <c r="N178" s="34" t="s">
        <v>106</v>
      </c>
      <c r="O178" s="33" t="n">
        <f>255.6</f>
        <v>255.6</v>
      </c>
      <c r="P178" s="34" t="s">
        <v>48</v>
      </c>
      <c r="Q178" s="33" t="n">
        <f>269.2</f>
        <v>269.2</v>
      </c>
      <c r="R178" s="34" t="s">
        <v>49</v>
      </c>
      <c r="S178" s="35" t="n">
        <f>264.86</f>
        <v>264.86</v>
      </c>
      <c r="T178" s="32" t="n">
        <f>2199940</f>
        <v>2199940.0</v>
      </c>
      <c r="U178" s="32" t="n">
        <f>1340</f>
        <v>1340.0</v>
      </c>
      <c r="V178" s="32" t="n">
        <f>584068679</f>
        <v>5.84068679E8</v>
      </c>
      <c r="W178" s="32" t="n">
        <f>353765</f>
        <v>353765.0</v>
      </c>
      <c r="X178" s="36" t="n">
        <f>22</f>
        <v>22.0</v>
      </c>
    </row>
    <row r="179">
      <c r="A179" s="27" t="s">
        <v>42</v>
      </c>
      <c r="B179" s="27" t="s">
        <v>583</v>
      </c>
      <c r="C179" s="27" t="s">
        <v>584</v>
      </c>
      <c r="D179" s="27" t="s">
        <v>585</v>
      </c>
      <c r="E179" s="28" t="s">
        <v>46</v>
      </c>
      <c r="F179" s="29" t="s">
        <v>46</v>
      </c>
      <c r="G179" s="30" t="s">
        <v>46</v>
      </c>
      <c r="H179" s="31"/>
      <c r="I179" s="31" t="s">
        <v>47</v>
      </c>
      <c r="J179" s="32" t="n">
        <v>1.0</v>
      </c>
      <c r="K179" s="33" t="n">
        <f>2069</f>
        <v>2069.0</v>
      </c>
      <c r="L179" s="34" t="s">
        <v>48</v>
      </c>
      <c r="M179" s="33" t="n">
        <f>2200</f>
        <v>2200.0</v>
      </c>
      <c r="N179" s="34" t="s">
        <v>586</v>
      </c>
      <c r="O179" s="33" t="n">
        <f>2043</f>
        <v>2043.0</v>
      </c>
      <c r="P179" s="34" t="s">
        <v>48</v>
      </c>
      <c r="Q179" s="33" t="n">
        <f>2148</f>
        <v>2148.0</v>
      </c>
      <c r="R179" s="34" t="s">
        <v>49</v>
      </c>
      <c r="S179" s="35" t="n">
        <f>2126.14</f>
        <v>2126.14</v>
      </c>
      <c r="T179" s="32" t="n">
        <f>152976</f>
        <v>152976.0</v>
      </c>
      <c r="U179" s="32" t="n">
        <f>1</f>
        <v>1.0</v>
      </c>
      <c r="V179" s="32" t="n">
        <f>324570908</f>
        <v>3.24570908E8</v>
      </c>
      <c r="W179" s="32" t="n">
        <f>2200</f>
        <v>2200.0</v>
      </c>
      <c r="X179" s="36" t="n">
        <f>22</f>
        <v>22.0</v>
      </c>
    </row>
    <row r="180">
      <c r="A180" s="27" t="s">
        <v>42</v>
      </c>
      <c r="B180" s="27" t="s">
        <v>587</v>
      </c>
      <c r="C180" s="27" t="s">
        <v>588</v>
      </c>
      <c r="D180" s="27" t="s">
        <v>589</v>
      </c>
      <c r="E180" s="28" t="s">
        <v>46</v>
      </c>
      <c r="F180" s="29" t="s">
        <v>46</v>
      </c>
      <c r="G180" s="30" t="s">
        <v>46</v>
      </c>
      <c r="H180" s="31"/>
      <c r="I180" s="31" t="s">
        <v>47</v>
      </c>
      <c r="J180" s="32" t="n">
        <v>1.0</v>
      </c>
      <c r="K180" s="33" t="n">
        <f>1878</f>
        <v>1878.0</v>
      </c>
      <c r="L180" s="34" t="s">
        <v>48</v>
      </c>
      <c r="M180" s="33" t="n">
        <f>1904</f>
        <v>1904.0</v>
      </c>
      <c r="N180" s="34" t="s">
        <v>79</v>
      </c>
      <c r="O180" s="33" t="n">
        <f>1871</f>
        <v>1871.0</v>
      </c>
      <c r="P180" s="34" t="s">
        <v>156</v>
      </c>
      <c r="Q180" s="33" t="n">
        <f>1883</f>
        <v>1883.0</v>
      </c>
      <c r="R180" s="34" t="s">
        <v>49</v>
      </c>
      <c r="S180" s="35" t="n">
        <f>1887.23</f>
        <v>1887.23</v>
      </c>
      <c r="T180" s="32" t="n">
        <f>1244462</f>
        <v>1244462.0</v>
      </c>
      <c r="U180" s="32" t="n">
        <f>2</f>
        <v>2.0</v>
      </c>
      <c r="V180" s="32" t="n">
        <f>2349087651</f>
        <v>2.349087651E9</v>
      </c>
      <c r="W180" s="32" t="n">
        <f>3760</f>
        <v>3760.0</v>
      </c>
      <c r="X180" s="36" t="n">
        <f>22</f>
        <v>22.0</v>
      </c>
    </row>
    <row r="181">
      <c r="A181" s="27" t="s">
        <v>42</v>
      </c>
      <c r="B181" s="27" t="s">
        <v>590</v>
      </c>
      <c r="C181" s="27" t="s">
        <v>591</v>
      </c>
      <c r="D181" s="27" t="s">
        <v>592</v>
      </c>
      <c r="E181" s="28" t="s">
        <v>46</v>
      </c>
      <c r="F181" s="29" t="s">
        <v>46</v>
      </c>
      <c r="G181" s="30" t="s">
        <v>46</v>
      </c>
      <c r="H181" s="31"/>
      <c r="I181" s="31" t="s">
        <v>47</v>
      </c>
      <c r="J181" s="32" t="n">
        <v>1.0</v>
      </c>
      <c r="K181" s="33" t="n">
        <f>1207</f>
        <v>1207.0</v>
      </c>
      <c r="L181" s="34" t="s">
        <v>48</v>
      </c>
      <c r="M181" s="33" t="n">
        <f>1309</f>
        <v>1309.0</v>
      </c>
      <c r="N181" s="34" t="s">
        <v>49</v>
      </c>
      <c r="O181" s="33" t="n">
        <f>1193</f>
        <v>1193.0</v>
      </c>
      <c r="P181" s="34" t="s">
        <v>50</v>
      </c>
      <c r="Q181" s="33" t="n">
        <f>1291</f>
        <v>1291.0</v>
      </c>
      <c r="R181" s="34" t="s">
        <v>49</v>
      </c>
      <c r="S181" s="35" t="n">
        <f>1253.27</f>
        <v>1253.27</v>
      </c>
      <c r="T181" s="32" t="n">
        <f>1070069</f>
        <v>1070069.0</v>
      </c>
      <c r="U181" s="32" t="n">
        <f>306500</f>
        <v>306500.0</v>
      </c>
      <c r="V181" s="32" t="n">
        <f>1347200811</f>
        <v>1.347200811E9</v>
      </c>
      <c r="W181" s="32" t="n">
        <f>389540552</f>
        <v>3.89540552E8</v>
      </c>
      <c r="X181" s="36" t="n">
        <f>22</f>
        <v>22.0</v>
      </c>
    </row>
    <row r="182">
      <c r="A182" s="27" t="s">
        <v>42</v>
      </c>
      <c r="B182" s="27" t="s">
        <v>593</v>
      </c>
      <c r="C182" s="27" t="s">
        <v>594</v>
      </c>
      <c r="D182" s="27" t="s">
        <v>595</v>
      </c>
      <c r="E182" s="28" t="s">
        <v>46</v>
      </c>
      <c r="F182" s="29" t="s">
        <v>46</v>
      </c>
      <c r="G182" s="30" t="s">
        <v>46</v>
      </c>
      <c r="H182" s="31"/>
      <c r="I182" s="31" t="s">
        <v>47</v>
      </c>
      <c r="J182" s="32" t="n">
        <v>1.0</v>
      </c>
      <c r="K182" s="33" t="n">
        <f>1113</f>
        <v>1113.0</v>
      </c>
      <c r="L182" s="34" t="s">
        <v>48</v>
      </c>
      <c r="M182" s="33" t="n">
        <f>1167</f>
        <v>1167.0</v>
      </c>
      <c r="N182" s="34" t="s">
        <v>106</v>
      </c>
      <c r="O182" s="33" t="n">
        <f>1097</f>
        <v>1097.0</v>
      </c>
      <c r="P182" s="34" t="s">
        <v>69</v>
      </c>
      <c r="Q182" s="33" t="n">
        <f>1120</f>
        <v>1120.0</v>
      </c>
      <c r="R182" s="34" t="s">
        <v>49</v>
      </c>
      <c r="S182" s="35" t="n">
        <f>1127.82</f>
        <v>1127.82</v>
      </c>
      <c r="T182" s="32" t="n">
        <f>242549</f>
        <v>242549.0</v>
      </c>
      <c r="U182" s="32" t="str">
        <f>"－"</f>
        <v>－</v>
      </c>
      <c r="V182" s="32" t="n">
        <f>273390779</f>
        <v>2.73390779E8</v>
      </c>
      <c r="W182" s="32" t="str">
        <f>"－"</f>
        <v>－</v>
      </c>
      <c r="X182" s="36" t="n">
        <f>22</f>
        <v>22.0</v>
      </c>
    </row>
    <row r="183">
      <c r="A183" s="27" t="s">
        <v>42</v>
      </c>
      <c r="B183" s="27" t="s">
        <v>596</v>
      </c>
      <c r="C183" s="27" t="s">
        <v>597</v>
      </c>
      <c r="D183" s="27" t="s">
        <v>598</v>
      </c>
      <c r="E183" s="28" t="s">
        <v>46</v>
      </c>
      <c r="F183" s="29" t="s">
        <v>46</v>
      </c>
      <c r="G183" s="30" t="s">
        <v>46</v>
      </c>
      <c r="H183" s="31"/>
      <c r="I183" s="31" t="s">
        <v>47</v>
      </c>
      <c r="J183" s="32" t="n">
        <v>1.0</v>
      </c>
      <c r="K183" s="33" t="n">
        <f>1003</f>
        <v>1003.0</v>
      </c>
      <c r="L183" s="34" t="s">
        <v>48</v>
      </c>
      <c r="M183" s="33" t="n">
        <f>1030</f>
        <v>1030.0</v>
      </c>
      <c r="N183" s="34" t="s">
        <v>156</v>
      </c>
      <c r="O183" s="33" t="n">
        <f>979</f>
        <v>979.0</v>
      </c>
      <c r="P183" s="34" t="s">
        <v>48</v>
      </c>
      <c r="Q183" s="33" t="n">
        <f>1018</f>
        <v>1018.0</v>
      </c>
      <c r="R183" s="34" t="s">
        <v>49</v>
      </c>
      <c r="S183" s="35" t="n">
        <f>1011</f>
        <v>1011.0</v>
      </c>
      <c r="T183" s="32" t="n">
        <f>102059</f>
        <v>102059.0</v>
      </c>
      <c r="U183" s="32" t="n">
        <f>3</f>
        <v>3.0</v>
      </c>
      <c r="V183" s="32" t="n">
        <f>102942187</f>
        <v>1.02942187E8</v>
      </c>
      <c r="W183" s="32" t="n">
        <f>2997</f>
        <v>2997.0</v>
      </c>
      <c r="X183" s="36" t="n">
        <f>22</f>
        <v>22.0</v>
      </c>
    </row>
    <row r="184">
      <c r="A184" s="27" t="s">
        <v>42</v>
      </c>
      <c r="B184" s="27" t="s">
        <v>599</v>
      </c>
      <c r="C184" s="27" t="s">
        <v>600</v>
      </c>
      <c r="D184" s="27" t="s">
        <v>601</v>
      </c>
      <c r="E184" s="28" t="s">
        <v>46</v>
      </c>
      <c r="F184" s="29" t="s">
        <v>46</v>
      </c>
      <c r="G184" s="30" t="s">
        <v>46</v>
      </c>
      <c r="H184" s="31"/>
      <c r="I184" s="31" t="s">
        <v>47</v>
      </c>
      <c r="J184" s="32" t="n">
        <v>10.0</v>
      </c>
      <c r="K184" s="33" t="n">
        <f>186</f>
        <v>186.0</v>
      </c>
      <c r="L184" s="34" t="s">
        <v>48</v>
      </c>
      <c r="M184" s="33" t="n">
        <f>205.9</f>
        <v>205.9</v>
      </c>
      <c r="N184" s="34" t="s">
        <v>203</v>
      </c>
      <c r="O184" s="33" t="n">
        <f>184.6</f>
        <v>184.6</v>
      </c>
      <c r="P184" s="34" t="s">
        <v>48</v>
      </c>
      <c r="Q184" s="33" t="n">
        <f>201.9</f>
        <v>201.9</v>
      </c>
      <c r="R184" s="34" t="s">
        <v>49</v>
      </c>
      <c r="S184" s="35" t="n">
        <f>197.14</f>
        <v>197.14</v>
      </c>
      <c r="T184" s="32" t="n">
        <f>10601750</f>
        <v>1.060175E7</v>
      </c>
      <c r="U184" s="32" t="n">
        <f>1571120</f>
        <v>1571120.0</v>
      </c>
      <c r="V184" s="32" t="n">
        <f>2111646324</f>
        <v>2.111646324E9</v>
      </c>
      <c r="W184" s="32" t="n">
        <f>309644868</f>
        <v>3.09644868E8</v>
      </c>
      <c r="X184" s="36" t="n">
        <f>22</f>
        <v>22.0</v>
      </c>
    </row>
    <row r="185">
      <c r="A185" s="27" t="s">
        <v>42</v>
      </c>
      <c r="B185" s="27" t="s">
        <v>602</v>
      </c>
      <c r="C185" s="27" t="s">
        <v>603</v>
      </c>
      <c r="D185" s="27" t="s">
        <v>604</v>
      </c>
      <c r="E185" s="28" t="s">
        <v>46</v>
      </c>
      <c r="F185" s="29" t="s">
        <v>46</v>
      </c>
      <c r="G185" s="30" t="s">
        <v>46</v>
      </c>
      <c r="H185" s="31"/>
      <c r="I185" s="31" t="s">
        <v>416</v>
      </c>
      <c r="J185" s="32" t="n">
        <v>1.0</v>
      </c>
      <c r="K185" s="33" t="n">
        <f>8886</f>
        <v>8886.0</v>
      </c>
      <c r="L185" s="34" t="s">
        <v>48</v>
      </c>
      <c r="M185" s="33" t="n">
        <f>9199</f>
        <v>9199.0</v>
      </c>
      <c r="N185" s="34" t="s">
        <v>202</v>
      </c>
      <c r="O185" s="33" t="n">
        <f>7934</f>
        <v>7934.0</v>
      </c>
      <c r="P185" s="34" t="s">
        <v>61</v>
      </c>
      <c r="Q185" s="33" t="n">
        <f>8545</f>
        <v>8545.0</v>
      </c>
      <c r="R185" s="34" t="s">
        <v>49</v>
      </c>
      <c r="S185" s="35" t="n">
        <f>8645.09</f>
        <v>8645.09</v>
      </c>
      <c r="T185" s="32" t="n">
        <f>40260</f>
        <v>40260.0</v>
      </c>
      <c r="U185" s="32" t="str">
        <f>"－"</f>
        <v>－</v>
      </c>
      <c r="V185" s="32" t="n">
        <f>347973853</f>
        <v>3.47973853E8</v>
      </c>
      <c r="W185" s="32" t="str">
        <f>"－"</f>
        <v>－</v>
      </c>
      <c r="X185" s="36" t="n">
        <f>22</f>
        <v>22.0</v>
      </c>
    </row>
    <row r="186">
      <c r="A186" s="27" t="s">
        <v>42</v>
      </c>
      <c r="B186" s="27" t="s">
        <v>605</v>
      </c>
      <c r="C186" s="27" t="s">
        <v>606</v>
      </c>
      <c r="D186" s="27" t="s">
        <v>607</v>
      </c>
      <c r="E186" s="28" t="s">
        <v>46</v>
      </c>
      <c r="F186" s="29" t="s">
        <v>46</v>
      </c>
      <c r="G186" s="30" t="s">
        <v>46</v>
      </c>
      <c r="H186" s="31"/>
      <c r="I186" s="31" t="s">
        <v>416</v>
      </c>
      <c r="J186" s="32" t="n">
        <v>1.0</v>
      </c>
      <c r="K186" s="33" t="n">
        <f>5435</f>
        <v>5435.0</v>
      </c>
      <c r="L186" s="34" t="s">
        <v>48</v>
      </c>
      <c r="M186" s="33" t="n">
        <f>5999</f>
        <v>5999.0</v>
      </c>
      <c r="N186" s="34" t="s">
        <v>80</v>
      </c>
      <c r="O186" s="33" t="n">
        <f>5332</f>
        <v>5332.0</v>
      </c>
      <c r="P186" s="34" t="s">
        <v>69</v>
      </c>
      <c r="Q186" s="33" t="n">
        <f>5907</f>
        <v>5907.0</v>
      </c>
      <c r="R186" s="34" t="s">
        <v>49</v>
      </c>
      <c r="S186" s="35" t="n">
        <f>5752.64</f>
        <v>5752.64</v>
      </c>
      <c r="T186" s="32" t="n">
        <f>4078</f>
        <v>4078.0</v>
      </c>
      <c r="U186" s="32" t="str">
        <f>"－"</f>
        <v>－</v>
      </c>
      <c r="V186" s="32" t="n">
        <f>23499561</f>
        <v>2.3499561E7</v>
      </c>
      <c r="W186" s="32" t="str">
        <f>"－"</f>
        <v>－</v>
      </c>
      <c r="X186" s="36" t="n">
        <f>22</f>
        <v>22.0</v>
      </c>
    </row>
    <row r="187">
      <c r="A187" s="27" t="s">
        <v>42</v>
      </c>
      <c r="B187" s="27" t="s">
        <v>608</v>
      </c>
      <c r="C187" s="27" t="s">
        <v>609</v>
      </c>
      <c r="D187" s="27" t="s">
        <v>610</v>
      </c>
      <c r="E187" s="28" t="s">
        <v>46</v>
      </c>
      <c r="F187" s="29" t="s">
        <v>46</v>
      </c>
      <c r="G187" s="30" t="s">
        <v>46</v>
      </c>
      <c r="H187" s="31"/>
      <c r="I187" s="31" t="s">
        <v>416</v>
      </c>
      <c r="J187" s="32" t="n">
        <v>1.0</v>
      </c>
      <c r="K187" s="33" t="n">
        <f>19395</f>
        <v>19395.0</v>
      </c>
      <c r="L187" s="34" t="s">
        <v>48</v>
      </c>
      <c r="M187" s="33" t="n">
        <f>30500</f>
        <v>30500.0</v>
      </c>
      <c r="N187" s="34" t="s">
        <v>49</v>
      </c>
      <c r="O187" s="33" t="n">
        <f>19395</f>
        <v>19395.0</v>
      </c>
      <c r="P187" s="34" t="s">
        <v>48</v>
      </c>
      <c r="Q187" s="33" t="n">
        <f>30200</f>
        <v>30200.0</v>
      </c>
      <c r="R187" s="34" t="s">
        <v>49</v>
      </c>
      <c r="S187" s="35" t="n">
        <f>24265</f>
        <v>24265.0</v>
      </c>
      <c r="T187" s="32" t="n">
        <f>8900</f>
        <v>8900.0</v>
      </c>
      <c r="U187" s="32" t="str">
        <f>"－"</f>
        <v>－</v>
      </c>
      <c r="V187" s="32" t="n">
        <f>223771035</f>
        <v>2.23771035E8</v>
      </c>
      <c r="W187" s="32" t="str">
        <f>"－"</f>
        <v>－</v>
      </c>
      <c r="X187" s="36" t="n">
        <f>22</f>
        <v>22.0</v>
      </c>
    </row>
    <row r="188">
      <c r="A188" s="27" t="s">
        <v>42</v>
      </c>
      <c r="B188" s="27" t="s">
        <v>611</v>
      </c>
      <c r="C188" s="27" t="s">
        <v>612</v>
      </c>
      <c r="D188" s="27" t="s">
        <v>613</v>
      </c>
      <c r="E188" s="28" t="s">
        <v>46</v>
      </c>
      <c r="F188" s="29" t="s">
        <v>46</v>
      </c>
      <c r="G188" s="30" t="s">
        <v>46</v>
      </c>
      <c r="H188" s="31"/>
      <c r="I188" s="31" t="s">
        <v>416</v>
      </c>
      <c r="J188" s="32" t="n">
        <v>1.0</v>
      </c>
      <c r="K188" s="33" t="n">
        <f>5400</f>
        <v>5400.0</v>
      </c>
      <c r="L188" s="34" t="s">
        <v>48</v>
      </c>
      <c r="M188" s="33" t="n">
        <f>5400</f>
        <v>5400.0</v>
      </c>
      <c r="N188" s="34" t="s">
        <v>48</v>
      </c>
      <c r="O188" s="33" t="n">
        <f>4404</f>
        <v>4404.0</v>
      </c>
      <c r="P188" s="34" t="s">
        <v>79</v>
      </c>
      <c r="Q188" s="33" t="n">
        <f>4499</f>
        <v>4499.0</v>
      </c>
      <c r="R188" s="34" t="s">
        <v>49</v>
      </c>
      <c r="S188" s="35" t="n">
        <f>4910.23</f>
        <v>4910.23</v>
      </c>
      <c r="T188" s="32" t="n">
        <f>14628</f>
        <v>14628.0</v>
      </c>
      <c r="U188" s="32" t="str">
        <f>"－"</f>
        <v>－</v>
      </c>
      <c r="V188" s="32" t="n">
        <f>71719174</f>
        <v>7.1719174E7</v>
      </c>
      <c r="W188" s="32" t="str">
        <f>"－"</f>
        <v>－</v>
      </c>
      <c r="X188" s="36" t="n">
        <f>22</f>
        <v>22.0</v>
      </c>
    </row>
    <row r="189">
      <c r="A189" s="27" t="s">
        <v>42</v>
      </c>
      <c r="B189" s="27" t="s">
        <v>614</v>
      </c>
      <c r="C189" s="27" t="s">
        <v>615</v>
      </c>
      <c r="D189" s="27" t="s">
        <v>616</v>
      </c>
      <c r="E189" s="28" t="s">
        <v>46</v>
      </c>
      <c r="F189" s="29" t="s">
        <v>46</v>
      </c>
      <c r="G189" s="30" t="s">
        <v>46</v>
      </c>
      <c r="H189" s="31"/>
      <c r="I189" s="31" t="s">
        <v>416</v>
      </c>
      <c r="J189" s="32" t="n">
        <v>1.0</v>
      </c>
      <c r="K189" s="33" t="n">
        <f>142000</f>
        <v>142000.0</v>
      </c>
      <c r="L189" s="34" t="s">
        <v>48</v>
      </c>
      <c r="M189" s="33" t="n">
        <f>189500</f>
        <v>189500.0</v>
      </c>
      <c r="N189" s="34" t="s">
        <v>61</v>
      </c>
      <c r="O189" s="33" t="n">
        <f>137750</f>
        <v>137750.0</v>
      </c>
      <c r="P189" s="34" t="s">
        <v>50</v>
      </c>
      <c r="Q189" s="33" t="n">
        <f>154400</f>
        <v>154400.0</v>
      </c>
      <c r="R189" s="34" t="s">
        <v>49</v>
      </c>
      <c r="S189" s="35" t="n">
        <f>156436.36</f>
        <v>156436.36</v>
      </c>
      <c r="T189" s="32" t="n">
        <f>882852</f>
        <v>882852.0</v>
      </c>
      <c r="U189" s="32" t="n">
        <f>414</f>
        <v>414.0</v>
      </c>
      <c r="V189" s="32" t="n">
        <f>140811657825</f>
        <v>1.40811657825E11</v>
      </c>
      <c r="W189" s="32" t="n">
        <f>64859975</f>
        <v>6.4859975E7</v>
      </c>
      <c r="X189" s="36" t="n">
        <f>22</f>
        <v>22.0</v>
      </c>
    </row>
    <row r="190">
      <c r="A190" s="27" t="s">
        <v>42</v>
      </c>
      <c r="B190" s="27" t="s">
        <v>617</v>
      </c>
      <c r="C190" s="27" t="s">
        <v>618</v>
      </c>
      <c r="D190" s="27" t="s">
        <v>619</v>
      </c>
      <c r="E190" s="28" t="s">
        <v>46</v>
      </c>
      <c r="F190" s="29" t="s">
        <v>46</v>
      </c>
      <c r="G190" s="30" t="s">
        <v>46</v>
      </c>
      <c r="H190" s="31"/>
      <c r="I190" s="31" t="s">
        <v>416</v>
      </c>
      <c r="J190" s="32" t="n">
        <v>1.0</v>
      </c>
      <c r="K190" s="33" t="n">
        <f>1718</f>
        <v>1718.0</v>
      </c>
      <c r="L190" s="34" t="s">
        <v>48</v>
      </c>
      <c r="M190" s="33" t="n">
        <f>1784</f>
        <v>1784.0</v>
      </c>
      <c r="N190" s="34" t="s">
        <v>474</v>
      </c>
      <c r="O190" s="33" t="n">
        <f>1450</f>
        <v>1450.0</v>
      </c>
      <c r="P190" s="34" t="s">
        <v>61</v>
      </c>
      <c r="Q190" s="33" t="n">
        <f>1564</f>
        <v>1564.0</v>
      </c>
      <c r="R190" s="34" t="s">
        <v>49</v>
      </c>
      <c r="S190" s="35" t="n">
        <f>1602</f>
        <v>1602.0</v>
      </c>
      <c r="T190" s="32" t="n">
        <f>571814</f>
        <v>571814.0</v>
      </c>
      <c r="U190" s="32" t="str">
        <f>"－"</f>
        <v>－</v>
      </c>
      <c r="V190" s="32" t="n">
        <f>904508791</f>
        <v>9.04508791E8</v>
      </c>
      <c r="W190" s="32" t="str">
        <f>"－"</f>
        <v>－</v>
      </c>
      <c r="X190" s="36" t="n">
        <f>22</f>
        <v>22.0</v>
      </c>
    </row>
    <row r="191">
      <c r="A191" s="27" t="s">
        <v>42</v>
      </c>
      <c r="B191" s="27" t="s">
        <v>620</v>
      </c>
      <c r="C191" s="27" t="s">
        <v>621</v>
      </c>
      <c r="D191" s="27" t="s">
        <v>622</v>
      </c>
      <c r="E191" s="28" t="s">
        <v>46</v>
      </c>
      <c r="F191" s="29" t="s">
        <v>46</v>
      </c>
      <c r="G191" s="30" t="s">
        <v>46</v>
      </c>
      <c r="H191" s="31"/>
      <c r="I191" s="31" t="s">
        <v>416</v>
      </c>
      <c r="J191" s="32" t="n">
        <v>1.0</v>
      </c>
      <c r="K191" s="33" t="n">
        <f>1470</f>
        <v>1470.0</v>
      </c>
      <c r="L191" s="34" t="s">
        <v>48</v>
      </c>
      <c r="M191" s="33" t="n">
        <f>1529</f>
        <v>1529.0</v>
      </c>
      <c r="N191" s="34" t="s">
        <v>116</v>
      </c>
      <c r="O191" s="33" t="n">
        <f>1301</f>
        <v>1301.0</v>
      </c>
      <c r="P191" s="34" t="s">
        <v>61</v>
      </c>
      <c r="Q191" s="33" t="n">
        <f>1473</f>
        <v>1473.0</v>
      </c>
      <c r="R191" s="34" t="s">
        <v>49</v>
      </c>
      <c r="S191" s="35" t="n">
        <f>1434.91</f>
        <v>1434.91</v>
      </c>
      <c r="T191" s="32" t="n">
        <f>10302711</f>
        <v>1.0302711E7</v>
      </c>
      <c r="U191" s="32" t="n">
        <f>816</f>
        <v>816.0</v>
      </c>
      <c r="V191" s="32" t="n">
        <f>14595824665</f>
        <v>1.4595824665E10</v>
      </c>
      <c r="W191" s="32" t="n">
        <f>1156017</f>
        <v>1156017.0</v>
      </c>
      <c r="X191" s="36" t="n">
        <f>22</f>
        <v>22.0</v>
      </c>
    </row>
    <row r="192">
      <c r="A192" s="27" t="s">
        <v>42</v>
      </c>
      <c r="B192" s="27" t="s">
        <v>623</v>
      </c>
      <c r="C192" s="27" t="s">
        <v>624</v>
      </c>
      <c r="D192" s="27" t="s">
        <v>625</v>
      </c>
      <c r="E192" s="28" t="s">
        <v>46</v>
      </c>
      <c r="F192" s="29" t="s">
        <v>46</v>
      </c>
      <c r="G192" s="30" t="s">
        <v>46</v>
      </c>
      <c r="H192" s="31"/>
      <c r="I192" s="31" t="s">
        <v>416</v>
      </c>
      <c r="J192" s="32" t="n">
        <v>1.0</v>
      </c>
      <c r="K192" s="33" t="n">
        <f>905</f>
        <v>905.0</v>
      </c>
      <c r="L192" s="34" t="s">
        <v>48</v>
      </c>
      <c r="M192" s="33" t="n">
        <f>956</f>
        <v>956.0</v>
      </c>
      <c r="N192" s="34" t="s">
        <v>61</v>
      </c>
      <c r="O192" s="33" t="n">
        <f>887</f>
        <v>887.0</v>
      </c>
      <c r="P192" s="34" t="s">
        <v>116</v>
      </c>
      <c r="Q192" s="33" t="n">
        <f>896</f>
        <v>896.0</v>
      </c>
      <c r="R192" s="34" t="s">
        <v>49</v>
      </c>
      <c r="S192" s="35" t="n">
        <f>912.64</f>
        <v>912.64</v>
      </c>
      <c r="T192" s="32" t="n">
        <f>917300</f>
        <v>917300.0</v>
      </c>
      <c r="U192" s="32" t="str">
        <f>"－"</f>
        <v>－</v>
      </c>
      <c r="V192" s="32" t="n">
        <f>841013754</f>
        <v>8.41013754E8</v>
      </c>
      <c r="W192" s="32" t="str">
        <f>"－"</f>
        <v>－</v>
      </c>
      <c r="X192" s="36" t="n">
        <f>22</f>
        <v>22.0</v>
      </c>
    </row>
    <row r="193">
      <c r="A193" s="27" t="s">
        <v>42</v>
      </c>
      <c r="B193" s="27" t="s">
        <v>626</v>
      </c>
      <c r="C193" s="27" t="s">
        <v>627</v>
      </c>
      <c r="D193" s="27" t="s">
        <v>628</v>
      </c>
      <c r="E193" s="28" t="s">
        <v>46</v>
      </c>
      <c r="F193" s="29" t="s">
        <v>46</v>
      </c>
      <c r="G193" s="30" t="s">
        <v>46</v>
      </c>
      <c r="H193" s="31"/>
      <c r="I193" s="31" t="s">
        <v>416</v>
      </c>
      <c r="J193" s="32" t="n">
        <v>1.0</v>
      </c>
      <c r="K193" s="33" t="n">
        <f>32610</f>
        <v>32610.0</v>
      </c>
      <c r="L193" s="34" t="s">
        <v>48</v>
      </c>
      <c r="M193" s="33" t="n">
        <f>34460</f>
        <v>34460.0</v>
      </c>
      <c r="N193" s="34" t="s">
        <v>79</v>
      </c>
      <c r="O193" s="33" t="n">
        <f>31870</f>
        <v>31870.0</v>
      </c>
      <c r="P193" s="34" t="s">
        <v>61</v>
      </c>
      <c r="Q193" s="33" t="n">
        <f>34140</f>
        <v>34140.0</v>
      </c>
      <c r="R193" s="34" t="s">
        <v>49</v>
      </c>
      <c r="S193" s="35" t="n">
        <f>33166.82</f>
        <v>33166.82</v>
      </c>
      <c r="T193" s="32" t="n">
        <f>14621</f>
        <v>14621.0</v>
      </c>
      <c r="U193" s="32" t="str">
        <f>"－"</f>
        <v>－</v>
      </c>
      <c r="V193" s="32" t="n">
        <f>486946820</f>
        <v>4.8694682E8</v>
      </c>
      <c r="W193" s="32" t="str">
        <f>"－"</f>
        <v>－</v>
      </c>
      <c r="X193" s="36" t="n">
        <f>22</f>
        <v>22.0</v>
      </c>
    </row>
    <row r="194">
      <c r="A194" s="27" t="s">
        <v>42</v>
      </c>
      <c r="B194" s="27" t="s">
        <v>629</v>
      </c>
      <c r="C194" s="27" t="s">
        <v>630</v>
      </c>
      <c r="D194" s="27" t="s">
        <v>631</v>
      </c>
      <c r="E194" s="28" t="s">
        <v>46</v>
      </c>
      <c r="F194" s="29" t="s">
        <v>46</v>
      </c>
      <c r="G194" s="30" t="s">
        <v>46</v>
      </c>
      <c r="H194" s="31"/>
      <c r="I194" s="31" t="s">
        <v>416</v>
      </c>
      <c r="J194" s="32" t="n">
        <v>1.0</v>
      </c>
      <c r="K194" s="33" t="n">
        <f>2207</f>
        <v>2207.0</v>
      </c>
      <c r="L194" s="34" t="s">
        <v>48</v>
      </c>
      <c r="M194" s="33" t="n">
        <f>2233</f>
        <v>2233.0</v>
      </c>
      <c r="N194" s="34" t="s">
        <v>156</v>
      </c>
      <c r="O194" s="33" t="n">
        <f>2131</f>
        <v>2131.0</v>
      </c>
      <c r="P194" s="34" t="s">
        <v>79</v>
      </c>
      <c r="Q194" s="33" t="n">
        <f>2148</f>
        <v>2148.0</v>
      </c>
      <c r="R194" s="34" t="s">
        <v>49</v>
      </c>
      <c r="S194" s="35" t="n">
        <f>2183.68</f>
        <v>2183.68</v>
      </c>
      <c r="T194" s="32" t="n">
        <f>149538</f>
        <v>149538.0</v>
      </c>
      <c r="U194" s="32" t="str">
        <f>"－"</f>
        <v>－</v>
      </c>
      <c r="V194" s="32" t="n">
        <f>326455727</f>
        <v>3.26455727E8</v>
      </c>
      <c r="W194" s="32" t="str">
        <f>"－"</f>
        <v>－</v>
      </c>
      <c r="X194" s="36" t="n">
        <f>22</f>
        <v>22.0</v>
      </c>
    </row>
    <row r="195">
      <c r="A195" s="27" t="s">
        <v>42</v>
      </c>
      <c r="B195" s="27" t="s">
        <v>632</v>
      </c>
      <c r="C195" s="27" t="s">
        <v>633</v>
      </c>
      <c r="D195" s="27" t="s">
        <v>634</v>
      </c>
      <c r="E195" s="28" t="s">
        <v>46</v>
      </c>
      <c r="F195" s="29" t="s">
        <v>46</v>
      </c>
      <c r="G195" s="30" t="s">
        <v>46</v>
      </c>
      <c r="H195" s="31"/>
      <c r="I195" s="31" t="s">
        <v>416</v>
      </c>
      <c r="J195" s="32" t="n">
        <v>1.0</v>
      </c>
      <c r="K195" s="33" t="n">
        <f>8000</f>
        <v>8000.0</v>
      </c>
      <c r="L195" s="34" t="s">
        <v>48</v>
      </c>
      <c r="M195" s="33" t="n">
        <f>8000</f>
        <v>8000.0</v>
      </c>
      <c r="N195" s="34" t="s">
        <v>48</v>
      </c>
      <c r="O195" s="33" t="n">
        <f>7400</f>
        <v>7400.0</v>
      </c>
      <c r="P195" s="34" t="s">
        <v>79</v>
      </c>
      <c r="Q195" s="33" t="n">
        <f>7520</f>
        <v>7520.0</v>
      </c>
      <c r="R195" s="34" t="s">
        <v>49</v>
      </c>
      <c r="S195" s="35" t="n">
        <f>7704.36</f>
        <v>7704.36</v>
      </c>
      <c r="T195" s="32" t="n">
        <f>17864</f>
        <v>17864.0</v>
      </c>
      <c r="U195" s="32" t="str">
        <f>"－"</f>
        <v>－</v>
      </c>
      <c r="V195" s="32" t="n">
        <f>136623062</f>
        <v>1.36623062E8</v>
      </c>
      <c r="W195" s="32" t="str">
        <f>"－"</f>
        <v>－</v>
      </c>
      <c r="X195" s="36" t="n">
        <f>22</f>
        <v>22.0</v>
      </c>
    </row>
    <row r="196">
      <c r="A196" s="27" t="s">
        <v>42</v>
      </c>
      <c r="B196" s="27" t="s">
        <v>635</v>
      </c>
      <c r="C196" s="27" t="s">
        <v>636</v>
      </c>
      <c r="D196" s="27" t="s">
        <v>637</v>
      </c>
      <c r="E196" s="28" t="s">
        <v>46</v>
      </c>
      <c r="F196" s="29" t="s">
        <v>46</v>
      </c>
      <c r="G196" s="30" t="s">
        <v>46</v>
      </c>
      <c r="H196" s="31"/>
      <c r="I196" s="31" t="s">
        <v>416</v>
      </c>
      <c r="J196" s="32" t="n">
        <v>1.0</v>
      </c>
      <c r="K196" s="33" t="n">
        <f>22245</f>
        <v>22245.0</v>
      </c>
      <c r="L196" s="34" t="s">
        <v>48</v>
      </c>
      <c r="M196" s="33" t="n">
        <f>23610</f>
        <v>23610.0</v>
      </c>
      <c r="N196" s="34" t="s">
        <v>68</v>
      </c>
      <c r="O196" s="33" t="n">
        <f>21830</f>
        <v>21830.0</v>
      </c>
      <c r="P196" s="34" t="s">
        <v>243</v>
      </c>
      <c r="Q196" s="33" t="n">
        <f>23405</f>
        <v>23405.0</v>
      </c>
      <c r="R196" s="34" t="s">
        <v>49</v>
      </c>
      <c r="S196" s="35" t="n">
        <f>22793.25</f>
        <v>22793.25</v>
      </c>
      <c r="T196" s="32" t="n">
        <f>515</f>
        <v>515.0</v>
      </c>
      <c r="U196" s="32" t="str">
        <f>"－"</f>
        <v>－</v>
      </c>
      <c r="V196" s="32" t="n">
        <f>11813680</f>
        <v>1.181368E7</v>
      </c>
      <c r="W196" s="32" t="str">
        <f>"－"</f>
        <v>－</v>
      </c>
      <c r="X196" s="36" t="n">
        <f>20</f>
        <v>20.0</v>
      </c>
    </row>
    <row r="197">
      <c r="A197" s="27" t="s">
        <v>42</v>
      </c>
      <c r="B197" s="27" t="s">
        <v>638</v>
      </c>
      <c r="C197" s="27" t="s">
        <v>639</v>
      </c>
      <c r="D197" s="27" t="s">
        <v>640</v>
      </c>
      <c r="E197" s="28" t="s">
        <v>46</v>
      </c>
      <c r="F197" s="29" t="s">
        <v>46</v>
      </c>
      <c r="G197" s="30" t="s">
        <v>46</v>
      </c>
      <c r="H197" s="31"/>
      <c r="I197" s="31" t="s">
        <v>416</v>
      </c>
      <c r="J197" s="32" t="n">
        <v>1.0</v>
      </c>
      <c r="K197" s="33" t="n">
        <f>29445</f>
        <v>29445.0</v>
      </c>
      <c r="L197" s="34" t="s">
        <v>48</v>
      </c>
      <c r="M197" s="33" t="n">
        <f>30780</f>
        <v>30780.0</v>
      </c>
      <c r="N197" s="34" t="s">
        <v>116</v>
      </c>
      <c r="O197" s="33" t="n">
        <f>28965</f>
        <v>28965.0</v>
      </c>
      <c r="P197" s="34" t="s">
        <v>48</v>
      </c>
      <c r="Q197" s="33" t="n">
        <f>30140</f>
        <v>30140.0</v>
      </c>
      <c r="R197" s="34" t="s">
        <v>49</v>
      </c>
      <c r="S197" s="35" t="n">
        <f>29823.64</f>
        <v>29823.64</v>
      </c>
      <c r="T197" s="32" t="n">
        <f>24309</f>
        <v>24309.0</v>
      </c>
      <c r="U197" s="32" t="str">
        <f>"－"</f>
        <v>－</v>
      </c>
      <c r="V197" s="32" t="n">
        <f>729024140</f>
        <v>7.2902414E8</v>
      </c>
      <c r="W197" s="32" t="str">
        <f>"－"</f>
        <v>－</v>
      </c>
      <c r="X197" s="36" t="n">
        <f>22</f>
        <v>22.0</v>
      </c>
    </row>
    <row r="198">
      <c r="A198" s="27" t="s">
        <v>42</v>
      </c>
      <c r="B198" s="27" t="s">
        <v>641</v>
      </c>
      <c r="C198" s="27" t="s">
        <v>642</v>
      </c>
      <c r="D198" s="27" t="s">
        <v>643</v>
      </c>
      <c r="E198" s="28" t="s">
        <v>46</v>
      </c>
      <c r="F198" s="29" t="s">
        <v>46</v>
      </c>
      <c r="G198" s="30" t="s">
        <v>46</v>
      </c>
      <c r="H198" s="31"/>
      <c r="I198" s="31" t="s">
        <v>416</v>
      </c>
      <c r="J198" s="32" t="n">
        <v>1.0</v>
      </c>
      <c r="K198" s="33" t="n">
        <f>18815</f>
        <v>18815.0</v>
      </c>
      <c r="L198" s="34" t="s">
        <v>48</v>
      </c>
      <c r="M198" s="33" t="n">
        <f>20310</f>
        <v>20310.0</v>
      </c>
      <c r="N198" s="34" t="s">
        <v>106</v>
      </c>
      <c r="O198" s="33" t="n">
        <f>18440</f>
        <v>18440.0</v>
      </c>
      <c r="P198" s="34" t="s">
        <v>50</v>
      </c>
      <c r="Q198" s="33" t="n">
        <f>19790</f>
        <v>19790.0</v>
      </c>
      <c r="R198" s="34" t="s">
        <v>49</v>
      </c>
      <c r="S198" s="35" t="n">
        <f>19266.67</f>
        <v>19266.67</v>
      </c>
      <c r="T198" s="32" t="n">
        <f>294</f>
        <v>294.0</v>
      </c>
      <c r="U198" s="32" t="str">
        <f>"－"</f>
        <v>－</v>
      </c>
      <c r="V198" s="32" t="n">
        <f>5674180</f>
        <v>5674180.0</v>
      </c>
      <c r="W198" s="32" t="str">
        <f>"－"</f>
        <v>－</v>
      </c>
      <c r="X198" s="36" t="n">
        <f>15</f>
        <v>15.0</v>
      </c>
    </row>
    <row r="199">
      <c r="A199" s="27" t="s">
        <v>42</v>
      </c>
      <c r="B199" s="27" t="s">
        <v>644</v>
      </c>
      <c r="C199" s="27" t="s">
        <v>645</v>
      </c>
      <c r="D199" s="27" t="s">
        <v>646</v>
      </c>
      <c r="E199" s="28" t="s">
        <v>46</v>
      </c>
      <c r="F199" s="29" t="s">
        <v>46</v>
      </c>
      <c r="G199" s="30" t="s">
        <v>46</v>
      </c>
      <c r="H199" s="31"/>
      <c r="I199" s="31" t="s">
        <v>416</v>
      </c>
      <c r="J199" s="32" t="n">
        <v>1.0</v>
      </c>
      <c r="K199" s="33" t="n">
        <f>28150</f>
        <v>28150.0</v>
      </c>
      <c r="L199" s="34" t="s">
        <v>48</v>
      </c>
      <c r="M199" s="33" t="n">
        <f>33290</f>
        <v>33290.0</v>
      </c>
      <c r="N199" s="34" t="s">
        <v>233</v>
      </c>
      <c r="O199" s="33" t="n">
        <f>27840</f>
        <v>27840.0</v>
      </c>
      <c r="P199" s="34" t="s">
        <v>48</v>
      </c>
      <c r="Q199" s="33" t="n">
        <f>31810</f>
        <v>31810.0</v>
      </c>
      <c r="R199" s="34" t="s">
        <v>49</v>
      </c>
      <c r="S199" s="35" t="n">
        <f>30884.77</f>
        <v>30884.77</v>
      </c>
      <c r="T199" s="32" t="n">
        <f>84305</f>
        <v>84305.0</v>
      </c>
      <c r="U199" s="32" t="str">
        <f>"－"</f>
        <v>－</v>
      </c>
      <c r="V199" s="32" t="n">
        <f>2625583420</f>
        <v>2.62558342E9</v>
      </c>
      <c r="W199" s="32" t="str">
        <f>"－"</f>
        <v>－</v>
      </c>
      <c r="X199" s="36" t="n">
        <f>22</f>
        <v>22.0</v>
      </c>
    </row>
    <row r="200">
      <c r="A200" s="27" t="s">
        <v>42</v>
      </c>
      <c r="B200" s="27" t="s">
        <v>647</v>
      </c>
      <c r="C200" s="27" t="s">
        <v>648</v>
      </c>
      <c r="D200" s="27" t="s">
        <v>649</v>
      </c>
      <c r="E200" s="28" t="s">
        <v>46</v>
      </c>
      <c r="F200" s="29" t="s">
        <v>46</v>
      </c>
      <c r="G200" s="30" t="s">
        <v>46</v>
      </c>
      <c r="H200" s="31"/>
      <c r="I200" s="31" t="s">
        <v>416</v>
      </c>
      <c r="J200" s="32" t="n">
        <v>1.0</v>
      </c>
      <c r="K200" s="33" t="n">
        <f>3430</f>
        <v>3430.0</v>
      </c>
      <c r="L200" s="34" t="s">
        <v>48</v>
      </c>
      <c r="M200" s="33" t="n">
        <f>3430</f>
        <v>3430.0</v>
      </c>
      <c r="N200" s="34" t="s">
        <v>48</v>
      </c>
      <c r="O200" s="33" t="n">
        <f>3203</f>
        <v>3203.0</v>
      </c>
      <c r="P200" s="34" t="s">
        <v>87</v>
      </c>
      <c r="Q200" s="33" t="n">
        <f>3277</f>
        <v>3277.0</v>
      </c>
      <c r="R200" s="34" t="s">
        <v>49</v>
      </c>
      <c r="S200" s="35" t="n">
        <f>3303.95</f>
        <v>3303.95</v>
      </c>
      <c r="T200" s="32" t="n">
        <f>6847</f>
        <v>6847.0</v>
      </c>
      <c r="U200" s="32" t="str">
        <f>"－"</f>
        <v>－</v>
      </c>
      <c r="V200" s="32" t="n">
        <f>22451847</f>
        <v>2.2451847E7</v>
      </c>
      <c r="W200" s="32" t="str">
        <f>"－"</f>
        <v>－</v>
      </c>
      <c r="X200" s="36" t="n">
        <f>19</f>
        <v>19.0</v>
      </c>
    </row>
    <row r="201">
      <c r="A201" s="27" t="s">
        <v>42</v>
      </c>
      <c r="B201" s="27" t="s">
        <v>650</v>
      </c>
      <c r="C201" s="27" t="s">
        <v>651</v>
      </c>
      <c r="D201" s="27" t="s">
        <v>652</v>
      </c>
      <c r="E201" s="28" t="s">
        <v>46</v>
      </c>
      <c r="F201" s="29" t="s">
        <v>46</v>
      </c>
      <c r="G201" s="30" t="s">
        <v>46</v>
      </c>
      <c r="H201" s="31"/>
      <c r="I201" s="31" t="s">
        <v>416</v>
      </c>
      <c r="J201" s="32" t="n">
        <v>1.0</v>
      </c>
      <c r="K201" s="33" t="n">
        <f>36810</f>
        <v>36810.0</v>
      </c>
      <c r="L201" s="34" t="s">
        <v>69</v>
      </c>
      <c r="M201" s="33" t="n">
        <f>40160</f>
        <v>40160.0</v>
      </c>
      <c r="N201" s="34" t="s">
        <v>68</v>
      </c>
      <c r="O201" s="33" t="n">
        <f>36810</f>
        <v>36810.0</v>
      </c>
      <c r="P201" s="34" t="s">
        <v>69</v>
      </c>
      <c r="Q201" s="33" t="n">
        <f>37750</f>
        <v>37750.0</v>
      </c>
      <c r="R201" s="34" t="s">
        <v>49</v>
      </c>
      <c r="S201" s="35" t="n">
        <f>38155.33</f>
        <v>38155.33</v>
      </c>
      <c r="T201" s="32" t="n">
        <f>686</f>
        <v>686.0</v>
      </c>
      <c r="U201" s="32" t="str">
        <f>"－"</f>
        <v>－</v>
      </c>
      <c r="V201" s="32" t="n">
        <f>26228070</f>
        <v>2.622807E7</v>
      </c>
      <c r="W201" s="32" t="str">
        <f>"－"</f>
        <v>－</v>
      </c>
      <c r="X201" s="36" t="n">
        <f>15</f>
        <v>15.0</v>
      </c>
    </row>
    <row r="202">
      <c r="A202" s="27" t="s">
        <v>42</v>
      </c>
      <c r="B202" s="27" t="s">
        <v>653</v>
      </c>
      <c r="C202" s="27" t="s">
        <v>654</v>
      </c>
      <c r="D202" s="27" t="s">
        <v>655</v>
      </c>
      <c r="E202" s="28" t="s">
        <v>46</v>
      </c>
      <c r="F202" s="29" t="s">
        <v>46</v>
      </c>
      <c r="G202" s="30" t="s">
        <v>46</v>
      </c>
      <c r="H202" s="31"/>
      <c r="I202" s="31" t="s">
        <v>416</v>
      </c>
      <c r="J202" s="32" t="n">
        <v>1.0</v>
      </c>
      <c r="K202" s="33" t="n">
        <f>24210</f>
        <v>24210.0</v>
      </c>
      <c r="L202" s="34" t="s">
        <v>48</v>
      </c>
      <c r="M202" s="33" t="n">
        <f>26000</f>
        <v>26000.0</v>
      </c>
      <c r="N202" s="34" t="s">
        <v>68</v>
      </c>
      <c r="O202" s="33" t="n">
        <f>23865</f>
        <v>23865.0</v>
      </c>
      <c r="P202" s="34" t="s">
        <v>48</v>
      </c>
      <c r="Q202" s="33" t="n">
        <f>25345</f>
        <v>25345.0</v>
      </c>
      <c r="R202" s="34" t="s">
        <v>49</v>
      </c>
      <c r="S202" s="35" t="n">
        <f>24852.37</f>
        <v>24852.37</v>
      </c>
      <c r="T202" s="32" t="n">
        <f>1999</f>
        <v>1999.0</v>
      </c>
      <c r="U202" s="32" t="str">
        <f>"－"</f>
        <v>－</v>
      </c>
      <c r="V202" s="32" t="n">
        <f>48454290</f>
        <v>4.845429E7</v>
      </c>
      <c r="W202" s="32" t="str">
        <f>"－"</f>
        <v>－</v>
      </c>
      <c r="X202" s="36" t="n">
        <f>19</f>
        <v>19.0</v>
      </c>
    </row>
    <row r="203">
      <c r="A203" s="27" t="s">
        <v>42</v>
      </c>
      <c r="B203" s="27" t="s">
        <v>656</v>
      </c>
      <c r="C203" s="27" t="s">
        <v>657</v>
      </c>
      <c r="D203" s="27" t="s">
        <v>658</v>
      </c>
      <c r="E203" s="28" t="s">
        <v>46</v>
      </c>
      <c r="F203" s="29" t="s">
        <v>46</v>
      </c>
      <c r="G203" s="30" t="s">
        <v>46</v>
      </c>
      <c r="H203" s="31"/>
      <c r="I203" s="31" t="s">
        <v>416</v>
      </c>
      <c r="J203" s="32" t="n">
        <v>1.0</v>
      </c>
      <c r="K203" s="33" t="n">
        <f>50150</f>
        <v>50150.0</v>
      </c>
      <c r="L203" s="34" t="s">
        <v>48</v>
      </c>
      <c r="M203" s="33" t="n">
        <f>50150</f>
        <v>50150.0</v>
      </c>
      <c r="N203" s="34" t="s">
        <v>48</v>
      </c>
      <c r="O203" s="33" t="n">
        <f>40050</f>
        <v>40050.0</v>
      </c>
      <c r="P203" s="34" t="s">
        <v>48</v>
      </c>
      <c r="Q203" s="33" t="n">
        <f>43950</f>
        <v>43950.0</v>
      </c>
      <c r="R203" s="34" t="s">
        <v>49</v>
      </c>
      <c r="S203" s="35" t="n">
        <f>43373.08</f>
        <v>43373.08</v>
      </c>
      <c r="T203" s="32" t="n">
        <f>1170</f>
        <v>1170.0</v>
      </c>
      <c r="U203" s="32" t="str">
        <f>"－"</f>
        <v>－</v>
      </c>
      <c r="V203" s="32" t="n">
        <f>49853470</f>
        <v>4.985347E7</v>
      </c>
      <c r="W203" s="32" t="str">
        <f>"－"</f>
        <v>－</v>
      </c>
      <c r="X203" s="36" t="n">
        <f>13</f>
        <v>13.0</v>
      </c>
    </row>
    <row r="204">
      <c r="A204" s="27" t="s">
        <v>42</v>
      </c>
      <c r="B204" s="27" t="s">
        <v>659</v>
      </c>
      <c r="C204" s="27" t="s">
        <v>660</v>
      </c>
      <c r="D204" s="27" t="s">
        <v>661</v>
      </c>
      <c r="E204" s="28" t="s">
        <v>46</v>
      </c>
      <c r="F204" s="29" t="s">
        <v>46</v>
      </c>
      <c r="G204" s="30" t="s">
        <v>46</v>
      </c>
      <c r="H204" s="31"/>
      <c r="I204" s="31" t="s">
        <v>416</v>
      </c>
      <c r="J204" s="32" t="n">
        <v>1.0</v>
      </c>
      <c r="K204" s="33" t="n">
        <f>23275</f>
        <v>23275.0</v>
      </c>
      <c r="L204" s="34" t="s">
        <v>216</v>
      </c>
      <c r="M204" s="33" t="n">
        <f>24205</f>
        <v>24205.0</v>
      </c>
      <c r="N204" s="34" t="s">
        <v>68</v>
      </c>
      <c r="O204" s="33" t="n">
        <f>23275</f>
        <v>23275.0</v>
      </c>
      <c r="P204" s="34" t="s">
        <v>216</v>
      </c>
      <c r="Q204" s="33" t="n">
        <f>24205</f>
        <v>24205.0</v>
      </c>
      <c r="R204" s="34" t="s">
        <v>68</v>
      </c>
      <c r="S204" s="35" t="n">
        <f>23540</f>
        <v>23540.0</v>
      </c>
      <c r="T204" s="32" t="n">
        <f>2064</f>
        <v>2064.0</v>
      </c>
      <c r="U204" s="32" t="str">
        <f>"－"</f>
        <v>－</v>
      </c>
      <c r="V204" s="32" t="n">
        <f>48056655</f>
        <v>4.8056655E7</v>
      </c>
      <c r="W204" s="32" t="str">
        <f>"－"</f>
        <v>－</v>
      </c>
      <c r="X204" s="36" t="n">
        <f>6</f>
        <v>6.0</v>
      </c>
    </row>
    <row r="205">
      <c r="A205" s="27" t="s">
        <v>42</v>
      </c>
      <c r="B205" s="27" t="s">
        <v>662</v>
      </c>
      <c r="C205" s="27" t="s">
        <v>663</v>
      </c>
      <c r="D205" s="27" t="s">
        <v>664</v>
      </c>
      <c r="E205" s="28" t="s">
        <v>46</v>
      </c>
      <c r="F205" s="29" t="s">
        <v>46</v>
      </c>
      <c r="G205" s="30" t="s">
        <v>46</v>
      </c>
      <c r="H205" s="31"/>
      <c r="I205" s="31" t="s">
        <v>416</v>
      </c>
      <c r="J205" s="32" t="n">
        <v>1.0</v>
      </c>
      <c r="K205" s="33" t="n">
        <f>22995</f>
        <v>22995.0</v>
      </c>
      <c r="L205" s="34" t="s">
        <v>48</v>
      </c>
      <c r="M205" s="33" t="n">
        <f>25020</f>
        <v>25020.0</v>
      </c>
      <c r="N205" s="34" t="s">
        <v>106</v>
      </c>
      <c r="O205" s="33" t="n">
        <f>22610</f>
        <v>22610.0</v>
      </c>
      <c r="P205" s="34" t="s">
        <v>50</v>
      </c>
      <c r="Q205" s="33" t="n">
        <f>24600</f>
        <v>24600.0</v>
      </c>
      <c r="R205" s="34" t="s">
        <v>49</v>
      </c>
      <c r="S205" s="35" t="n">
        <f>23905.95</f>
        <v>23905.95</v>
      </c>
      <c r="T205" s="32" t="n">
        <f>3619</f>
        <v>3619.0</v>
      </c>
      <c r="U205" s="32" t="str">
        <f>"－"</f>
        <v>－</v>
      </c>
      <c r="V205" s="32" t="n">
        <f>87358940</f>
        <v>8.735894E7</v>
      </c>
      <c r="W205" s="32" t="str">
        <f>"－"</f>
        <v>－</v>
      </c>
      <c r="X205" s="36" t="n">
        <f>21</f>
        <v>21.0</v>
      </c>
    </row>
    <row r="206">
      <c r="A206" s="27" t="s">
        <v>42</v>
      </c>
      <c r="B206" s="27" t="s">
        <v>665</v>
      </c>
      <c r="C206" s="27" t="s">
        <v>666</v>
      </c>
      <c r="D206" s="27" t="s">
        <v>667</v>
      </c>
      <c r="E206" s="28" t="s">
        <v>46</v>
      </c>
      <c r="F206" s="29" t="s">
        <v>46</v>
      </c>
      <c r="G206" s="30" t="s">
        <v>46</v>
      </c>
      <c r="H206" s="31"/>
      <c r="I206" s="31" t="s">
        <v>416</v>
      </c>
      <c r="J206" s="32" t="n">
        <v>1.0</v>
      </c>
      <c r="K206" s="33" t="n">
        <f>30300</f>
        <v>30300.0</v>
      </c>
      <c r="L206" s="34" t="s">
        <v>202</v>
      </c>
      <c r="M206" s="33" t="n">
        <f>31860</f>
        <v>31860.0</v>
      </c>
      <c r="N206" s="34" t="s">
        <v>116</v>
      </c>
      <c r="O206" s="33" t="n">
        <f>29850</f>
        <v>29850.0</v>
      </c>
      <c r="P206" s="34" t="s">
        <v>80</v>
      </c>
      <c r="Q206" s="33" t="n">
        <f>30730</f>
        <v>30730.0</v>
      </c>
      <c r="R206" s="34" t="s">
        <v>80</v>
      </c>
      <c r="S206" s="35" t="n">
        <f>30756.67</f>
        <v>30756.67</v>
      </c>
      <c r="T206" s="32" t="n">
        <f>71</f>
        <v>71.0</v>
      </c>
      <c r="U206" s="32" t="str">
        <f>"－"</f>
        <v>－</v>
      </c>
      <c r="V206" s="32" t="n">
        <f>2175130</f>
        <v>2175130.0</v>
      </c>
      <c r="W206" s="32" t="str">
        <f>"－"</f>
        <v>－</v>
      </c>
      <c r="X206" s="36" t="n">
        <f>3</f>
        <v>3.0</v>
      </c>
    </row>
    <row r="207">
      <c r="A207" s="27" t="s">
        <v>42</v>
      </c>
      <c r="B207" s="27" t="s">
        <v>668</v>
      </c>
      <c r="C207" s="27" t="s">
        <v>669</v>
      </c>
      <c r="D207" s="27" t="s">
        <v>670</v>
      </c>
      <c r="E207" s="28" t="s">
        <v>46</v>
      </c>
      <c r="F207" s="29" t="s">
        <v>46</v>
      </c>
      <c r="G207" s="30" t="s">
        <v>46</v>
      </c>
      <c r="H207" s="31"/>
      <c r="I207" s="31" t="s">
        <v>416</v>
      </c>
      <c r="J207" s="32" t="n">
        <v>1.0</v>
      </c>
      <c r="K207" s="33" t="str">
        <f>"－"</f>
        <v>－</v>
      </c>
      <c r="L207" s="34"/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5" t="str">
        <f>"－"</f>
        <v>－</v>
      </c>
      <c r="T207" s="32" t="str">
        <f>"－"</f>
        <v>－</v>
      </c>
      <c r="U207" s="32" t="str">
        <f>"－"</f>
        <v>－</v>
      </c>
      <c r="V207" s="32" t="str">
        <f>"－"</f>
        <v>－</v>
      </c>
      <c r="W207" s="32" t="str">
        <f>"－"</f>
        <v>－</v>
      </c>
      <c r="X207" s="36" t="str">
        <f>"－"</f>
        <v>－</v>
      </c>
    </row>
    <row r="208">
      <c r="A208" s="27" t="s">
        <v>42</v>
      </c>
      <c r="B208" s="27" t="s">
        <v>671</v>
      </c>
      <c r="C208" s="27" t="s">
        <v>672</v>
      </c>
      <c r="D208" s="27" t="s">
        <v>673</v>
      </c>
      <c r="E208" s="28" t="s">
        <v>46</v>
      </c>
      <c r="F208" s="29" t="s">
        <v>46</v>
      </c>
      <c r="G208" s="30" t="s">
        <v>46</v>
      </c>
      <c r="H208" s="31"/>
      <c r="I208" s="31" t="s">
        <v>416</v>
      </c>
      <c r="J208" s="32" t="n">
        <v>1.0</v>
      </c>
      <c r="K208" s="33" t="n">
        <f>13370</f>
        <v>13370.0</v>
      </c>
      <c r="L208" s="34" t="s">
        <v>69</v>
      </c>
      <c r="M208" s="33" t="n">
        <f>14265</f>
        <v>14265.0</v>
      </c>
      <c r="N208" s="34" t="s">
        <v>49</v>
      </c>
      <c r="O208" s="33" t="n">
        <f>13310</f>
        <v>13310.0</v>
      </c>
      <c r="P208" s="34" t="s">
        <v>156</v>
      </c>
      <c r="Q208" s="33" t="n">
        <f>14165</f>
        <v>14165.0</v>
      </c>
      <c r="R208" s="34" t="s">
        <v>49</v>
      </c>
      <c r="S208" s="35" t="n">
        <f>13803.21</f>
        <v>13803.21</v>
      </c>
      <c r="T208" s="32" t="n">
        <f>2855</f>
        <v>2855.0</v>
      </c>
      <c r="U208" s="32" t="str">
        <f>"－"</f>
        <v>－</v>
      </c>
      <c r="V208" s="32" t="n">
        <f>39296095</f>
        <v>3.9296095E7</v>
      </c>
      <c r="W208" s="32" t="str">
        <f>"－"</f>
        <v>－</v>
      </c>
      <c r="X208" s="36" t="n">
        <f>14</f>
        <v>14.0</v>
      </c>
    </row>
    <row r="209">
      <c r="A209" s="27" t="s">
        <v>42</v>
      </c>
      <c r="B209" s="27" t="s">
        <v>674</v>
      </c>
      <c r="C209" s="27" t="s">
        <v>675</v>
      </c>
      <c r="D209" s="27" t="s">
        <v>676</v>
      </c>
      <c r="E209" s="28" t="s">
        <v>46</v>
      </c>
      <c r="F209" s="29" t="s">
        <v>46</v>
      </c>
      <c r="G209" s="30" t="s">
        <v>46</v>
      </c>
      <c r="H209" s="31"/>
      <c r="I209" s="31" t="s">
        <v>416</v>
      </c>
      <c r="J209" s="32" t="n">
        <v>1.0</v>
      </c>
      <c r="K209" s="33" t="n">
        <f>16950</f>
        <v>16950.0</v>
      </c>
      <c r="L209" s="34" t="s">
        <v>48</v>
      </c>
      <c r="M209" s="33" t="n">
        <f>18620</f>
        <v>18620.0</v>
      </c>
      <c r="N209" s="34" t="s">
        <v>49</v>
      </c>
      <c r="O209" s="33" t="n">
        <f>16950</f>
        <v>16950.0</v>
      </c>
      <c r="P209" s="34" t="s">
        <v>48</v>
      </c>
      <c r="Q209" s="33" t="n">
        <f>18615</f>
        <v>18615.0</v>
      </c>
      <c r="R209" s="34" t="s">
        <v>49</v>
      </c>
      <c r="S209" s="35" t="n">
        <f>17886.75</f>
        <v>17886.75</v>
      </c>
      <c r="T209" s="32" t="n">
        <f>10757</f>
        <v>10757.0</v>
      </c>
      <c r="U209" s="32" t="str">
        <f>"－"</f>
        <v>－</v>
      </c>
      <c r="V209" s="32" t="n">
        <f>193808160</f>
        <v>1.9380816E8</v>
      </c>
      <c r="W209" s="32" t="str">
        <f>"－"</f>
        <v>－</v>
      </c>
      <c r="X209" s="36" t="n">
        <f>20</f>
        <v>20.0</v>
      </c>
    </row>
    <row r="210">
      <c r="A210" s="27" t="s">
        <v>42</v>
      </c>
      <c r="B210" s="27" t="s">
        <v>677</v>
      </c>
      <c r="C210" s="27" t="s">
        <v>678</v>
      </c>
      <c r="D210" s="27" t="s">
        <v>679</v>
      </c>
      <c r="E210" s="28" t="s">
        <v>46</v>
      </c>
      <c r="F210" s="29" t="s">
        <v>46</v>
      </c>
      <c r="G210" s="30" t="s">
        <v>46</v>
      </c>
      <c r="H210" s="31"/>
      <c r="I210" s="31" t="s">
        <v>416</v>
      </c>
      <c r="J210" s="32" t="n">
        <v>1.0</v>
      </c>
      <c r="K210" s="33" t="n">
        <f>14600</f>
        <v>14600.0</v>
      </c>
      <c r="L210" s="34" t="s">
        <v>69</v>
      </c>
      <c r="M210" s="33" t="n">
        <f>16010</f>
        <v>16010.0</v>
      </c>
      <c r="N210" s="34" t="s">
        <v>49</v>
      </c>
      <c r="O210" s="33" t="n">
        <f>14550</f>
        <v>14550.0</v>
      </c>
      <c r="P210" s="34" t="s">
        <v>156</v>
      </c>
      <c r="Q210" s="33" t="n">
        <f>16010</f>
        <v>16010.0</v>
      </c>
      <c r="R210" s="34" t="s">
        <v>49</v>
      </c>
      <c r="S210" s="35" t="n">
        <f>15269.23</f>
        <v>15269.23</v>
      </c>
      <c r="T210" s="32" t="n">
        <f>9419</f>
        <v>9419.0</v>
      </c>
      <c r="U210" s="32" t="str">
        <f>"－"</f>
        <v>－</v>
      </c>
      <c r="V210" s="32" t="n">
        <f>145300025</f>
        <v>1.45300025E8</v>
      </c>
      <c r="W210" s="32" t="str">
        <f>"－"</f>
        <v>－</v>
      </c>
      <c r="X210" s="36" t="n">
        <f>13</f>
        <v>13.0</v>
      </c>
    </row>
    <row r="211">
      <c r="A211" s="27" t="s">
        <v>42</v>
      </c>
      <c r="B211" s="27" t="s">
        <v>680</v>
      </c>
      <c r="C211" s="27" t="s">
        <v>681</v>
      </c>
      <c r="D211" s="27" t="s">
        <v>682</v>
      </c>
      <c r="E211" s="28" t="s">
        <v>46</v>
      </c>
      <c r="F211" s="29" t="s">
        <v>46</v>
      </c>
      <c r="G211" s="30" t="s">
        <v>46</v>
      </c>
      <c r="H211" s="31"/>
      <c r="I211" s="31" t="s">
        <v>416</v>
      </c>
      <c r="J211" s="32" t="n">
        <v>1.0</v>
      </c>
      <c r="K211" s="33" t="n">
        <f>15695</f>
        <v>15695.0</v>
      </c>
      <c r="L211" s="34" t="s">
        <v>233</v>
      </c>
      <c r="M211" s="33" t="n">
        <f>15935</f>
        <v>15935.0</v>
      </c>
      <c r="N211" s="34" t="s">
        <v>106</v>
      </c>
      <c r="O211" s="33" t="n">
        <f>15575</f>
        <v>15575.0</v>
      </c>
      <c r="P211" s="34" t="s">
        <v>68</v>
      </c>
      <c r="Q211" s="33" t="n">
        <f>15655</f>
        <v>15655.0</v>
      </c>
      <c r="R211" s="34" t="s">
        <v>49</v>
      </c>
      <c r="S211" s="35" t="n">
        <f>15715</f>
        <v>15715.0</v>
      </c>
      <c r="T211" s="32" t="n">
        <f>24</f>
        <v>24.0</v>
      </c>
      <c r="U211" s="32" t="str">
        <f>"－"</f>
        <v>－</v>
      </c>
      <c r="V211" s="32" t="n">
        <f>375880</f>
        <v>375880.0</v>
      </c>
      <c r="W211" s="32" t="str">
        <f>"－"</f>
        <v>－</v>
      </c>
      <c r="X211" s="36" t="n">
        <f>4</f>
        <v>4.0</v>
      </c>
    </row>
    <row r="212">
      <c r="A212" s="27" t="s">
        <v>42</v>
      </c>
      <c r="B212" s="27" t="s">
        <v>683</v>
      </c>
      <c r="C212" s="27" t="s">
        <v>684</v>
      </c>
      <c r="D212" s="27" t="s">
        <v>685</v>
      </c>
      <c r="E212" s="28" t="s">
        <v>46</v>
      </c>
      <c r="F212" s="29" t="s">
        <v>46</v>
      </c>
      <c r="G212" s="30" t="s">
        <v>46</v>
      </c>
      <c r="H212" s="31"/>
      <c r="I212" s="31" t="s">
        <v>47</v>
      </c>
      <c r="J212" s="32" t="n">
        <v>1.0</v>
      </c>
      <c r="K212" s="33" t="n">
        <f>1407</f>
        <v>1407.0</v>
      </c>
      <c r="L212" s="34" t="s">
        <v>48</v>
      </c>
      <c r="M212" s="33" t="n">
        <f>1442</f>
        <v>1442.0</v>
      </c>
      <c r="N212" s="34" t="s">
        <v>106</v>
      </c>
      <c r="O212" s="33" t="n">
        <f>1355</f>
        <v>1355.0</v>
      </c>
      <c r="P212" s="34" t="s">
        <v>156</v>
      </c>
      <c r="Q212" s="33" t="n">
        <f>1427</f>
        <v>1427.0</v>
      </c>
      <c r="R212" s="34" t="s">
        <v>49</v>
      </c>
      <c r="S212" s="35" t="n">
        <f>1408.05</f>
        <v>1408.05</v>
      </c>
      <c r="T212" s="32" t="n">
        <f>476850</f>
        <v>476850.0</v>
      </c>
      <c r="U212" s="32" t="n">
        <f>8050</f>
        <v>8050.0</v>
      </c>
      <c r="V212" s="32" t="n">
        <f>670921087</f>
        <v>6.70921087E8</v>
      </c>
      <c r="W212" s="32" t="n">
        <f>11475833</f>
        <v>1.1475833E7</v>
      </c>
      <c r="X212" s="36" t="n">
        <f>22</f>
        <v>22.0</v>
      </c>
    </row>
    <row r="213">
      <c r="A213" s="27" t="s">
        <v>42</v>
      </c>
      <c r="B213" s="27" t="s">
        <v>686</v>
      </c>
      <c r="C213" s="27" t="s">
        <v>687</v>
      </c>
      <c r="D213" s="27" t="s">
        <v>688</v>
      </c>
      <c r="E213" s="28" t="s">
        <v>46</v>
      </c>
      <c r="F213" s="29" t="s">
        <v>46</v>
      </c>
      <c r="G213" s="30" t="s">
        <v>46</v>
      </c>
      <c r="H213" s="31"/>
      <c r="I213" s="31" t="s">
        <v>47</v>
      </c>
      <c r="J213" s="32" t="n">
        <v>1.0</v>
      </c>
      <c r="K213" s="33" t="n">
        <f>1524</f>
        <v>1524.0</v>
      </c>
      <c r="L213" s="34" t="s">
        <v>48</v>
      </c>
      <c r="M213" s="33" t="n">
        <f>1600</f>
        <v>1600.0</v>
      </c>
      <c r="N213" s="34" t="s">
        <v>60</v>
      </c>
      <c r="O213" s="33" t="n">
        <f>1460</f>
        <v>1460.0</v>
      </c>
      <c r="P213" s="34" t="s">
        <v>156</v>
      </c>
      <c r="Q213" s="33" t="n">
        <f>1582</f>
        <v>1582.0</v>
      </c>
      <c r="R213" s="34" t="s">
        <v>49</v>
      </c>
      <c r="S213" s="35" t="n">
        <f>1545.55</f>
        <v>1545.55</v>
      </c>
      <c r="T213" s="32" t="n">
        <f>33907</f>
        <v>33907.0</v>
      </c>
      <c r="U213" s="32" t="str">
        <f>"－"</f>
        <v>－</v>
      </c>
      <c r="V213" s="32" t="n">
        <f>52428807</f>
        <v>5.2428807E7</v>
      </c>
      <c r="W213" s="32" t="str">
        <f>"－"</f>
        <v>－</v>
      </c>
      <c r="X213" s="36" t="n">
        <f>22</f>
        <v>22.0</v>
      </c>
    </row>
    <row r="214">
      <c r="A214" s="27" t="s">
        <v>42</v>
      </c>
      <c r="B214" s="27" t="s">
        <v>689</v>
      </c>
      <c r="C214" s="27" t="s">
        <v>690</v>
      </c>
      <c r="D214" s="27" t="s">
        <v>691</v>
      </c>
      <c r="E214" s="28" t="s">
        <v>46</v>
      </c>
      <c r="F214" s="29" t="s">
        <v>46</v>
      </c>
      <c r="G214" s="30" t="s">
        <v>46</v>
      </c>
      <c r="H214" s="31"/>
      <c r="I214" s="31" t="s">
        <v>47</v>
      </c>
      <c r="J214" s="32" t="n">
        <v>1.0</v>
      </c>
      <c r="K214" s="33" t="n">
        <f>1189</f>
        <v>1189.0</v>
      </c>
      <c r="L214" s="34" t="s">
        <v>48</v>
      </c>
      <c r="M214" s="33" t="n">
        <f>1230</f>
        <v>1230.0</v>
      </c>
      <c r="N214" s="34" t="s">
        <v>68</v>
      </c>
      <c r="O214" s="33" t="n">
        <f>1155</f>
        <v>1155.0</v>
      </c>
      <c r="P214" s="34" t="s">
        <v>49</v>
      </c>
      <c r="Q214" s="33" t="n">
        <f>1183</f>
        <v>1183.0</v>
      </c>
      <c r="R214" s="34" t="s">
        <v>49</v>
      </c>
      <c r="S214" s="35" t="n">
        <f>1189</f>
        <v>1189.0</v>
      </c>
      <c r="T214" s="32" t="n">
        <f>6225</f>
        <v>6225.0</v>
      </c>
      <c r="U214" s="32" t="str">
        <f>"－"</f>
        <v>－</v>
      </c>
      <c r="V214" s="32" t="n">
        <f>7442192</f>
        <v>7442192.0</v>
      </c>
      <c r="W214" s="32" t="str">
        <f>"－"</f>
        <v>－</v>
      </c>
      <c r="X214" s="36" t="n">
        <f>22</f>
        <v>22.0</v>
      </c>
    </row>
    <row r="215">
      <c r="A215" s="27" t="s">
        <v>42</v>
      </c>
      <c r="B215" s="27" t="s">
        <v>692</v>
      </c>
      <c r="C215" s="27" t="s">
        <v>693</v>
      </c>
      <c r="D215" s="27" t="s">
        <v>694</v>
      </c>
      <c r="E215" s="28" t="s">
        <v>46</v>
      </c>
      <c r="F215" s="29" t="s">
        <v>46</v>
      </c>
      <c r="G215" s="30" t="s">
        <v>46</v>
      </c>
      <c r="H215" s="31"/>
      <c r="I215" s="31" t="s">
        <v>47</v>
      </c>
      <c r="J215" s="32" t="n">
        <v>1.0</v>
      </c>
      <c r="K215" s="33" t="n">
        <f>2540</f>
        <v>2540.0</v>
      </c>
      <c r="L215" s="34" t="s">
        <v>48</v>
      </c>
      <c r="M215" s="33" t="n">
        <f>2729</f>
        <v>2729.0</v>
      </c>
      <c r="N215" s="34" t="s">
        <v>49</v>
      </c>
      <c r="O215" s="33" t="n">
        <f>2501</f>
        <v>2501.0</v>
      </c>
      <c r="P215" s="34" t="s">
        <v>50</v>
      </c>
      <c r="Q215" s="33" t="n">
        <f>2729</f>
        <v>2729.0</v>
      </c>
      <c r="R215" s="34" t="s">
        <v>49</v>
      </c>
      <c r="S215" s="35" t="n">
        <f>2618.27</f>
        <v>2618.27</v>
      </c>
      <c r="T215" s="32" t="n">
        <f>107768</f>
        <v>107768.0</v>
      </c>
      <c r="U215" s="32" t="n">
        <f>5</f>
        <v>5.0</v>
      </c>
      <c r="V215" s="32" t="n">
        <f>283149759</f>
        <v>2.83149759E8</v>
      </c>
      <c r="W215" s="32" t="n">
        <f>13119</f>
        <v>13119.0</v>
      </c>
      <c r="X215" s="36" t="n">
        <f>22</f>
        <v>22.0</v>
      </c>
    </row>
    <row r="216">
      <c r="A216" s="27" t="s">
        <v>42</v>
      </c>
      <c r="B216" s="27" t="s">
        <v>695</v>
      </c>
      <c r="C216" s="27" t="s">
        <v>696</v>
      </c>
      <c r="D216" s="27" t="s">
        <v>697</v>
      </c>
      <c r="E216" s="28" t="s">
        <v>46</v>
      </c>
      <c r="F216" s="29" t="s">
        <v>46</v>
      </c>
      <c r="G216" s="30" t="s">
        <v>46</v>
      </c>
      <c r="H216" s="31"/>
      <c r="I216" s="31" t="s">
        <v>47</v>
      </c>
      <c r="J216" s="32" t="n">
        <v>1.0</v>
      </c>
      <c r="K216" s="33" t="n">
        <f>2708</f>
        <v>2708.0</v>
      </c>
      <c r="L216" s="34" t="s">
        <v>48</v>
      </c>
      <c r="M216" s="33" t="n">
        <f>2825</f>
        <v>2825.0</v>
      </c>
      <c r="N216" s="34" t="s">
        <v>49</v>
      </c>
      <c r="O216" s="33" t="n">
        <f>2638</f>
        <v>2638.0</v>
      </c>
      <c r="P216" s="34" t="s">
        <v>156</v>
      </c>
      <c r="Q216" s="33" t="n">
        <f>2824</f>
        <v>2824.0</v>
      </c>
      <c r="R216" s="34" t="s">
        <v>49</v>
      </c>
      <c r="S216" s="35" t="n">
        <f>2734.82</f>
        <v>2734.82</v>
      </c>
      <c r="T216" s="32" t="n">
        <f>371286</f>
        <v>371286.0</v>
      </c>
      <c r="U216" s="32" t="n">
        <f>146200</f>
        <v>146200.0</v>
      </c>
      <c r="V216" s="32" t="n">
        <f>1029662432</f>
        <v>1.029662432E9</v>
      </c>
      <c r="W216" s="32" t="n">
        <f>410838126</f>
        <v>4.10838126E8</v>
      </c>
      <c r="X216" s="36" t="n">
        <f>22</f>
        <v>22.0</v>
      </c>
    </row>
    <row r="217">
      <c r="A217" s="27" t="s">
        <v>42</v>
      </c>
      <c r="B217" s="27" t="s">
        <v>698</v>
      </c>
      <c r="C217" s="27" t="s">
        <v>699</v>
      </c>
      <c r="D217" s="27" t="s">
        <v>700</v>
      </c>
      <c r="E217" s="28" t="s">
        <v>46</v>
      </c>
      <c r="F217" s="29" t="s">
        <v>46</v>
      </c>
      <c r="G217" s="30" t="s">
        <v>46</v>
      </c>
      <c r="H217" s="31"/>
      <c r="I217" s="31" t="s">
        <v>47</v>
      </c>
      <c r="J217" s="32" t="n">
        <v>10.0</v>
      </c>
      <c r="K217" s="33" t="n">
        <f>624.8</f>
        <v>624.8</v>
      </c>
      <c r="L217" s="34" t="s">
        <v>48</v>
      </c>
      <c r="M217" s="33" t="n">
        <f>636</f>
        <v>636.0</v>
      </c>
      <c r="N217" s="34" t="s">
        <v>202</v>
      </c>
      <c r="O217" s="33" t="n">
        <f>601</f>
        <v>601.0</v>
      </c>
      <c r="P217" s="34" t="s">
        <v>156</v>
      </c>
      <c r="Q217" s="33" t="n">
        <f>622.3</f>
        <v>622.3</v>
      </c>
      <c r="R217" s="34" t="s">
        <v>49</v>
      </c>
      <c r="S217" s="35" t="n">
        <f>619.32</f>
        <v>619.32</v>
      </c>
      <c r="T217" s="32" t="n">
        <f>2250960</f>
        <v>2250960.0</v>
      </c>
      <c r="U217" s="32" t="n">
        <f>1240810</f>
        <v>1240810.0</v>
      </c>
      <c r="V217" s="32" t="n">
        <f>1399568826</f>
        <v>1.399568826E9</v>
      </c>
      <c r="W217" s="32" t="n">
        <f>771819486</f>
        <v>7.71819486E8</v>
      </c>
      <c r="X217" s="36" t="n">
        <f>22</f>
        <v>22.0</v>
      </c>
    </row>
    <row r="218">
      <c r="A218" s="27" t="s">
        <v>42</v>
      </c>
      <c r="B218" s="27" t="s">
        <v>701</v>
      </c>
      <c r="C218" s="27" t="s">
        <v>702</v>
      </c>
      <c r="D218" s="27" t="s">
        <v>703</v>
      </c>
      <c r="E218" s="28" t="s">
        <v>46</v>
      </c>
      <c r="F218" s="29" t="s">
        <v>46</v>
      </c>
      <c r="G218" s="30" t="s">
        <v>46</v>
      </c>
      <c r="H218" s="31"/>
      <c r="I218" s="31" t="s">
        <v>47</v>
      </c>
      <c r="J218" s="32" t="n">
        <v>10.0</v>
      </c>
      <c r="K218" s="33" t="n">
        <f>2769.5</f>
        <v>2769.5</v>
      </c>
      <c r="L218" s="34" t="s">
        <v>50</v>
      </c>
      <c r="M218" s="33" t="n">
        <f>3297</f>
        <v>3297.0</v>
      </c>
      <c r="N218" s="34" t="s">
        <v>229</v>
      </c>
      <c r="O218" s="33" t="n">
        <f>2702</f>
        <v>2702.0</v>
      </c>
      <c r="P218" s="34" t="s">
        <v>61</v>
      </c>
      <c r="Q218" s="33" t="n">
        <f>2815</f>
        <v>2815.0</v>
      </c>
      <c r="R218" s="34" t="s">
        <v>49</v>
      </c>
      <c r="S218" s="35" t="n">
        <f>2822.58</f>
        <v>2822.58</v>
      </c>
      <c r="T218" s="32" t="n">
        <f>330950</f>
        <v>330950.0</v>
      </c>
      <c r="U218" s="32" t="n">
        <f>179560</f>
        <v>179560.0</v>
      </c>
      <c r="V218" s="32" t="n">
        <f>918646810</f>
        <v>9.1864681E8</v>
      </c>
      <c r="W218" s="32" t="n">
        <f>499984820</f>
        <v>4.9998482E8</v>
      </c>
      <c r="X218" s="36" t="n">
        <f>18</f>
        <v>18.0</v>
      </c>
    </row>
    <row r="219">
      <c r="A219" s="27" t="s">
        <v>42</v>
      </c>
      <c r="B219" s="27" t="s">
        <v>704</v>
      </c>
      <c r="C219" s="27" t="s">
        <v>705</v>
      </c>
      <c r="D219" s="27" t="s">
        <v>706</v>
      </c>
      <c r="E219" s="28" t="s">
        <v>46</v>
      </c>
      <c r="F219" s="29" t="s">
        <v>46</v>
      </c>
      <c r="G219" s="30" t="s">
        <v>46</v>
      </c>
      <c r="H219" s="31"/>
      <c r="I219" s="31" t="s">
        <v>47</v>
      </c>
      <c r="J219" s="32" t="n">
        <v>10.0</v>
      </c>
      <c r="K219" s="33" t="n">
        <f>2972</f>
        <v>2972.0</v>
      </c>
      <c r="L219" s="34" t="s">
        <v>48</v>
      </c>
      <c r="M219" s="33" t="n">
        <f>3137</f>
        <v>3137.0</v>
      </c>
      <c r="N219" s="34" t="s">
        <v>49</v>
      </c>
      <c r="O219" s="33" t="n">
        <f>2972</f>
        <v>2972.0</v>
      </c>
      <c r="P219" s="34" t="s">
        <v>48</v>
      </c>
      <c r="Q219" s="33" t="n">
        <f>3135</f>
        <v>3135.0</v>
      </c>
      <c r="R219" s="34" t="s">
        <v>49</v>
      </c>
      <c r="S219" s="35" t="n">
        <f>3050.38</f>
        <v>3050.38</v>
      </c>
      <c r="T219" s="32" t="n">
        <f>170</f>
        <v>170.0</v>
      </c>
      <c r="U219" s="32" t="str">
        <f>"－"</f>
        <v>－</v>
      </c>
      <c r="V219" s="32" t="n">
        <f>521460</f>
        <v>521460.0</v>
      </c>
      <c r="W219" s="32" t="str">
        <f>"－"</f>
        <v>－</v>
      </c>
      <c r="X219" s="36" t="n">
        <f>8</f>
        <v>8.0</v>
      </c>
    </row>
    <row r="220">
      <c r="A220" s="27" t="s">
        <v>42</v>
      </c>
      <c r="B220" s="27" t="s">
        <v>707</v>
      </c>
      <c r="C220" s="27" t="s">
        <v>708</v>
      </c>
      <c r="D220" s="27" t="s">
        <v>709</v>
      </c>
      <c r="E220" s="28" t="s">
        <v>46</v>
      </c>
      <c r="F220" s="29" t="s">
        <v>46</v>
      </c>
      <c r="G220" s="30" t="s">
        <v>46</v>
      </c>
      <c r="H220" s="31"/>
      <c r="I220" s="31" t="s">
        <v>47</v>
      </c>
      <c r="J220" s="32" t="n">
        <v>10.0</v>
      </c>
      <c r="K220" s="33" t="n">
        <f>2403</f>
        <v>2403.0</v>
      </c>
      <c r="L220" s="34" t="s">
        <v>48</v>
      </c>
      <c r="M220" s="33" t="n">
        <f>2454</f>
        <v>2454.0</v>
      </c>
      <c r="N220" s="34" t="s">
        <v>79</v>
      </c>
      <c r="O220" s="33" t="n">
        <f>2356.5</f>
        <v>2356.5</v>
      </c>
      <c r="P220" s="34" t="s">
        <v>61</v>
      </c>
      <c r="Q220" s="33" t="n">
        <f>2445.5</f>
        <v>2445.5</v>
      </c>
      <c r="R220" s="34" t="s">
        <v>49</v>
      </c>
      <c r="S220" s="35" t="n">
        <f>2412.93</f>
        <v>2412.93</v>
      </c>
      <c r="T220" s="32" t="n">
        <f>857150</f>
        <v>857150.0</v>
      </c>
      <c r="U220" s="32" t="n">
        <f>206100</f>
        <v>206100.0</v>
      </c>
      <c r="V220" s="32" t="n">
        <f>2076814855</f>
        <v>2.076814855E9</v>
      </c>
      <c r="W220" s="32" t="n">
        <f>500049755</f>
        <v>5.00049755E8</v>
      </c>
      <c r="X220" s="36" t="n">
        <f>20</f>
        <v>20.0</v>
      </c>
    </row>
    <row r="221">
      <c r="A221" s="27" t="s">
        <v>42</v>
      </c>
      <c r="B221" s="27" t="s">
        <v>710</v>
      </c>
      <c r="C221" s="27" t="s">
        <v>711</v>
      </c>
      <c r="D221" s="27" t="s">
        <v>712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10.0</v>
      </c>
      <c r="K221" s="33" t="n">
        <f>2732.5</f>
        <v>2732.5</v>
      </c>
      <c r="L221" s="34" t="s">
        <v>48</v>
      </c>
      <c r="M221" s="33" t="n">
        <f>2793</f>
        <v>2793.0</v>
      </c>
      <c r="N221" s="34" t="s">
        <v>116</v>
      </c>
      <c r="O221" s="33" t="n">
        <f>2720.5</f>
        <v>2720.5</v>
      </c>
      <c r="P221" s="34" t="s">
        <v>48</v>
      </c>
      <c r="Q221" s="33" t="n">
        <f>2738</f>
        <v>2738.0</v>
      </c>
      <c r="R221" s="34" t="s">
        <v>49</v>
      </c>
      <c r="S221" s="35" t="n">
        <f>2758.56</f>
        <v>2758.56</v>
      </c>
      <c r="T221" s="32" t="n">
        <f>252180</f>
        <v>252180.0</v>
      </c>
      <c r="U221" s="32" t="str">
        <f>"－"</f>
        <v>－</v>
      </c>
      <c r="V221" s="32" t="n">
        <f>697332870</f>
        <v>6.9733287E8</v>
      </c>
      <c r="W221" s="32" t="str">
        <f>"－"</f>
        <v>－</v>
      </c>
      <c r="X221" s="36" t="n">
        <f>16</f>
        <v>16.0</v>
      </c>
    </row>
    <row r="222">
      <c r="A222" s="27" t="s">
        <v>42</v>
      </c>
      <c r="B222" s="27" t="s">
        <v>713</v>
      </c>
      <c r="C222" s="27" t="s">
        <v>714</v>
      </c>
      <c r="D222" s="27" t="s">
        <v>715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10.0</v>
      </c>
      <c r="K222" s="33" t="n">
        <f>4602</f>
        <v>4602.0</v>
      </c>
      <c r="L222" s="34" t="s">
        <v>48</v>
      </c>
      <c r="M222" s="33" t="n">
        <f>4809</f>
        <v>4809.0</v>
      </c>
      <c r="N222" s="34" t="s">
        <v>61</v>
      </c>
      <c r="O222" s="33" t="n">
        <f>4602</f>
        <v>4602.0</v>
      </c>
      <c r="P222" s="34" t="s">
        <v>48</v>
      </c>
      <c r="Q222" s="33" t="n">
        <f>4620</f>
        <v>4620.0</v>
      </c>
      <c r="R222" s="34" t="s">
        <v>49</v>
      </c>
      <c r="S222" s="35" t="n">
        <f>4648.57</f>
        <v>4648.57</v>
      </c>
      <c r="T222" s="32" t="n">
        <f>307550</f>
        <v>307550.0</v>
      </c>
      <c r="U222" s="32" t="str">
        <f>"－"</f>
        <v>－</v>
      </c>
      <c r="V222" s="32" t="n">
        <f>1429147870</f>
        <v>1.42914787E9</v>
      </c>
      <c r="W222" s="32" t="str">
        <f>"－"</f>
        <v>－</v>
      </c>
      <c r="X222" s="36" t="n">
        <f>21</f>
        <v>21.0</v>
      </c>
    </row>
    <row r="223">
      <c r="A223" s="27" t="s">
        <v>42</v>
      </c>
      <c r="B223" s="27" t="s">
        <v>716</v>
      </c>
      <c r="C223" s="27" t="s">
        <v>717</v>
      </c>
      <c r="D223" s="27" t="s">
        <v>718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10.0</v>
      </c>
      <c r="K223" s="33" t="n">
        <f>4735</f>
        <v>4735.0</v>
      </c>
      <c r="L223" s="34" t="s">
        <v>216</v>
      </c>
      <c r="M223" s="33" t="n">
        <f>4898</f>
        <v>4898.0</v>
      </c>
      <c r="N223" s="34" t="s">
        <v>156</v>
      </c>
      <c r="O223" s="33" t="n">
        <f>4733</f>
        <v>4733.0</v>
      </c>
      <c r="P223" s="34" t="s">
        <v>216</v>
      </c>
      <c r="Q223" s="33" t="n">
        <f>4759</f>
        <v>4759.0</v>
      </c>
      <c r="R223" s="34" t="s">
        <v>49</v>
      </c>
      <c r="S223" s="35" t="n">
        <f>4774.45</f>
        <v>4774.45</v>
      </c>
      <c r="T223" s="32" t="n">
        <f>280</f>
        <v>280.0</v>
      </c>
      <c r="U223" s="32" t="str">
        <f>"－"</f>
        <v>－</v>
      </c>
      <c r="V223" s="32" t="n">
        <f>1335370</f>
        <v>1335370.0</v>
      </c>
      <c r="W223" s="32" t="str">
        <f>"－"</f>
        <v>－</v>
      </c>
      <c r="X223" s="36" t="n">
        <f>11</f>
        <v>11.0</v>
      </c>
    </row>
    <row r="224">
      <c r="A224" s="27" t="s">
        <v>42</v>
      </c>
      <c r="B224" s="27" t="s">
        <v>719</v>
      </c>
      <c r="C224" s="27" t="s">
        <v>720</v>
      </c>
      <c r="D224" s="27" t="s">
        <v>721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10.0</v>
      </c>
      <c r="K224" s="33" t="n">
        <f>5473</f>
        <v>5473.0</v>
      </c>
      <c r="L224" s="34" t="s">
        <v>216</v>
      </c>
      <c r="M224" s="33" t="n">
        <f>5496</f>
        <v>5496.0</v>
      </c>
      <c r="N224" s="34" t="s">
        <v>229</v>
      </c>
      <c r="O224" s="33" t="n">
        <f>4752</f>
        <v>4752.0</v>
      </c>
      <c r="P224" s="34" t="s">
        <v>243</v>
      </c>
      <c r="Q224" s="33" t="n">
        <f>4822</f>
        <v>4822.0</v>
      </c>
      <c r="R224" s="34" t="s">
        <v>49</v>
      </c>
      <c r="S224" s="35" t="n">
        <f>4850.29</f>
        <v>4850.29</v>
      </c>
      <c r="T224" s="32" t="n">
        <f>184770</f>
        <v>184770.0</v>
      </c>
      <c r="U224" s="32" t="n">
        <f>10</f>
        <v>10.0</v>
      </c>
      <c r="V224" s="32" t="n">
        <f>885518970</f>
        <v>8.8551897E8</v>
      </c>
      <c r="W224" s="32" t="n">
        <f>54960</f>
        <v>54960.0</v>
      </c>
      <c r="X224" s="36" t="n">
        <f>17</f>
        <v>17.0</v>
      </c>
    </row>
    <row r="225">
      <c r="A225" s="27" t="s">
        <v>42</v>
      </c>
      <c r="B225" s="27" t="s">
        <v>722</v>
      </c>
      <c r="C225" s="27" t="s">
        <v>723</v>
      </c>
      <c r="D225" s="27" t="s">
        <v>724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1.0</v>
      </c>
      <c r="K225" s="33" t="n">
        <f>4958</f>
        <v>4958.0</v>
      </c>
      <c r="L225" s="34" t="s">
        <v>48</v>
      </c>
      <c r="M225" s="33" t="n">
        <f>5162</f>
        <v>5162.0</v>
      </c>
      <c r="N225" s="34" t="s">
        <v>49</v>
      </c>
      <c r="O225" s="33" t="n">
        <f>4918</f>
        <v>4918.0</v>
      </c>
      <c r="P225" s="34" t="s">
        <v>50</v>
      </c>
      <c r="Q225" s="33" t="n">
        <f>5159</f>
        <v>5159.0</v>
      </c>
      <c r="R225" s="34" t="s">
        <v>49</v>
      </c>
      <c r="S225" s="35" t="n">
        <f>5058.45</f>
        <v>5058.45</v>
      </c>
      <c r="T225" s="32" t="n">
        <f>540725</f>
        <v>540725.0</v>
      </c>
      <c r="U225" s="32" t="n">
        <f>450000</f>
        <v>450000.0</v>
      </c>
      <c r="V225" s="32" t="n">
        <f>2754112757</f>
        <v>2.754112757E9</v>
      </c>
      <c r="W225" s="32" t="n">
        <f>2291924000</f>
        <v>2.291924E9</v>
      </c>
      <c r="X225" s="36" t="n">
        <f>22</f>
        <v>22.0</v>
      </c>
    </row>
    <row r="226">
      <c r="A226" s="27" t="s">
        <v>42</v>
      </c>
      <c r="B226" s="27" t="s">
        <v>725</v>
      </c>
      <c r="C226" s="27" t="s">
        <v>726</v>
      </c>
      <c r="D226" s="27" t="s">
        <v>727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1.0</v>
      </c>
      <c r="K226" s="33" t="n">
        <f>789</f>
        <v>789.0</v>
      </c>
      <c r="L226" s="34" t="s">
        <v>48</v>
      </c>
      <c r="M226" s="33" t="n">
        <f>798</f>
        <v>798.0</v>
      </c>
      <c r="N226" s="34" t="s">
        <v>48</v>
      </c>
      <c r="O226" s="33" t="n">
        <f>758</f>
        <v>758.0</v>
      </c>
      <c r="P226" s="34" t="s">
        <v>106</v>
      </c>
      <c r="Q226" s="33" t="n">
        <f>764</f>
        <v>764.0</v>
      </c>
      <c r="R226" s="34" t="s">
        <v>49</v>
      </c>
      <c r="S226" s="35" t="n">
        <f>777.82</f>
        <v>777.82</v>
      </c>
      <c r="T226" s="32" t="n">
        <f>1886478</f>
        <v>1886478.0</v>
      </c>
      <c r="U226" s="32" t="str">
        <f>"－"</f>
        <v>－</v>
      </c>
      <c r="V226" s="32" t="n">
        <f>1491872107</f>
        <v>1.491872107E9</v>
      </c>
      <c r="W226" s="32" t="str">
        <f>"－"</f>
        <v>－</v>
      </c>
      <c r="X226" s="36" t="n">
        <f>22</f>
        <v>22.0</v>
      </c>
    </row>
    <row r="227">
      <c r="A227" s="27" t="s">
        <v>42</v>
      </c>
      <c r="B227" s="27" t="s">
        <v>728</v>
      </c>
      <c r="C227" s="27" t="s">
        <v>729</v>
      </c>
      <c r="D227" s="27" t="s">
        <v>730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1.0</v>
      </c>
      <c r="K227" s="33" t="n">
        <f>1099</f>
        <v>1099.0</v>
      </c>
      <c r="L227" s="34" t="s">
        <v>48</v>
      </c>
      <c r="M227" s="33" t="n">
        <f>1100</f>
        <v>1100.0</v>
      </c>
      <c r="N227" s="34" t="s">
        <v>106</v>
      </c>
      <c r="O227" s="33" t="n">
        <f>1068</f>
        <v>1068.0</v>
      </c>
      <c r="P227" s="34" t="s">
        <v>156</v>
      </c>
      <c r="Q227" s="33" t="n">
        <f>1070</f>
        <v>1070.0</v>
      </c>
      <c r="R227" s="34" t="s">
        <v>49</v>
      </c>
      <c r="S227" s="35" t="n">
        <f>1085.23</f>
        <v>1085.23</v>
      </c>
      <c r="T227" s="32" t="n">
        <f>96070</f>
        <v>96070.0</v>
      </c>
      <c r="U227" s="32" t="str">
        <f>"－"</f>
        <v>－</v>
      </c>
      <c r="V227" s="32" t="n">
        <f>103790282</f>
        <v>1.03790282E8</v>
      </c>
      <c r="W227" s="32" t="str">
        <f>"－"</f>
        <v>－</v>
      </c>
      <c r="X227" s="36" t="n">
        <f>22</f>
        <v>22.0</v>
      </c>
    </row>
    <row r="228">
      <c r="A228" s="27" t="s">
        <v>42</v>
      </c>
      <c r="B228" s="27" t="s">
        <v>731</v>
      </c>
      <c r="C228" s="27" t="s">
        <v>732</v>
      </c>
      <c r="D228" s="27" t="s">
        <v>733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1.0</v>
      </c>
      <c r="K228" s="33" t="n">
        <f>1152</f>
        <v>1152.0</v>
      </c>
      <c r="L228" s="34" t="s">
        <v>48</v>
      </c>
      <c r="M228" s="33" t="n">
        <f>1152</f>
        <v>1152.0</v>
      </c>
      <c r="N228" s="34" t="s">
        <v>48</v>
      </c>
      <c r="O228" s="33" t="n">
        <f>1103</f>
        <v>1103.0</v>
      </c>
      <c r="P228" s="34" t="s">
        <v>156</v>
      </c>
      <c r="Q228" s="33" t="n">
        <f>1138</f>
        <v>1138.0</v>
      </c>
      <c r="R228" s="34" t="s">
        <v>49</v>
      </c>
      <c r="S228" s="35" t="n">
        <f>1126.77</f>
        <v>1126.77</v>
      </c>
      <c r="T228" s="32" t="n">
        <f>1369150</f>
        <v>1369150.0</v>
      </c>
      <c r="U228" s="32" t="str">
        <f>"－"</f>
        <v>－</v>
      </c>
      <c r="V228" s="32" t="n">
        <f>1552851992</f>
        <v>1.552851992E9</v>
      </c>
      <c r="W228" s="32" t="str">
        <f>"－"</f>
        <v>－</v>
      </c>
      <c r="X228" s="36" t="n">
        <f>22</f>
        <v>22.0</v>
      </c>
    </row>
    <row r="229">
      <c r="A229" s="27" t="s">
        <v>42</v>
      </c>
      <c r="B229" s="27" t="s">
        <v>734</v>
      </c>
      <c r="C229" s="27" t="s">
        <v>735</v>
      </c>
      <c r="D229" s="27" t="s">
        <v>736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1.0</v>
      </c>
      <c r="K229" s="33" t="n">
        <f>1041</f>
        <v>1041.0</v>
      </c>
      <c r="L229" s="34" t="s">
        <v>48</v>
      </c>
      <c r="M229" s="33" t="n">
        <f>1066</f>
        <v>1066.0</v>
      </c>
      <c r="N229" s="34" t="s">
        <v>233</v>
      </c>
      <c r="O229" s="33" t="n">
        <f>1021</f>
        <v>1021.0</v>
      </c>
      <c r="P229" s="34" t="s">
        <v>69</v>
      </c>
      <c r="Q229" s="33" t="n">
        <f>1046</f>
        <v>1046.0</v>
      </c>
      <c r="R229" s="34" t="s">
        <v>49</v>
      </c>
      <c r="S229" s="35" t="n">
        <f>1041.91</f>
        <v>1041.91</v>
      </c>
      <c r="T229" s="32" t="n">
        <f>1167368</f>
        <v>1167368.0</v>
      </c>
      <c r="U229" s="32" t="str">
        <f>"－"</f>
        <v>－</v>
      </c>
      <c r="V229" s="32" t="n">
        <f>1223325611</f>
        <v>1.223325611E9</v>
      </c>
      <c r="W229" s="32" t="str">
        <f>"－"</f>
        <v>－</v>
      </c>
      <c r="X229" s="36" t="n">
        <f>22</f>
        <v>22.0</v>
      </c>
    </row>
    <row r="230">
      <c r="A230" s="27" t="s">
        <v>42</v>
      </c>
      <c r="B230" s="27" t="s">
        <v>737</v>
      </c>
      <c r="C230" s="27" t="s">
        <v>738</v>
      </c>
      <c r="D230" s="27" t="s">
        <v>739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1.0</v>
      </c>
      <c r="K230" s="33" t="n">
        <f>1117</f>
        <v>1117.0</v>
      </c>
      <c r="L230" s="34" t="s">
        <v>48</v>
      </c>
      <c r="M230" s="33" t="n">
        <f>1143</f>
        <v>1143.0</v>
      </c>
      <c r="N230" s="34" t="s">
        <v>60</v>
      </c>
      <c r="O230" s="33" t="n">
        <f>1095</f>
        <v>1095.0</v>
      </c>
      <c r="P230" s="34" t="s">
        <v>50</v>
      </c>
      <c r="Q230" s="33" t="n">
        <f>1130</f>
        <v>1130.0</v>
      </c>
      <c r="R230" s="34" t="s">
        <v>49</v>
      </c>
      <c r="S230" s="35" t="n">
        <f>1120.91</f>
        <v>1120.91</v>
      </c>
      <c r="T230" s="32" t="n">
        <f>445997</f>
        <v>445997.0</v>
      </c>
      <c r="U230" s="32" t="n">
        <f>12</f>
        <v>12.0</v>
      </c>
      <c r="V230" s="32" t="n">
        <f>501796124</f>
        <v>5.01796124E8</v>
      </c>
      <c r="W230" s="32" t="n">
        <f>13412</f>
        <v>13412.0</v>
      </c>
      <c r="X230" s="36" t="n">
        <f>22</f>
        <v>22.0</v>
      </c>
    </row>
    <row r="231">
      <c r="A231" s="27" t="s">
        <v>42</v>
      </c>
      <c r="B231" s="27" t="s">
        <v>740</v>
      </c>
      <c r="C231" s="27" t="s">
        <v>741</v>
      </c>
      <c r="D231" s="27" t="s">
        <v>742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1.0</v>
      </c>
      <c r="K231" s="33" t="n">
        <f>1694</f>
        <v>1694.0</v>
      </c>
      <c r="L231" s="34" t="s">
        <v>48</v>
      </c>
      <c r="M231" s="33" t="n">
        <f>1752</f>
        <v>1752.0</v>
      </c>
      <c r="N231" s="34" t="s">
        <v>106</v>
      </c>
      <c r="O231" s="33" t="n">
        <f>1672</f>
        <v>1672.0</v>
      </c>
      <c r="P231" s="34" t="s">
        <v>48</v>
      </c>
      <c r="Q231" s="33" t="n">
        <f>1752</f>
        <v>1752.0</v>
      </c>
      <c r="R231" s="34" t="s">
        <v>49</v>
      </c>
      <c r="S231" s="35" t="n">
        <f>1715.68</f>
        <v>1715.68</v>
      </c>
      <c r="T231" s="32" t="n">
        <f>402246</f>
        <v>402246.0</v>
      </c>
      <c r="U231" s="32" t="n">
        <f>18870</f>
        <v>18870.0</v>
      </c>
      <c r="V231" s="32" t="n">
        <f>696023334</f>
        <v>6.96023334E8</v>
      </c>
      <c r="W231" s="32" t="n">
        <f>32451293</f>
        <v>3.2451293E7</v>
      </c>
      <c r="X231" s="36" t="n">
        <f>22</f>
        <v>22.0</v>
      </c>
    </row>
    <row r="232">
      <c r="A232" s="27" t="s">
        <v>42</v>
      </c>
      <c r="B232" s="27" t="s">
        <v>743</v>
      </c>
      <c r="C232" s="27" t="s">
        <v>744</v>
      </c>
      <c r="D232" s="27" t="s">
        <v>745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10.0</v>
      </c>
      <c r="K232" s="33" t="n">
        <f>181</f>
        <v>181.0</v>
      </c>
      <c r="L232" s="34" t="s">
        <v>48</v>
      </c>
      <c r="M232" s="33" t="n">
        <f>225.1</f>
        <v>225.1</v>
      </c>
      <c r="N232" s="34" t="s">
        <v>49</v>
      </c>
      <c r="O232" s="33" t="n">
        <f>178.2</f>
        <v>178.2</v>
      </c>
      <c r="P232" s="34" t="s">
        <v>48</v>
      </c>
      <c r="Q232" s="33" t="n">
        <f>223.9</f>
        <v>223.9</v>
      </c>
      <c r="R232" s="34" t="s">
        <v>49</v>
      </c>
      <c r="S232" s="35" t="n">
        <f>200.89</f>
        <v>200.89</v>
      </c>
      <c r="T232" s="32" t="n">
        <f>18079290</f>
        <v>1.807929E7</v>
      </c>
      <c r="U232" s="32" t="n">
        <f>3950100</f>
        <v>3950100.0</v>
      </c>
      <c r="V232" s="32" t="n">
        <f>3766640832</f>
        <v>3.766640832E9</v>
      </c>
      <c r="W232" s="32" t="n">
        <f>872984101</f>
        <v>8.72984101E8</v>
      </c>
      <c r="X232" s="36" t="n">
        <f>22</f>
        <v>22.0</v>
      </c>
    </row>
    <row r="233">
      <c r="A233" s="27" t="s">
        <v>42</v>
      </c>
      <c r="B233" s="27" t="s">
        <v>746</v>
      </c>
      <c r="C233" s="27" t="s">
        <v>747</v>
      </c>
      <c r="D233" s="27" t="s">
        <v>748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10.0</v>
      </c>
      <c r="K233" s="33" t="n">
        <f>513</f>
        <v>513.0</v>
      </c>
      <c r="L233" s="34" t="s">
        <v>48</v>
      </c>
      <c r="M233" s="33" t="n">
        <f>641.3</f>
        <v>641.3</v>
      </c>
      <c r="N233" s="34" t="s">
        <v>49</v>
      </c>
      <c r="O233" s="33" t="n">
        <f>509</f>
        <v>509.0</v>
      </c>
      <c r="P233" s="34" t="s">
        <v>48</v>
      </c>
      <c r="Q233" s="33" t="n">
        <f>641.3</f>
        <v>641.3</v>
      </c>
      <c r="R233" s="34" t="s">
        <v>49</v>
      </c>
      <c r="S233" s="35" t="n">
        <f>572.83</f>
        <v>572.83</v>
      </c>
      <c r="T233" s="32" t="n">
        <f>2624750</f>
        <v>2624750.0</v>
      </c>
      <c r="U233" s="32" t="str">
        <f>"－"</f>
        <v>－</v>
      </c>
      <c r="V233" s="32" t="n">
        <f>1587339036</f>
        <v>1.587339036E9</v>
      </c>
      <c r="W233" s="32" t="str">
        <f>"－"</f>
        <v>－</v>
      </c>
      <c r="X233" s="36" t="n">
        <f>22</f>
        <v>22.0</v>
      </c>
    </row>
    <row r="234">
      <c r="A234" s="27" t="s">
        <v>42</v>
      </c>
      <c r="B234" s="27" t="s">
        <v>749</v>
      </c>
      <c r="C234" s="27" t="s">
        <v>750</v>
      </c>
      <c r="D234" s="27" t="s">
        <v>751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1.0</v>
      </c>
      <c r="K234" s="33" t="n">
        <f>3001</f>
        <v>3001.0</v>
      </c>
      <c r="L234" s="34" t="s">
        <v>48</v>
      </c>
      <c r="M234" s="33" t="n">
        <f>3209</f>
        <v>3209.0</v>
      </c>
      <c r="N234" s="34" t="s">
        <v>79</v>
      </c>
      <c r="O234" s="33" t="n">
        <f>2972</f>
        <v>2972.0</v>
      </c>
      <c r="P234" s="34" t="s">
        <v>48</v>
      </c>
      <c r="Q234" s="33" t="n">
        <f>3200</f>
        <v>3200.0</v>
      </c>
      <c r="R234" s="34" t="s">
        <v>49</v>
      </c>
      <c r="S234" s="35" t="n">
        <f>3091.77</f>
        <v>3091.77</v>
      </c>
      <c r="T234" s="32" t="n">
        <f>965447</f>
        <v>965447.0</v>
      </c>
      <c r="U234" s="32" t="n">
        <f>840070</f>
        <v>840070.0</v>
      </c>
      <c r="V234" s="32" t="n">
        <f>2900443936</f>
        <v>2.900443936E9</v>
      </c>
      <c r="W234" s="32" t="n">
        <f>2508716140</f>
        <v>2.50871614E9</v>
      </c>
      <c r="X234" s="36" t="n">
        <f>22</f>
        <v>22.0</v>
      </c>
    </row>
    <row r="235">
      <c r="A235" s="27" t="s">
        <v>42</v>
      </c>
      <c r="B235" s="27" t="s">
        <v>752</v>
      </c>
      <c r="C235" s="27" t="s">
        <v>753</v>
      </c>
      <c r="D235" s="27" t="s">
        <v>754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1.0</v>
      </c>
      <c r="K235" s="33" t="n">
        <f>1235</f>
        <v>1235.0</v>
      </c>
      <c r="L235" s="34" t="s">
        <v>48</v>
      </c>
      <c r="M235" s="33" t="n">
        <f>1295</f>
        <v>1295.0</v>
      </c>
      <c r="N235" s="34" t="s">
        <v>106</v>
      </c>
      <c r="O235" s="33" t="n">
        <f>1233</f>
        <v>1233.0</v>
      </c>
      <c r="P235" s="34" t="s">
        <v>48</v>
      </c>
      <c r="Q235" s="33" t="n">
        <f>1274</f>
        <v>1274.0</v>
      </c>
      <c r="R235" s="34" t="s">
        <v>49</v>
      </c>
      <c r="S235" s="35" t="n">
        <f>1267.14</f>
        <v>1267.14</v>
      </c>
      <c r="T235" s="32" t="n">
        <f>461806</f>
        <v>461806.0</v>
      </c>
      <c r="U235" s="32" t="str">
        <f>"－"</f>
        <v>－</v>
      </c>
      <c r="V235" s="32" t="n">
        <f>585170849</f>
        <v>5.85170849E8</v>
      </c>
      <c r="W235" s="32" t="str">
        <f>"－"</f>
        <v>－</v>
      </c>
      <c r="X235" s="36" t="n">
        <f>22</f>
        <v>22.0</v>
      </c>
    </row>
    <row r="236">
      <c r="A236" s="27" t="s">
        <v>42</v>
      </c>
      <c r="B236" s="27" t="s">
        <v>755</v>
      </c>
      <c r="C236" s="27" t="s">
        <v>756</v>
      </c>
      <c r="D236" s="27" t="s">
        <v>757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1.0</v>
      </c>
      <c r="K236" s="33" t="n">
        <f>100800</f>
        <v>100800.0</v>
      </c>
      <c r="L236" s="34" t="s">
        <v>48</v>
      </c>
      <c r="M236" s="33" t="n">
        <f>107700</f>
        <v>107700.0</v>
      </c>
      <c r="N236" s="34" t="s">
        <v>79</v>
      </c>
      <c r="O236" s="33" t="n">
        <f>97800</f>
        <v>97800.0</v>
      </c>
      <c r="P236" s="34" t="s">
        <v>61</v>
      </c>
      <c r="Q236" s="33" t="n">
        <f>106600</f>
        <v>106600.0</v>
      </c>
      <c r="R236" s="34" t="s">
        <v>49</v>
      </c>
      <c r="S236" s="35" t="n">
        <f>102806.36</f>
        <v>102806.36</v>
      </c>
      <c r="T236" s="32" t="n">
        <f>18251</f>
        <v>18251.0</v>
      </c>
      <c r="U236" s="32" t="n">
        <f>178</f>
        <v>178.0</v>
      </c>
      <c r="V236" s="32" t="n">
        <f>1879277246</f>
        <v>1.879277246E9</v>
      </c>
      <c r="W236" s="32" t="n">
        <f>18264056</f>
        <v>1.8264056E7</v>
      </c>
      <c r="X236" s="36" t="n">
        <f>22</f>
        <v>22.0</v>
      </c>
    </row>
    <row r="237">
      <c r="A237" s="27" t="s">
        <v>42</v>
      </c>
      <c r="B237" s="27" t="s">
        <v>758</v>
      </c>
      <c r="C237" s="27" t="s">
        <v>759</v>
      </c>
      <c r="D237" s="27" t="s">
        <v>760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1.0</v>
      </c>
      <c r="K237" s="33" t="n">
        <f>5945</f>
        <v>5945.0</v>
      </c>
      <c r="L237" s="34" t="s">
        <v>48</v>
      </c>
      <c r="M237" s="33" t="n">
        <f>6027</f>
        <v>6027.0</v>
      </c>
      <c r="N237" s="34" t="s">
        <v>61</v>
      </c>
      <c r="O237" s="33" t="n">
        <f>5735</f>
        <v>5735.0</v>
      </c>
      <c r="P237" s="34" t="s">
        <v>79</v>
      </c>
      <c r="Q237" s="33" t="n">
        <f>5778</f>
        <v>5778.0</v>
      </c>
      <c r="R237" s="34" t="s">
        <v>49</v>
      </c>
      <c r="S237" s="35" t="n">
        <f>5882.68</f>
        <v>5882.68</v>
      </c>
      <c r="T237" s="32" t="n">
        <f>67082</f>
        <v>67082.0</v>
      </c>
      <c r="U237" s="32" t="n">
        <f>41</f>
        <v>41.0</v>
      </c>
      <c r="V237" s="32" t="n">
        <f>397208533</f>
        <v>3.97208533E8</v>
      </c>
      <c r="W237" s="32" t="n">
        <f>239651</f>
        <v>239651.0</v>
      </c>
      <c r="X237" s="36" t="n">
        <f>22</f>
        <v>22.0</v>
      </c>
    </row>
    <row r="238">
      <c r="A238" s="27" t="s">
        <v>42</v>
      </c>
      <c r="B238" s="27" t="s">
        <v>761</v>
      </c>
      <c r="C238" s="27" t="s">
        <v>762</v>
      </c>
      <c r="D238" s="27" t="s">
        <v>763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1.0</v>
      </c>
      <c r="K238" s="33" t="n">
        <f>21920</f>
        <v>21920.0</v>
      </c>
      <c r="L238" s="34" t="s">
        <v>48</v>
      </c>
      <c r="M238" s="33" t="n">
        <f>23490</f>
        <v>23490.0</v>
      </c>
      <c r="N238" s="34" t="s">
        <v>79</v>
      </c>
      <c r="O238" s="33" t="n">
        <f>21255</f>
        <v>21255.0</v>
      </c>
      <c r="P238" s="34" t="s">
        <v>61</v>
      </c>
      <c r="Q238" s="33" t="n">
        <f>23350</f>
        <v>23350.0</v>
      </c>
      <c r="R238" s="34" t="s">
        <v>49</v>
      </c>
      <c r="S238" s="35" t="n">
        <f>22358.41</f>
        <v>22358.41</v>
      </c>
      <c r="T238" s="32" t="n">
        <f>62076</f>
        <v>62076.0</v>
      </c>
      <c r="U238" s="32" t="n">
        <f>74</f>
        <v>74.0</v>
      </c>
      <c r="V238" s="32" t="n">
        <f>1393817699</f>
        <v>1.393817699E9</v>
      </c>
      <c r="W238" s="32" t="n">
        <f>1677049</f>
        <v>1677049.0</v>
      </c>
      <c r="X238" s="36" t="n">
        <f>22</f>
        <v>22.0</v>
      </c>
    </row>
    <row r="239">
      <c r="A239" s="27" t="s">
        <v>42</v>
      </c>
      <c r="B239" s="27" t="s">
        <v>764</v>
      </c>
      <c r="C239" s="27" t="s">
        <v>765</v>
      </c>
      <c r="D239" s="27" t="s">
        <v>766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1.0</v>
      </c>
      <c r="K239" s="33" t="n">
        <f>1307</f>
        <v>1307.0</v>
      </c>
      <c r="L239" s="34" t="s">
        <v>48</v>
      </c>
      <c r="M239" s="33" t="n">
        <f>1477</f>
        <v>1477.0</v>
      </c>
      <c r="N239" s="34" t="s">
        <v>79</v>
      </c>
      <c r="O239" s="33" t="n">
        <f>1296</f>
        <v>1296.0</v>
      </c>
      <c r="P239" s="34" t="s">
        <v>48</v>
      </c>
      <c r="Q239" s="33" t="n">
        <f>1470</f>
        <v>1470.0</v>
      </c>
      <c r="R239" s="34" t="s">
        <v>49</v>
      </c>
      <c r="S239" s="35" t="n">
        <f>1388.41</f>
        <v>1388.41</v>
      </c>
      <c r="T239" s="32" t="n">
        <f>688395</f>
        <v>688395.0</v>
      </c>
      <c r="U239" s="32" t="str">
        <f>"－"</f>
        <v>－</v>
      </c>
      <c r="V239" s="32" t="n">
        <f>965977208</f>
        <v>9.65977208E8</v>
      </c>
      <c r="W239" s="32" t="str">
        <f>"－"</f>
        <v>－</v>
      </c>
      <c r="X239" s="36" t="n">
        <f>22</f>
        <v>22.0</v>
      </c>
    </row>
    <row r="240">
      <c r="A240" s="27" t="s">
        <v>42</v>
      </c>
      <c r="B240" s="27" t="s">
        <v>767</v>
      </c>
      <c r="C240" s="27" t="s">
        <v>768</v>
      </c>
      <c r="D240" s="27" t="s">
        <v>769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1.0</v>
      </c>
      <c r="K240" s="33" t="n">
        <f>6030</f>
        <v>6030.0</v>
      </c>
      <c r="L240" s="34" t="s">
        <v>48</v>
      </c>
      <c r="M240" s="33" t="n">
        <f>6120</f>
        <v>6120.0</v>
      </c>
      <c r="N240" s="34" t="s">
        <v>116</v>
      </c>
      <c r="O240" s="33" t="n">
        <f>5806</f>
        <v>5806.0</v>
      </c>
      <c r="P240" s="34" t="s">
        <v>79</v>
      </c>
      <c r="Q240" s="33" t="n">
        <f>5851</f>
        <v>5851.0</v>
      </c>
      <c r="R240" s="34" t="s">
        <v>49</v>
      </c>
      <c r="S240" s="35" t="n">
        <f>5974.82</f>
        <v>5974.82</v>
      </c>
      <c r="T240" s="32" t="n">
        <f>20070</f>
        <v>20070.0</v>
      </c>
      <c r="U240" s="32" t="str">
        <f>"－"</f>
        <v>－</v>
      </c>
      <c r="V240" s="32" t="n">
        <f>120009382</f>
        <v>1.20009382E8</v>
      </c>
      <c r="W240" s="32" t="str">
        <f>"－"</f>
        <v>－</v>
      </c>
      <c r="X240" s="36" t="n">
        <f>22</f>
        <v>22.0</v>
      </c>
    </row>
    <row r="241">
      <c r="A241" s="27" t="s">
        <v>42</v>
      </c>
      <c r="B241" s="27" t="s">
        <v>770</v>
      </c>
      <c r="C241" s="27" t="s">
        <v>771</v>
      </c>
      <c r="D241" s="27" t="s">
        <v>772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10.0</v>
      </c>
      <c r="K241" s="33" t="n">
        <f>769.8</f>
        <v>769.8</v>
      </c>
      <c r="L241" s="34" t="s">
        <v>48</v>
      </c>
      <c r="M241" s="33" t="n">
        <f>820.3</f>
        <v>820.3</v>
      </c>
      <c r="N241" s="34" t="s">
        <v>49</v>
      </c>
      <c r="O241" s="33" t="n">
        <f>760.9</f>
        <v>760.9</v>
      </c>
      <c r="P241" s="34" t="s">
        <v>48</v>
      </c>
      <c r="Q241" s="33" t="n">
        <f>820.3</f>
        <v>820.3</v>
      </c>
      <c r="R241" s="34" t="s">
        <v>49</v>
      </c>
      <c r="S241" s="35" t="n">
        <f>791.16</f>
        <v>791.16</v>
      </c>
      <c r="T241" s="32" t="n">
        <f>7195920</f>
        <v>7195920.0</v>
      </c>
      <c r="U241" s="32" t="n">
        <f>6402540</f>
        <v>6402540.0</v>
      </c>
      <c r="V241" s="32" t="n">
        <f>5725540266</f>
        <v>5.725540266E9</v>
      </c>
      <c r="W241" s="32" t="n">
        <f>5091444648</f>
        <v>5.091444648E9</v>
      </c>
      <c r="X241" s="36" t="n">
        <f>22</f>
        <v>22.0</v>
      </c>
    </row>
    <row r="242">
      <c r="A242" s="27" t="s">
        <v>42</v>
      </c>
      <c r="B242" s="27" t="s">
        <v>773</v>
      </c>
      <c r="C242" s="27" t="s">
        <v>774</v>
      </c>
      <c r="D242" s="27" t="s">
        <v>775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10.0</v>
      </c>
      <c r="K242" s="33" t="n">
        <f>614</f>
        <v>614.0</v>
      </c>
      <c r="L242" s="34" t="s">
        <v>48</v>
      </c>
      <c r="M242" s="33" t="n">
        <f>631</f>
        <v>631.0</v>
      </c>
      <c r="N242" s="34" t="s">
        <v>79</v>
      </c>
      <c r="O242" s="33" t="n">
        <f>605.9</f>
        <v>605.9</v>
      </c>
      <c r="P242" s="34" t="s">
        <v>61</v>
      </c>
      <c r="Q242" s="33" t="n">
        <f>628.8</f>
        <v>628.8</v>
      </c>
      <c r="R242" s="34" t="s">
        <v>49</v>
      </c>
      <c r="S242" s="35" t="n">
        <f>618.47</f>
        <v>618.47</v>
      </c>
      <c r="T242" s="32" t="n">
        <f>9083430</f>
        <v>9083430.0</v>
      </c>
      <c r="U242" s="32" t="n">
        <f>8853700</f>
        <v>8853700.0</v>
      </c>
      <c r="V242" s="32" t="n">
        <f>5613750280</f>
        <v>5.61375028E9</v>
      </c>
      <c r="W242" s="32" t="n">
        <f>5471180272</f>
        <v>5.471180272E9</v>
      </c>
      <c r="X242" s="36" t="n">
        <f>22</f>
        <v>22.0</v>
      </c>
    </row>
    <row r="243">
      <c r="A243" s="27" t="s">
        <v>42</v>
      </c>
      <c r="B243" s="27" t="s">
        <v>776</v>
      </c>
      <c r="C243" s="27" t="s">
        <v>777</v>
      </c>
      <c r="D243" s="27" t="s">
        <v>778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1.0</v>
      </c>
      <c r="K243" s="33" t="n">
        <f>2241</f>
        <v>2241.0</v>
      </c>
      <c r="L243" s="34" t="s">
        <v>48</v>
      </c>
      <c r="M243" s="33" t="n">
        <f>2694</f>
        <v>2694.0</v>
      </c>
      <c r="N243" s="34" t="s">
        <v>79</v>
      </c>
      <c r="O243" s="33" t="n">
        <f>2214</f>
        <v>2214.0</v>
      </c>
      <c r="P243" s="34" t="s">
        <v>48</v>
      </c>
      <c r="Q243" s="33" t="n">
        <f>2663</f>
        <v>2663.0</v>
      </c>
      <c r="R243" s="34" t="s">
        <v>49</v>
      </c>
      <c r="S243" s="35" t="n">
        <f>2463.41</f>
        <v>2463.41</v>
      </c>
      <c r="T243" s="32" t="n">
        <f>5800747</f>
        <v>5800747.0</v>
      </c>
      <c r="U243" s="32" t="n">
        <f>238181</f>
        <v>238181.0</v>
      </c>
      <c r="V243" s="32" t="n">
        <f>14443197786</f>
        <v>1.4443197786E10</v>
      </c>
      <c r="W243" s="32" t="n">
        <f>553231500</f>
        <v>5.532315E8</v>
      </c>
      <c r="X243" s="36" t="n">
        <f>22</f>
        <v>22.0</v>
      </c>
    </row>
    <row r="244">
      <c r="A244" s="27" t="s">
        <v>42</v>
      </c>
      <c r="B244" s="27" t="s">
        <v>779</v>
      </c>
      <c r="C244" s="27" t="s">
        <v>780</v>
      </c>
      <c r="D244" s="27" t="s">
        <v>781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1.0</v>
      </c>
      <c r="K244" s="33" t="n">
        <f>2857</f>
        <v>2857.0</v>
      </c>
      <c r="L244" s="34" t="s">
        <v>48</v>
      </c>
      <c r="M244" s="33" t="n">
        <f>3232</f>
        <v>3232.0</v>
      </c>
      <c r="N244" s="34" t="s">
        <v>79</v>
      </c>
      <c r="O244" s="33" t="n">
        <f>2828</f>
        <v>2828.0</v>
      </c>
      <c r="P244" s="34" t="s">
        <v>48</v>
      </c>
      <c r="Q244" s="33" t="n">
        <f>3216</f>
        <v>3216.0</v>
      </c>
      <c r="R244" s="34" t="s">
        <v>49</v>
      </c>
      <c r="S244" s="35" t="n">
        <f>3005.27</f>
        <v>3005.27</v>
      </c>
      <c r="T244" s="32" t="n">
        <f>6013572</f>
        <v>6013572.0</v>
      </c>
      <c r="U244" s="32" t="n">
        <f>1132</f>
        <v>1132.0</v>
      </c>
      <c r="V244" s="32" t="n">
        <f>18225765849</f>
        <v>1.8225765849E10</v>
      </c>
      <c r="W244" s="32" t="n">
        <f>3521090</f>
        <v>3521090.0</v>
      </c>
      <c r="X244" s="36" t="n">
        <f>22</f>
        <v>22.0</v>
      </c>
    </row>
    <row r="245">
      <c r="A245" s="27" t="s">
        <v>42</v>
      </c>
      <c r="B245" s="27" t="s">
        <v>782</v>
      </c>
      <c r="C245" s="27" t="s">
        <v>783</v>
      </c>
      <c r="D245" s="27" t="s">
        <v>784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10.0</v>
      </c>
      <c r="K245" s="33" t="n">
        <f>733.9</f>
        <v>733.9</v>
      </c>
      <c r="L245" s="34" t="s">
        <v>48</v>
      </c>
      <c r="M245" s="33" t="n">
        <f>745.8</f>
        <v>745.8</v>
      </c>
      <c r="N245" s="34" t="s">
        <v>106</v>
      </c>
      <c r="O245" s="33" t="n">
        <f>732.6</f>
        <v>732.6</v>
      </c>
      <c r="P245" s="34" t="s">
        <v>262</v>
      </c>
      <c r="Q245" s="33" t="n">
        <f>738.9</f>
        <v>738.9</v>
      </c>
      <c r="R245" s="34" t="s">
        <v>49</v>
      </c>
      <c r="S245" s="35" t="n">
        <f>738.12</f>
        <v>738.12</v>
      </c>
      <c r="T245" s="32" t="n">
        <f>27960</f>
        <v>27960.0</v>
      </c>
      <c r="U245" s="32" t="str">
        <f>"－"</f>
        <v>－</v>
      </c>
      <c r="V245" s="32" t="n">
        <f>20563845</f>
        <v>2.0563845E7</v>
      </c>
      <c r="W245" s="32" t="str">
        <f>"－"</f>
        <v>－</v>
      </c>
      <c r="X245" s="36" t="n">
        <f>20</f>
        <v>20.0</v>
      </c>
    </row>
    <row r="246">
      <c r="A246" s="27" t="s">
        <v>42</v>
      </c>
      <c r="B246" s="27" t="s">
        <v>785</v>
      </c>
      <c r="C246" s="27" t="s">
        <v>786</v>
      </c>
      <c r="D246" s="27" t="s">
        <v>787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10.0</v>
      </c>
      <c r="K246" s="33" t="n">
        <f>731.1</f>
        <v>731.1</v>
      </c>
      <c r="L246" s="34" t="s">
        <v>48</v>
      </c>
      <c r="M246" s="33" t="n">
        <f>747.5</f>
        <v>747.5</v>
      </c>
      <c r="N246" s="34" t="s">
        <v>156</v>
      </c>
      <c r="O246" s="33" t="n">
        <f>727.2</f>
        <v>727.2</v>
      </c>
      <c r="P246" s="34" t="s">
        <v>262</v>
      </c>
      <c r="Q246" s="33" t="n">
        <f>737.2</f>
        <v>737.2</v>
      </c>
      <c r="R246" s="34" t="s">
        <v>79</v>
      </c>
      <c r="S246" s="35" t="n">
        <f>734.81</f>
        <v>734.81</v>
      </c>
      <c r="T246" s="32" t="n">
        <f>378380</f>
        <v>378380.0</v>
      </c>
      <c r="U246" s="32" t="str">
        <f>"－"</f>
        <v>－</v>
      </c>
      <c r="V246" s="32" t="n">
        <f>277984520</f>
        <v>2.7798452E8</v>
      </c>
      <c r="W246" s="32" t="str">
        <f>"－"</f>
        <v>－</v>
      </c>
      <c r="X246" s="36" t="n">
        <f>16</f>
        <v>16.0</v>
      </c>
    </row>
    <row r="247">
      <c r="A247" s="27" t="s">
        <v>42</v>
      </c>
      <c r="B247" s="27" t="s">
        <v>788</v>
      </c>
      <c r="C247" s="27" t="s">
        <v>789</v>
      </c>
      <c r="D247" s="27" t="s">
        <v>790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1.0</v>
      </c>
      <c r="K247" s="33" t="n">
        <f>1854</f>
        <v>1854.0</v>
      </c>
      <c r="L247" s="34" t="s">
        <v>48</v>
      </c>
      <c r="M247" s="33" t="n">
        <f>2000</f>
        <v>2000.0</v>
      </c>
      <c r="N247" s="34" t="s">
        <v>79</v>
      </c>
      <c r="O247" s="33" t="n">
        <f>1840</f>
        <v>1840.0</v>
      </c>
      <c r="P247" s="34" t="s">
        <v>48</v>
      </c>
      <c r="Q247" s="33" t="n">
        <f>1990</f>
        <v>1990.0</v>
      </c>
      <c r="R247" s="34" t="s">
        <v>49</v>
      </c>
      <c r="S247" s="35" t="n">
        <f>1914.45</f>
        <v>1914.45</v>
      </c>
      <c r="T247" s="32" t="n">
        <f>419245</f>
        <v>419245.0</v>
      </c>
      <c r="U247" s="32" t="n">
        <f>1110</f>
        <v>1110.0</v>
      </c>
      <c r="V247" s="32" t="n">
        <f>806270964</f>
        <v>8.06270964E8</v>
      </c>
      <c r="W247" s="32" t="n">
        <f>2153951</f>
        <v>2153951.0</v>
      </c>
      <c r="X247" s="36" t="n">
        <f>22</f>
        <v>22.0</v>
      </c>
    </row>
    <row r="248">
      <c r="A248" s="27" t="s">
        <v>42</v>
      </c>
      <c r="B248" s="27" t="s">
        <v>791</v>
      </c>
      <c r="C248" s="27" t="s">
        <v>792</v>
      </c>
      <c r="D248" s="27" t="s">
        <v>793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1.0</v>
      </c>
      <c r="K248" s="33" t="n">
        <f>2471</f>
        <v>2471.0</v>
      </c>
      <c r="L248" s="34" t="s">
        <v>48</v>
      </c>
      <c r="M248" s="33" t="n">
        <f>2560</f>
        <v>2560.0</v>
      </c>
      <c r="N248" s="34" t="s">
        <v>79</v>
      </c>
      <c r="O248" s="33" t="n">
        <f>2435</f>
        <v>2435.0</v>
      </c>
      <c r="P248" s="34" t="s">
        <v>61</v>
      </c>
      <c r="Q248" s="33" t="n">
        <f>2539</f>
        <v>2539.0</v>
      </c>
      <c r="R248" s="34" t="s">
        <v>49</v>
      </c>
      <c r="S248" s="35" t="n">
        <f>2495.45</f>
        <v>2495.45</v>
      </c>
      <c r="T248" s="32" t="n">
        <f>1264114</f>
        <v>1264114.0</v>
      </c>
      <c r="U248" s="32" t="n">
        <f>966860</f>
        <v>966860.0</v>
      </c>
      <c r="V248" s="32" t="n">
        <f>3137703182</f>
        <v>3.137703182E9</v>
      </c>
      <c r="W248" s="32" t="n">
        <f>2400261509</f>
        <v>2.400261509E9</v>
      </c>
      <c r="X248" s="36" t="n">
        <f>22</f>
        <v>22.0</v>
      </c>
    </row>
    <row r="249">
      <c r="A249" s="27" t="s">
        <v>42</v>
      </c>
      <c r="B249" s="27" t="s">
        <v>794</v>
      </c>
      <c r="C249" s="27" t="s">
        <v>795</v>
      </c>
      <c r="D249" s="27" t="s">
        <v>796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1.0</v>
      </c>
      <c r="K249" s="33" t="n">
        <f>12430</f>
        <v>12430.0</v>
      </c>
      <c r="L249" s="34" t="s">
        <v>48</v>
      </c>
      <c r="M249" s="33" t="n">
        <f>12680</f>
        <v>12680.0</v>
      </c>
      <c r="N249" s="34" t="s">
        <v>61</v>
      </c>
      <c r="O249" s="33" t="n">
        <f>11485</f>
        <v>11485.0</v>
      </c>
      <c r="P249" s="34" t="s">
        <v>79</v>
      </c>
      <c r="Q249" s="33" t="n">
        <f>11665</f>
        <v>11665.0</v>
      </c>
      <c r="R249" s="34" t="s">
        <v>49</v>
      </c>
      <c r="S249" s="35" t="n">
        <f>12103.18</f>
        <v>12103.18</v>
      </c>
      <c r="T249" s="32" t="n">
        <f>119689</f>
        <v>119689.0</v>
      </c>
      <c r="U249" s="32" t="n">
        <f>891</f>
        <v>891.0</v>
      </c>
      <c r="V249" s="32" t="n">
        <f>1463096224</f>
        <v>1.463096224E9</v>
      </c>
      <c r="W249" s="32" t="n">
        <f>10786399</f>
        <v>1.0786399E7</v>
      </c>
      <c r="X249" s="36" t="n">
        <f>22</f>
        <v>22.0</v>
      </c>
    </row>
    <row r="250">
      <c r="A250" s="27" t="s">
        <v>42</v>
      </c>
      <c r="B250" s="27" t="s">
        <v>797</v>
      </c>
      <c r="C250" s="27" t="s">
        <v>798</v>
      </c>
      <c r="D250" s="27" t="s">
        <v>799</v>
      </c>
      <c r="E250" s="28" t="s">
        <v>46</v>
      </c>
      <c r="F250" s="29" t="s">
        <v>46</v>
      </c>
      <c r="G250" s="30" t="s">
        <v>46</v>
      </c>
      <c r="H250" s="31"/>
      <c r="I250" s="31" t="s">
        <v>47</v>
      </c>
      <c r="J250" s="32" t="n">
        <v>1.0</v>
      </c>
      <c r="K250" s="33" t="n">
        <f>1629</f>
        <v>1629.0</v>
      </c>
      <c r="L250" s="34" t="s">
        <v>48</v>
      </c>
      <c r="M250" s="33" t="n">
        <f>2022</f>
        <v>2022.0</v>
      </c>
      <c r="N250" s="34" t="s">
        <v>586</v>
      </c>
      <c r="O250" s="33" t="n">
        <f>1580</f>
        <v>1580.0</v>
      </c>
      <c r="P250" s="34" t="s">
        <v>48</v>
      </c>
      <c r="Q250" s="33" t="n">
        <f>1960</f>
        <v>1960.0</v>
      </c>
      <c r="R250" s="34" t="s">
        <v>49</v>
      </c>
      <c r="S250" s="35" t="n">
        <f>1804.14</f>
        <v>1804.14</v>
      </c>
      <c r="T250" s="32" t="n">
        <f>903757</f>
        <v>903757.0</v>
      </c>
      <c r="U250" s="32" t="n">
        <f>253</f>
        <v>253.0</v>
      </c>
      <c r="V250" s="32" t="n">
        <f>1647217990</f>
        <v>1.64721799E9</v>
      </c>
      <c r="W250" s="32" t="n">
        <f>424432</f>
        <v>424432.0</v>
      </c>
      <c r="X250" s="36" t="n">
        <f>22</f>
        <v>22.0</v>
      </c>
    </row>
    <row r="251">
      <c r="A251" s="27" t="s">
        <v>42</v>
      </c>
      <c r="B251" s="27" t="s">
        <v>800</v>
      </c>
      <c r="C251" s="27" t="s">
        <v>801</v>
      </c>
      <c r="D251" s="27" t="s">
        <v>802</v>
      </c>
      <c r="E251" s="28" t="s">
        <v>46</v>
      </c>
      <c r="F251" s="29" t="s">
        <v>46</v>
      </c>
      <c r="G251" s="30" t="s">
        <v>46</v>
      </c>
      <c r="H251" s="31"/>
      <c r="I251" s="31" t="s">
        <v>47</v>
      </c>
      <c r="J251" s="32" t="n">
        <v>10.0</v>
      </c>
      <c r="K251" s="33" t="n">
        <f>284.7</f>
        <v>284.7</v>
      </c>
      <c r="L251" s="34" t="s">
        <v>48</v>
      </c>
      <c r="M251" s="33" t="n">
        <f>306.4</f>
        <v>306.4</v>
      </c>
      <c r="N251" s="34" t="s">
        <v>49</v>
      </c>
      <c r="O251" s="33" t="n">
        <f>270</f>
        <v>270.0</v>
      </c>
      <c r="P251" s="34" t="s">
        <v>48</v>
      </c>
      <c r="Q251" s="33" t="n">
        <f>302.9</f>
        <v>302.9</v>
      </c>
      <c r="R251" s="34" t="s">
        <v>49</v>
      </c>
      <c r="S251" s="35" t="n">
        <f>290.8</f>
        <v>290.8</v>
      </c>
      <c r="T251" s="32" t="n">
        <f>12940</f>
        <v>12940.0</v>
      </c>
      <c r="U251" s="32" t="n">
        <f>70</f>
        <v>70.0</v>
      </c>
      <c r="V251" s="32" t="n">
        <f>3765863</f>
        <v>3765863.0</v>
      </c>
      <c r="W251" s="32" t="n">
        <f>20428</f>
        <v>20428.0</v>
      </c>
      <c r="X251" s="36" t="n">
        <f>21</f>
        <v>21.0</v>
      </c>
    </row>
    <row r="252">
      <c r="A252" s="27" t="s">
        <v>42</v>
      </c>
      <c r="B252" s="27" t="s">
        <v>803</v>
      </c>
      <c r="C252" s="27" t="s">
        <v>804</v>
      </c>
      <c r="D252" s="27" t="s">
        <v>805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10.0</v>
      </c>
      <c r="K252" s="33" t="n">
        <f>813.3</f>
        <v>813.3</v>
      </c>
      <c r="L252" s="34" t="s">
        <v>48</v>
      </c>
      <c r="M252" s="33" t="n">
        <f>834.9</f>
        <v>834.9</v>
      </c>
      <c r="N252" s="34" t="s">
        <v>87</v>
      </c>
      <c r="O252" s="33" t="n">
        <f>801.3</f>
        <v>801.3</v>
      </c>
      <c r="P252" s="34" t="s">
        <v>61</v>
      </c>
      <c r="Q252" s="33" t="n">
        <f>809</f>
        <v>809.0</v>
      </c>
      <c r="R252" s="34" t="s">
        <v>49</v>
      </c>
      <c r="S252" s="35" t="n">
        <f>811.01</f>
        <v>811.01</v>
      </c>
      <c r="T252" s="32" t="n">
        <f>2844790</f>
        <v>2844790.0</v>
      </c>
      <c r="U252" s="32" t="n">
        <f>1240630</f>
        <v>1240630.0</v>
      </c>
      <c r="V252" s="32" t="n">
        <f>2294414877</f>
        <v>2.294414877E9</v>
      </c>
      <c r="W252" s="32" t="n">
        <f>1000005909</f>
        <v>1.000005909E9</v>
      </c>
      <c r="X252" s="36" t="n">
        <f>22</f>
        <v>22.0</v>
      </c>
    </row>
    <row r="253">
      <c r="A253" s="27" t="s">
        <v>42</v>
      </c>
      <c r="B253" s="27" t="s">
        <v>806</v>
      </c>
      <c r="C253" s="27" t="s">
        <v>807</v>
      </c>
      <c r="D253" s="27" t="s">
        <v>808</v>
      </c>
      <c r="E253" s="28" t="s">
        <v>46</v>
      </c>
      <c r="F253" s="29" t="s">
        <v>46</v>
      </c>
      <c r="G253" s="30" t="s">
        <v>46</v>
      </c>
      <c r="H253" s="31"/>
      <c r="I253" s="31" t="s">
        <v>47</v>
      </c>
      <c r="J253" s="32" t="n">
        <v>1.0</v>
      </c>
      <c r="K253" s="33" t="n">
        <f>1215</f>
        <v>1215.0</v>
      </c>
      <c r="L253" s="34" t="s">
        <v>48</v>
      </c>
      <c r="M253" s="33" t="n">
        <f>1309</f>
        <v>1309.0</v>
      </c>
      <c r="N253" s="34" t="s">
        <v>106</v>
      </c>
      <c r="O253" s="33" t="n">
        <f>1208</f>
        <v>1208.0</v>
      </c>
      <c r="P253" s="34" t="s">
        <v>48</v>
      </c>
      <c r="Q253" s="33" t="n">
        <f>1255</f>
        <v>1255.0</v>
      </c>
      <c r="R253" s="34" t="s">
        <v>49</v>
      </c>
      <c r="S253" s="35" t="n">
        <f>1248.27</f>
        <v>1248.27</v>
      </c>
      <c r="T253" s="32" t="n">
        <f>57171</f>
        <v>57171.0</v>
      </c>
      <c r="U253" s="32" t="str">
        <f>"－"</f>
        <v>－</v>
      </c>
      <c r="V253" s="32" t="n">
        <f>71935160</f>
        <v>7.193516E7</v>
      </c>
      <c r="W253" s="32" t="str">
        <f>"－"</f>
        <v>－</v>
      </c>
      <c r="X253" s="36" t="n">
        <f>22</f>
        <v>22.0</v>
      </c>
    </row>
    <row r="254">
      <c r="A254" s="27" t="s">
        <v>42</v>
      </c>
      <c r="B254" s="27" t="s">
        <v>809</v>
      </c>
      <c r="C254" s="27" t="s">
        <v>810</v>
      </c>
      <c r="D254" s="27" t="s">
        <v>811</v>
      </c>
      <c r="E254" s="28" t="s">
        <v>46</v>
      </c>
      <c r="F254" s="29" t="s">
        <v>46</v>
      </c>
      <c r="G254" s="30" t="s">
        <v>46</v>
      </c>
      <c r="H254" s="31"/>
      <c r="I254" s="31" t="s">
        <v>47</v>
      </c>
      <c r="J254" s="32" t="n">
        <v>1.0</v>
      </c>
      <c r="K254" s="33" t="n">
        <f>1116</f>
        <v>1116.0</v>
      </c>
      <c r="L254" s="34" t="s">
        <v>48</v>
      </c>
      <c r="M254" s="33" t="n">
        <f>1149</f>
        <v>1149.0</v>
      </c>
      <c r="N254" s="34" t="s">
        <v>106</v>
      </c>
      <c r="O254" s="33" t="n">
        <f>1095</f>
        <v>1095.0</v>
      </c>
      <c r="P254" s="34" t="s">
        <v>61</v>
      </c>
      <c r="Q254" s="33" t="n">
        <f>1123</f>
        <v>1123.0</v>
      </c>
      <c r="R254" s="34" t="s">
        <v>49</v>
      </c>
      <c r="S254" s="35" t="n">
        <f>1123.68</f>
        <v>1123.68</v>
      </c>
      <c r="T254" s="32" t="n">
        <f>225423</f>
        <v>225423.0</v>
      </c>
      <c r="U254" s="32" t="str">
        <f>"－"</f>
        <v>－</v>
      </c>
      <c r="V254" s="32" t="n">
        <f>252223629</f>
        <v>2.52223629E8</v>
      </c>
      <c r="W254" s="32" t="str">
        <f>"－"</f>
        <v>－</v>
      </c>
      <c r="X254" s="36" t="n">
        <f>22</f>
        <v>22.0</v>
      </c>
    </row>
    <row r="255">
      <c r="A255" s="27" t="s">
        <v>42</v>
      </c>
      <c r="B255" s="27" t="s">
        <v>812</v>
      </c>
      <c r="C255" s="27" t="s">
        <v>813</v>
      </c>
      <c r="D255" s="27" t="s">
        <v>814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1.0</v>
      </c>
      <c r="K255" s="33" t="n">
        <f>1359</f>
        <v>1359.0</v>
      </c>
      <c r="L255" s="34" t="s">
        <v>48</v>
      </c>
      <c r="M255" s="33" t="n">
        <f>1594</f>
        <v>1594.0</v>
      </c>
      <c r="N255" s="34" t="s">
        <v>48</v>
      </c>
      <c r="O255" s="33" t="n">
        <f>1134</f>
        <v>1134.0</v>
      </c>
      <c r="P255" s="34" t="s">
        <v>61</v>
      </c>
      <c r="Q255" s="33" t="n">
        <f>1250</f>
        <v>1250.0</v>
      </c>
      <c r="R255" s="34" t="s">
        <v>49</v>
      </c>
      <c r="S255" s="35" t="n">
        <f>1223</f>
        <v>1223.0</v>
      </c>
      <c r="T255" s="32" t="n">
        <f>1601941</f>
        <v>1601941.0</v>
      </c>
      <c r="U255" s="32" t="n">
        <f>30</f>
        <v>30.0</v>
      </c>
      <c r="V255" s="32" t="n">
        <f>1999378332</f>
        <v>1.999378332E9</v>
      </c>
      <c r="W255" s="32" t="n">
        <f>37890</f>
        <v>37890.0</v>
      </c>
      <c r="X255" s="36" t="n">
        <f>22</f>
        <v>22.0</v>
      </c>
    </row>
    <row r="256">
      <c r="A256" s="27" t="s">
        <v>42</v>
      </c>
      <c r="B256" s="27" t="s">
        <v>815</v>
      </c>
      <c r="C256" s="27" t="s">
        <v>816</v>
      </c>
      <c r="D256" s="27" t="s">
        <v>817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10.0</v>
      </c>
      <c r="K256" s="33" t="n">
        <f>203.4</f>
        <v>203.4</v>
      </c>
      <c r="L256" s="34" t="s">
        <v>48</v>
      </c>
      <c r="M256" s="33" t="n">
        <f>213.7</f>
        <v>213.7</v>
      </c>
      <c r="N256" s="34" t="s">
        <v>203</v>
      </c>
      <c r="O256" s="33" t="n">
        <f>200.6</f>
        <v>200.6</v>
      </c>
      <c r="P256" s="34" t="s">
        <v>48</v>
      </c>
      <c r="Q256" s="33" t="n">
        <f>211.4</f>
        <v>211.4</v>
      </c>
      <c r="R256" s="34" t="s">
        <v>49</v>
      </c>
      <c r="S256" s="35" t="n">
        <f>208.63</f>
        <v>208.63</v>
      </c>
      <c r="T256" s="32" t="n">
        <f>3865410</f>
        <v>3865410.0</v>
      </c>
      <c r="U256" s="32" t="n">
        <f>35980</f>
        <v>35980.0</v>
      </c>
      <c r="V256" s="32" t="n">
        <f>807018898</f>
        <v>8.07018898E8</v>
      </c>
      <c r="W256" s="32" t="n">
        <f>7538982</f>
        <v>7538982.0</v>
      </c>
      <c r="X256" s="36" t="n">
        <f>22</f>
        <v>22.0</v>
      </c>
    </row>
    <row r="257">
      <c r="A257" s="27" t="s">
        <v>42</v>
      </c>
      <c r="B257" s="27" t="s">
        <v>818</v>
      </c>
      <c r="C257" s="27" t="s">
        <v>819</v>
      </c>
      <c r="D257" s="27" t="s">
        <v>820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10.0</v>
      </c>
      <c r="K257" s="33" t="n">
        <f>213</f>
        <v>213.0</v>
      </c>
      <c r="L257" s="34" t="s">
        <v>48</v>
      </c>
      <c r="M257" s="33" t="n">
        <f>219.9</f>
        <v>219.9</v>
      </c>
      <c r="N257" s="34" t="s">
        <v>106</v>
      </c>
      <c r="O257" s="33" t="n">
        <f>210.1</f>
        <v>210.1</v>
      </c>
      <c r="P257" s="34" t="s">
        <v>48</v>
      </c>
      <c r="Q257" s="33" t="n">
        <f>219.7</f>
        <v>219.7</v>
      </c>
      <c r="R257" s="34" t="s">
        <v>49</v>
      </c>
      <c r="S257" s="35" t="n">
        <f>216.37</f>
        <v>216.37</v>
      </c>
      <c r="T257" s="32" t="n">
        <f>1455050</f>
        <v>1455050.0</v>
      </c>
      <c r="U257" s="32" t="n">
        <f>9450</f>
        <v>9450.0</v>
      </c>
      <c r="V257" s="32" t="n">
        <f>314984219</f>
        <v>3.14984219E8</v>
      </c>
      <c r="W257" s="32" t="n">
        <f>2040059</f>
        <v>2040059.0</v>
      </c>
      <c r="X257" s="36" t="n">
        <f>22</f>
        <v>22.0</v>
      </c>
    </row>
    <row r="258">
      <c r="A258" s="27" t="s">
        <v>42</v>
      </c>
      <c r="B258" s="27" t="s">
        <v>821</v>
      </c>
      <c r="C258" s="27" t="s">
        <v>822</v>
      </c>
      <c r="D258" s="27" t="s">
        <v>823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10.0</v>
      </c>
      <c r="K258" s="33" t="n">
        <f>213.6</f>
        <v>213.6</v>
      </c>
      <c r="L258" s="34" t="s">
        <v>48</v>
      </c>
      <c r="M258" s="33" t="n">
        <f>227</f>
        <v>227.0</v>
      </c>
      <c r="N258" s="34" t="s">
        <v>229</v>
      </c>
      <c r="O258" s="33" t="n">
        <f>213.2</f>
        <v>213.2</v>
      </c>
      <c r="P258" s="34" t="s">
        <v>48</v>
      </c>
      <c r="Q258" s="33" t="n">
        <f>221.4</f>
        <v>221.4</v>
      </c>
      <c r="R258" s="34" t="s">
        <v>49</v>
      </c>
      <c r="S258" s="35" t="n">
        <f>218.92</f>
        <v>218.92</v>
      </c>
      <c r="T258" s="32" t="n">
        <f>701260</f>
        <v>701260.0</v>
      </c>
      <c r="U258" s="32" t="n">
        <f>26970</f>
        <v>26970.0</v>
      </c>
      <c r="V258" s="32" t="n">
        <f>153907560</f>
        <v>1.5390756E8</v>
      </c>
      <c r="W258" s="32" t="n">
        <f>5959010</f>
        <v>5959010.0</v>
      </c>
      <c r="X258" s="36" t="n">
        <f>22</f>
        <v>22.0</v>
      </c>
    </row>
    <row r="259">
      <c r="A259" s="27" t="s">
        <v>42</v>
      </c>
      <c r="B259" s="27" t="s">
        <v>824</v>
      </c>
      <c r="C259" s="27" t="s">
        <v>825</v>
      </c>
      <c r="D259" s="27" t="s">
        <v>826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10.0</v>
      </c>
      <c r="K259" s="33" t="n">
        <f>217</f>
        <v>217.0</v>
      </c>
      <c r="L259" s="34" t="s">
        <v>48</v>
      </c>
      <c r="M259" s="33" t="n">
        <f>223.2</f>
        <v>223.2</v>
      </c>
      <c r="N259" s="34" t="s">
        <v>202</v>
      </c>
      <c r="O259" s="33" t="n">
        <f>214.7</f>
        <v>214.7</v>
      </c>
      <c r="P259" s="34" t="s">
        <v>61</v>
      </c>
      <c r="Q259" s="33" t="n">
        <f>221.8</f>
        <v>221.8</v>
      </c>
      <c r="R259" s="34" t="s">
        <v>49</v>
      </c>
      <c r="S259" s="35" t="n">
        <f>218.9</f>
        <v>218.9</v>
      </c>
      <c r="T259" s="32" t="n">
        <f>1282570</f>
        <v>1282570.0</v>
      </c>
      <c r="U259" s="32" t="n">
        <f>14030</f>
        <v>14030.0</v>
      </c>
      <c r="V259" s="32" t="n">
        <f>280750208</f>
        <v>2.80750208E8</v>
      </c>
      <c r="W259" s="32" t="n">
        <f>3067853</f>
        <v>3067853.0</v>
      </c>
      <c r="X259" s="36" t="n">
        <f>22</f>
        <v>22.0</v>
      </c>
    </row>
    <row r="260">
      <c r="A260" s="27" t="s">
        <v>42</v>
      </c>
      <c r="B260" s="27" t="s">
        <v>827</v>
      </c>
      <c r="C260" s="27" t="s">
        <v>828</v>
      </c>
      <c r="D260" s="27" t="s">
        <v>829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10.0</v>
      </c>
      <c r="K260" s="33" t="n">
        <f>191.3</f>
        <v>191.3</v>
      </c>
      <c r="L260" s="34" t="s">
        <v>48</v>
      </c>
      <c r="M260" s="33" t="n">
        <f>195</f>
        <v>195.0</v>
      </c>
      <c r="N260" s="34" t="s">
        <v>262</v>
      </c>
      <c r="O260" s="33" t="n">
        <f>188.6</f>
        <v>188.6</v>
      </c>
      <c r="P260" s="34" t="s">
        <v>116</v>
      </c>
      <c r="Q260" s="33" t="n">
        <f>190.7</f>
        <v>190.7</v>
      </c>
      <c r="R260" s="34" t="s">
        <v>49</v>
      </c>
      <c r="S260" s="35" t="n">
        <f>190.5</f>
        <v>190.5</v>
      </c>
      <c r="T260" s="32" t="n">
        <f>8589560</f>
        <v>8589560.0</v>
      </c>
      <c r="U260" s="32" t="n">
        <f>156100</f>
        <v>156100.0</v>
      </c>
      <c r="V260" s="32" t="n">
        <f>1638091039</f>
        <v>1.638091039E9</v>
      </c>
      <c r="W260" s="32" t="n">
        <f>29737044</f>
        <v>2.9737044E7</v>
      </c>
      <c r="X260" s="36" t="n">
        <f>22</f>
        <v>22.0</v>
      </c>
    </row>
    <row r="261">
      <c r="A261" s="27" t="s">
        <v>42</v>
      </c>
      <c r="B261" s="27" t="s">
        <v>830</v>
      </c>
      <c r="C261" s="27" t="s">
        <v>831</v>
      </c>
      <c r="D261" s="27" t="s">
        <v>832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1.0</v>
      </c>
      <c r="K261" s="33" t="n">
        <f>1929</f>
        <v>1929.0</v>
      </c>
      <c r="L261" s="34" t="s">
        <v>48</v>
      </c>
      <c r="M261" s="33" t="n">
        <f>2147</f>
        <v>2147.0</v>
      </c>
      <c r="N261" s="34" t="s">
        <v>233</v>
      </c>
      <c r="O261" s="33" t="n">
        <f>1922</f>
        <v>1922.0</v>
      </c>
      <c r="P261" s="34" t="s">
        <v>48</v>
      </c>
      <c r="Q261" s="33" t="n">
        <f>2104</f>
        <v>2104.0</v>
      </c>
      <c r="R261" s="34" t="s">
        <v>49</v>
      </c>
      <c r="S261" s="35" t="n">
        <f>2049.91</f>
        <v>2049.91</v>
      </c>
      <c r="T261" s="32" t="n">
        <f>830990</f>
        <v>830990.0</v>
      </c>
      <c r="U261" s="32" t="n">
        <f>979</f>
        <v>979.0</v>
      </c>
      <c r="V261" s="32" t="n">
        <f>1714602492</f>
        <v>1.714602492E9</v>
      </c>
      <c r="W261" s="32" t="n">
        <f>2046340</f>
        <v>2046340.0</v>
      </c>
      <c r="X261" s="36" t="n">
        <f>22</f>
        <v>22.0</v>
      </c>
    </row>
    <row r="262">
      <c r="A262" s="27" t="s">
        <v>42</v>
      </c>
      <c r="B262" s="27" t="s">
        <v>833</v>
      </c>
      <c r="C262" s="27" t="s">
        <v>834</v>
      </c>
      <c r="D262" s="27" t="s">
        <v>835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1.0</v>
      </c>
      <c r="K262" s="33" t="n">
        <f>1183</f>
        <v>1183.0</v>
      </c>
      <c r="L262" s="34" t="s">
        <v>48</v>
      </c>
      <c r="M262" s="33" t="n">
        <f>1279</f>
        <v>1279.0</v>
      </c>
      <c r="N262" s="34" t="s">
        <v>68</v>
      </c>
      <c r="O262" s="33" t="n">
        <f>1160</f>
        <v>1160.0</v>
      </c>
      <c r="P262" s="34" t="s">
        <v>50</v>
      </c>
      <c r="Q262" s="33" t="n">
        <f>1234</f>
        <v>1234.0</v>
      </c>
      <c r="R262" s="34" t="s">
        <v>49</v>
      </c>
      <c r="S262" s="35" t="n">
        <f>1208.45</f>
        <v>1208.45</v>
      </c>
      <c r="T262" s="32" t="n">
        <f>498060</f>
        <v>498060.0</v>
      </c>
      <c r="U262" s="32" t="n">
        <f>330440</f>
        <v>330440.0</v>
      </c>
      <c r="V262" s="32" t="n">
        <f>600552270</f>
        <v>6.0055227E8</v>
      </c>
      <c r="W262" s="32" t="n">
        <f>401160980</f>
        <v>4.0116098E8</v>
      </c>
      <c r="X262" s="36" t="n">
        <f>22</f>
        <v>22.0</v>
      </c>
    </row>
    <row r="263">
      <c r="A263" s="27" t="s">
        <v>42</v>
      </c>
      <c r="B263" s="27" t="s">
        <v>836</v>
      </c>
      <c r="C263" s="27" t="s">
        <v>837</v>
      </c>
      <c r="D263" s="27" t="s">
        <v>838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1.0</v>
      </c>
      <c r="K263" s="33" t="n">
        <f>1148</f>
        <v>1148.0</v>
      </c>
      <c r="L263" s="34" t="s">
        <v>48</v>
      </c>
      <c r="M263" s="33" t="n">
        <f>1195</f>
        <v>1195.0</v>
      </c>
      <c r="N263" s="34" t="s">
        <v>68</v>
      </c>
      <c r="O263" s="33" t="n">
        <f>1121</f>
        <v>1121.0</v>
      </c>
      <c r="P263" s="34" t="s">
        <v>50</v>
      </c>
      <c r="Q263" s="33" t="n">
        <f>1173</f>
        <v>1173.0</v>
      </c>
      <c r="R263" s="34" t="s">
        <v>49</v>
      </c>
      <c r="S263" s="35" t="n">
        <f>1157.41</f>
        <v>1157.41</v>
      </c>
      <c r="T263" s="32" t="n">
        <f>1392814</f>
        <v>1392814.0</v>
      </c>
      <c r="U263" s="32" t="n">
        <f>244210</f>
        <v>244210.0</v>
      </c>
      <c r="V263" s="32" t="n">
        <f>1615976380</f>
        <v>1.61597638E9</v>
      </c>
      <c r="W263" s="32" t="n">
        <f>282373380</f>
        <v>2.8237338E8</v>
      </c>
      <c r="X263" s="36" t="n">
        <f>22</f>
        <v>22.0</v>
      </c>
    </row>
    <row r="264">
      <c r="A264" s="27" t="s">
        <v>42</v>
      </c>
      <c r="B264" s="27" t="s">
        <v>839</v>
      </c>
      <c r="C264" s="27" t="s">
        <v>840</v>
      </c>
      <c r="D264" s="27" t="s">
        <v>841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10.0</v>
      </c>
      <c r="K264" s="33" t="n">
        <f>474.6</f>
        <v>474.6</v>
      </c>
      <c r="L264" s="34" t="s">
        <v>48</v>
      </c>
      <c r="M264" s="33" t="n">
        <f>480.1</f>
        <v>480.1</v>
      </c>
      <c r="N264" s="34" t="s">
        <v>116</v>
      </c>
      <c r="O264" s="33" t="n">
        <f>471.7</f>
        <v>471.7</v>
      </c>
      <c r="P264" s="34" t="s">
        <v>79</v>
      </c>
      <c r="Q264" s="33" t="n">
        <f>474.4</f>
        <v>474.4</v>
      </c>
      <c r="R264" s="34" t="s">
        <v>49</v>
      </c>
      <c r="S264" s="35" t="n">
        <f>474.24</f>
        <v>474.24</v>
      </c>
      <c r="T264" s="32" t="n">
        <f>1212990</f>
        <v>1212990.0</v>
      </c>
      <c r="U264" s="32" t="n">
        <f>339140</f>
        <v>339140.0</v>
      </c>
      <c r="V264" s="32" t="n">
        <f>574550443</f>
        <v>5.74550443E8</v>
      </c>
      <c r="W264" s="32" t="n">
        <f>161005785</f>
        <v>1.61005785E8</v>
      </c>
      <c r="X264" s="36" t="n">
        <f>22</f>
        <v>22.0</v>
      </c>
    </row>
    <row r="265">
      <c r="A265" s="27" t="s">
        <v>42</v>
      </c>
      <c r="B265" s="27" t="s">
        <v>842</v>
      </c>
      <c r="C265" s="27" t="s">
        <v>843</v>
      </c>
      <c r="D265" s="27" t="s">
        <v>844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10.0</v>
      </c>
      <c r="K265" s="33" t="n">
        <f>164.4</f>
        <v>164.4</v>
      </c>
      <c r="L265" s="34" t="s">
        <v>48</v>
      </c>
      <c r="M265" s="33" t="n">
        <f>176.5</f>
        <v>176.5</v>
      </c>
      <c r="N265" s="34" t="s">
        <v>60</v>
      </c>
      <c r="O265" s="33" t="n">
        <f>163</f>
        <v>163.0</v>
      </c>
      <c r="P265" s="34" t="s">
        <v>48</v>
      </c>
      <c r="Q265" s="33" t="n">
        <f>171.7</f>
        <v>171.7</v>
      </c>
      <c r="R265" s="34" t="s">
        <v>49</v>
      </c>
      <c r="S265" s="35" t="n">
        <f>170.12</f>
        <v>170.12</v>
      </c>
      <c r="T265" s="32" t="n">
        <f>11646430</f>
        <v>1.164643E7</v>
      </c>
      <c r="U265" s="32" t="n">
        <f>2189780</f>
        <v>2189780.0</v>
      </c>
      <c r="V265" s="32" t="n">
        <f>1981867119</f>
        <v>1.981867119E9</v>
      </c>
      <c r="W265" s="32" t="n">
        <f>377530694</f>
        <v>3.77530694E8</v>
      </c>
      <c r="X265" s="36" t="n">
        <f>22</f>
        <v>22.0</v>
      </c>
    </row>
    <row r="266">
      <c r="A266" s="27" t="s">
        <v>42</v>
      </c>
      <c r="B266" s="27" t="s">
        <v>845</v>
      </c>
      <c r="C266" s="27" t="s">
        <v>846</v>
      </c>
      <c r="D266" s="27" t="s">
        <v>847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10.0</v>
      </c>
      <c r="K266" s="33" t="n">
        <f>150.1</f>
        <v>150.1</v>
      </c>
      <c r="L266" s="34" t="s">
        <v>48</v>
      </c>
      <c r="M266" s="33" t="n">
        <f>155.5</f>
        <v>155.5</v>
      </c>
      <c r="N266" s="34" t="s">
        <v>203</v>
      </c>
      <c r="O266" s="33" t="n">
        <f>147.5</f>
        <v>147.5</v>
      </c>
      <c r="P266" s="34" t="s">
        <v>116</v>
      </c>
      <c r="Q266" s="33" t="n">
        <f>151.1</f>
        <v>151.1</v>
      </c>
      <c r="R266" s="34" t="s">
        <v>49</v>
      </c>
      <c r="S266" s="35" t="n">
        <f>151.76</f>
        <v>151.76</v>
      </c>
      <c r="T266" s="32" t="n">
        <f>11639450</f>
        <v>1.163945E7</v>
      </c>
      <c r="U266" s="32" t="n">
        <f>1881500</f>
        <v>1881500.0</v>
      </c>
      <c r="V266" s="32" t="n">
        <f>1773301968</f>
        <v>1.773301968E9</v>
      </c>
      <c r="W266" s="32" t="n">
        <f>288902543</f>
        <v>2.88902543E8</v>
      </c>
      <c r="X266" s="36" t="n">
        <f>22</f>
        <v>22.0</v>
      </c>
    </row>
    <row r="267">
      <c r="A267" s="27" t="s">
        <v>42</v>
      </c>
      <c r="B267" s="27" t="s">
        <v>848</v>
      </c>
      <c r="C267" s="27" t="s">
        <v>849</v>
      </c>
      <c r="D267" s="27" t="s">
        <v>850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10.0</v>
      </c>
      <c r="K267" s="33" t="n">
        <f>859.7</f>
        <v>859.7</v>
      </c>
      <c r="L267" s="34" t="s">
        <v>48</v>
      </c>
      <c r="M267" s="33" t="n">
        <f>861.1</f>
        <v>861.1</v>
      </c>
      <c r="N267" s="34" t="s">
        <v>79</v>
      </c>
      <c r="O267" s="33" t="n">
        <f>852.6</f>
        <v>852.6</v>
      </c>
      <c r="P267" s="34" t="s">
        <v>262</v>
      </c>
      <c r="Q267" s="33" t="n">
        <f>859</f>
        <v>859.0</v>
      </c>
      <c r="R267" s="34" t="s">
        <v>49</v>
      </c>
      <c r="S267" s="35" t="n">
        <f>857.22</f>
        <v>857.22</v>
      </c>
      <c r="T267" s="32" t="n">
        <f>11222590</f>
        <v>1.122259E7</v>
      </c>
      <c r="U267" s="32" t="n">
        <f>6130690</f>
        <v>6130690.0</v>
      </c>
      <c r="V267" s="32" t="n">
        <f>9620117284</f>
        <v>9.620117284E9</v>
      </c>
      <c r="W267" s="32" t="n">
        <f>5255337158</f>
        <v>5.255337158E9</v>
      </c>
      <c r="X267" s="36" t="n">
        <f>22</f>
        <v>22.0</v>
      </c>
    </row>
    <row r="268">
      <c r="A268" s="27" t="s">
        <v>42</v>
      </c>
      <c r="B268" s="27" t="s">
        <v>851</v>
      </c>
      <c r="C268" s="27" t="s">
        <v>852</v>
      </c>
      <c r="D268" s="27" t="s">
        <v>853</v>
      </c>
      <c r="E268" s="28" t="s">
        <v>46</v>
      </c>
      <c r="F268" s="29" t="s">
        <v>46</v>
      </c>
      <c r="G268" s="30" t="s">
        <v>46</v>
      </c>
      <c r="H268" s="31"/>
      <c r="I268" s="31" t="s">
        <v>47</v>
      </c>
      <c r="J268" s="32" t="n">
        <v>10.0</v>
      </c>
      <c r="K268" s="33" t="n">
        <f>1106</f>
        <v>1106.0</v>
      </c>
      <c r="L268" s="34" t="s">
        <v>48</v>
      </c>
      <c r="M268" s="33" t="n">
        <f>1155</f>
        <v>1155.0</v>
      </c>
      <c r="N268" s="34" t="s">
        <v>49</v>
      </c>
      <c r="O268" s="33" t="n">
        <f>1097.5</f>
        <v>1097.5</v>
      </c>
      <c r="P268" s="34" t="s">
        <v>50</v>
      </c>
      <c r="Q268" s="33" t="n">
        <f>1155</f>
        <v>1155.0</v>
      </c>
      <c r="R268" s="34" t="s">
        <v>49</v>
      </c>
      <c r="S268" s="35" t="n">
        <f>1132.52</f>
        <v>1132.52</v>
      </c>
      <c r="T268" s="32" t="n">
        <f>2989030</f>
        <v>2989030.0</v>
      </c>
      <c r="U268" s="32" t="n">
        <f>2031800</f>
        <v>2031800.0</v>
      </c>
      <c r="V268" s="32" t="n">
        <f>3388851994</f>
        <v>3.388851994E9</v>
      </c>
      <c r="W268" s="32" t="n">
        <f>2305233804</f>
        <v>2.305233804E9</v>
      </c>
      <c r="X268" s="36" t="n">
        <f>22</f>
        <v>22.0</v>
      </c>
    </row>
    <row r="269">
      <c r="A269" s="27" t="s">
        <v>42</v>
      </c>
      <c r="B269" s="27" t="s">
        <v>854</v>
      </c>
      <c r="C269" s="27" t="s">
        <v>855</v>
      </c>
      <c r="D269" s="27" t="s">
        <v>856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10.0</v>
      </c>
      <c r="K269" s="33" t="n">
        <f>753</f>
        <v>753.0</v>
      </c>
      <c r="L269" s="34" t="s">
        <v>48</v>
      </c>
      <c r="M269" s="33" t="n">
        <f>766</f>
        <v>766.0</v>
      </c>
      <c r="N269" s="34" t="s">
        <v>61</v>
      </c>
      <c r="O269" s="33" t="n">
        <f>749.6</f>
        <v>749.6</v>
      </c>
      <c r="P269" s="34" t="s">
        <v>69</v>
      </c>
      <c r="Q269" s="33" t="n">
        <f>755.2</f>
        <v>755.2</v>
      </c>
      <c r="R269" s="34" t="s">
        <v>49</v>
      </c>
      <c r="S269" s="35" t="n">
        <f>756.63</f>
        <v>756.63</v>
      </c>
      <c r="T269" s="32" t="n">
        <f>10859830</f>
        <v>1.085983E7</v>
      </c>
      <c r="U269" s="32" t="n">
        <f>9572640</f>
        <v>9572640.0</v>
      </c>
      <c r="V269" s="32" t="n">
        <f>8206962282</f>
        <v>8.206962282E9</v>
      </c>
      <c r="W269" s="32" t="n">
        <f>7228903783</f>
        <v>7.228903783E9</v>
      </c>
      <c r="X269" s="36" t="n">
        <f>22</f>
        <v>22.0</v>
      </c>
    </row>
    <row r="270">
      <c r="A270" s="27" t="s">
        <v>42</v>
      </c>
      <c r="B270" s="27" t="s">
        <v>857</v>
      </c>
      <c r="C270" s="27" t="s">
        <v>858</v>
      </c>
      <c r="D270" s="27" t="s">
        <v>859</v>
      </c>
      <c r="E270" s="28" t="s">
        <v>46</v>
      </c>
      <c r="F270" s="29" t="s">
        <v>46</v>
      </c>
      <c r="G270" s="30" t="s">
        <v>46</v>
      </c>
      <c r="H270" s="31"/>
      <c r="I270" s="31" t="s">
        <v>47</v>
      </c>
      <c r="J270" s="32" t="n">
        <v>10.0</v>
      </c>
      <c r="K270" s="33" t="n">
        <f>2910.5</f>
        <v>2910.5</v>
      </c>
      <c r="L270" s="34" t="s">
        <v>48</v>
      </c>
      <c r="M270" s="33" t="n">
        <f>3113</f>
        <v>3113.0</v>
      </c>
      <c r="N270" s="34" t="s">
        <v>79</v>
      </c>
      <c r="O270" s="33" t="n">
        <f>2894</f>
        <v>2894.0</v>
      </c>
      <c r="P270" s="34" t="s">
        <v>48</v>
      </c>
      <c r="Q270" s="33" t="n">
        <f>3106</f>
        <v>3106.0</v>
      </c>
      <c r="R270" s="34" t="s">
        <v>49</v>
      </c>
      <c r="S270" s="35" t="n">
        <f>3011.3</f>
        <v>3011.3</v>
      </c>
      <c r="T270" s="32" t="n">
        <f>1688180</f>
        <v>1688180.0</v>
      </c>
      <c r="U270" s="32" t="n">
        <f>690380</f>
        <v>690380.0</v>
      </c>
      <c r="V270" s="32" t="n">
        <f>5100248131</f>
        <v>5.100248131E9</v>
      </c>
      <c r="W270" s="32" t="n">
        <f>2087010826</f>
        <v>2.087010826E9</v>
      </c>
      <c r="X270" s="36" t="n">
        <f>22</f>
        <v>22.0</v>
      </c>
    </row>
    <row r="271">
      <c r="A271" s="27" t="s">
        <v>42</v>
      </c>
      <c r="B271" s="27" t="s">
        <v>860</v>
      </c>
      <c r="C271" s="27" t="s">
        <v>861</v>
      </c>
      <c r="D271" s="27" t="s">
        <v>862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10.0</v>
      </c>
      <c r="K271" s="33" t="n">
        <f>1814.5</f>
        <v>1814.5</v>
      </c>
      <c r="L271" s="34" t="s">
        <v>48</v>
      </c>
      <c r="M271" s="33" t="n">
        <f>1876.5</f>
        <v>1876.5</v>
      </c>
      <c r="N271" s="34" t="s">
        <v>68</v>
      </c>
      <c r="O271" s="33" t="n">
        <f>1799</f>
        <v>1799.0</v>
      </c>
      <c r="P271" s="34" t="s">
        <v>48</v>
      </c>
      <c r="Q271" s="33" t="n">
        <f>1861.5</f>
        <v>1861.5</v>
      </c>
      <c r="R271" s="34" t="s">
        <v>49</v>
      </c>
      <c r="S271" s="35" t="n">
        <f>1835.55</f>
        <v>1835.55</v>
      </c>
      <c r="T271" s="32" t="n">
        <f>127470</f>
        <v>127470.0</v>
      </c>
      <c r="U271" s="32" t="n">
        <f>75980</f>
        <v>75980.0</v>
      </c>
      <c r="V271" s="32" t="n">
        <f>233057571</f>
        <v>2.33057571E8</v>
      </c>
      <c r="W271" s="32" t="n">
        <f>138004076</f>
        <v>1.38004076E8</v>
      </c>
      <c r="X271" s="36" t="n">
        <f>22</f>
        <v>22.0</v>
      </c>
    </row>
    <row r="272">
      <c r="A272" s="27" t="s">
        <v>42</v>
      </c>
      <c r="B272" s="27" t="s">
        <v>863</v>
      </c>
      <c r="C272" s="27" t="s">
        <v>864</v>
      </c>
      <c r="D272" s="27" t="s">
        <v>865</v>
      </c>
      <c r="E272" s="28" t="s">
        <v>46</v>
      </c>
      <c r="F272" s="29" t="s">
        <v>46</v>
      </c>
      <c r="G272" s="30" t="s">
        <v>46</v>
      </c>
      <c r="H272" s="31"/>
      <c r="I272" s="31" t="s">
        <v>47</v>
      </c>
      <c r="J272" s="32" t="n">
        <v>10.0</v>
      </c>
      <c r="K272" s="33" t="n">
        <f>1420</f>
        <v>1420.0</v>
      </c>
      <c r="L272" s="34" t="s">
        <v>48</v>
      </c>
      <c r="M272" s="33" t="n">
        <f>1499</f>
        <v>1499.0</v>
      </c>
      <c r="N272" s="34" t="s">
        <v>106</v>
      </c>
      <c r="O272" s="33" t="n">
        <f>1411</f>
        <v>1411.0</v>
      </c>
      <c r="P272" s="34" t="s">
        <v>48</v>
      </c>
      <c r="Q272" s="33" t="n">
        <f>1456.5</f>
        <v>1456.5</v>
      </c>
      <c r="R272" s="34" t="s">
        <v>49</v>
      </c>
      <c r="S272" s="35" t="n">
        <f>1451.14</f>
        <v>1451.14</v>
      </c>
      <c r="T272" s="32" t="n">
        <f>1070660</f>
        <v>1070660.0</v>
      </c>
      <c r="U272" s="32" t="n">
        <f>238980</f>
        <v>238980.0</v>
      </c>
      <c r="V272" s="32" t="n">
        <f>1553326541</f>
        <v>1.553326541E9</v>
      </c>
      <c r="W272" s="32" t="n">
        <f>347207546</f>
        <v>3.47207546E8</v>
      </c>
      <c r="X272" s="36" t="n">
        <f>22</f>
        <v>22.0</v>
      </c>
    </row>
    <row r="273">
      <c r="A273" s="27" t="s">
        <v>42</v>
      </c>
      <c r="B273" s="27" t="s">
        <v>866</v>
      </c>
      <c r="C273" s="27" t="s">
        <v>867</v>
      </c>
      <c r="D273" s="27" t="s">
        <v>868</v>
      </c>
      <c r="E273" s="28" t="s">
        <v>46</v>
      </c>
      <c r="F273" s="29" t="s">
        <v>46</v>
      </c>
      <c r="G273" s="30" t="s">
        <v>46</v>
      </c>
      <c r="H273" s="31"/>
      <c r="I273" s="31" t="s">
        <v>47</v>
      </c>
      <c r="J273" s="32" t="n">
        <v>10.0</v>
      </c>
      <c r="K273" s="33" t="n">
        <f>580.2</f>
        <v>580.2</v>
      </c>
      <c r="L273" s="34" t="s">
        <v>48</v>
      </c>
      <c r="M273" s="33" t="n">
        <f>598.7</f>
        <v>598.7</v>
      </c>
      <c r="N273" s="34" t="s">
        <v>116</v>
      </c>
      <c r="O273" s="33" t="n">
        <f>550.1</f>
        <v>550.1</v>
      </c>
      <c r="P273" s="34" t="s">
        <v>79</v>
      </c>
      <c r="Q273" s="33" t="n">
        <f>564.6</f>
        <v>564.6</v>
      </c>
      <c r="R273" s="34" t="s">
        <v>49</v>
      </c>
      <c r="S273" s="35" t="n">
        <f>575.29</f>
        <v>575.29</v>
      </c>
      <c r="T273" s="32" t="n">
        <f>18925940</f>
        <v>1.892594E7</v>
      </c>
      <c r="U273" s="32" t="n">
        <f>481140</f>
        <v>481140.0</v>
      </c>
      <c r="V273" s="32" t="n">
        <f>10868164462</f>
        <v>1.0868164462E10</v>
      </c>
      <c r="W273" s="32" t="n">
        <f>272012024</f>
        <v>2.72012024E8</v>
      </c>
      <c r="X273" s="36" t="n">
        <f>22</f>
        <v>22.0</v>
      </c>
    </row>
    <row r="274">
      <c r="A274" s="27" t="s">
        <v>42</v>
      </c>
      <c r="B274" s="27" t="s">
        <v>869</v>
      </c>
      <c r="C274" s="27" t="s">
        <v>870</v>
      </c>
      <c r="D274" s="27" t="s">
        <v>871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10.0</v>
      </c>
      <c r="K274" s="33" t="n">
        <f>1165.5</f>
        <v>1165.5</v>
      </c>
      <c r="L274" s="34" t="s">
        <v>48</v>
      </c>
      <c r="M274" s="33" t="n">
        <f>1206</f>
        <v>1206.0</v>
      </c>
      <c r="N274" s="34" t="s">
        <v>49</v>
      </c>
      <c r="O274" s="33" t="n">
        <f>1146.5</f>
        <v>1146.5</v>
      </c>
      <c r="P274" s="34" t="s">
        <v>48</v>
      </c>
      <c r="Q274" s="33" t="n">
        <f>1193.5</f>
        <v>1193.5</v>
      </c>
      <c r="R274" s="34" t="s">
        <v>49</v>
      </c>
      <c r="S274" s="35" t="n">
        <f>1176.11</f>
        <v>1176.11</v>
      </c>
      <c r="T274" s="32" t="n">
        <f>3678820</f>
        <v>3678820.0</v>
      </c>
      <c r="U274" s="32" t="n">
        <f>3204510</f>
        <v>3204510.0</v>
      </c>
      <c r="V274" s="32" t="n">
        <f>4321347584</f>
        <v>4.321347584E9</v>
      </c>
      <c r="W274" s="32" t="n">
        <f>3764230249</f>
        <v>3.764230249E9</v>
      </c>
      <c r="X274" s="36" t="n">
        <f>22</f>
        <v>22.0</v>
      </c>
    </row>
    <row r="275">
      <c r="A275" s="27" t="s">
        <v>42</v>
      </c>
      <c r="B275" s="27" t="s">
        <v>872</v>
      </c>
      <c r="C275" s="27" t="s">
        <v>873</v>
      </c>
      <c r="D275" s="27" t="s">
        <v>874</v>
      </c>
      <c r="E275" s="28" t="s">
        <v>46</v>
      </c>
      <c r="F275" s="29" t="s">
        <v>46</v>
      </c>
      <c r="G275" s="30" t="s">
        <v>46</v>
      </c>
      <c r="H275" s="31"/>
      <c r="I275" s="31" t="s">
        <v>47</v>
      </c>
      <c r="J275" s="32" t="n">
        <v>1.0</v>
      </c>
      <c r="K275" s="33" t="n">
        <f>1792</f>
        <v>1792.0</v>
      </c>
      <c r="L275" s="34" t="s">
        <v>48</v>
      </c>
      <c r="M275" s="33" t="n">
        <f>1864</f>
        <v>1864.0</v>
      </c>
      <c r="N275" s="34" t="s">
        <v>79</v>
      </c>
      <c r="O275" s="33" t="n">
        <f>1760</f>
        <v>1760.0</v>
      </c>
      <c r="P275" s="34" t="s">
        <v>50</v>
      </c>
      <c r="Q275" s="33" t="n">
        <f>1854</f>
        <v>1854.0</v>
      </c>
      <c r="R275" s="34" t="s">
        <v>49</v>
      </c>
      <c r="S275" s="35" t="n">
        <f>1816.05</f>
        <v>1816.05</v>
      </c>
      <c r="T275" s="32" t="n">
        <f>94577</f>
        <v>94577.0</v>
      </c>
      <c r="U275" s="32" t="n">
        <f>1</f>
        <v>1.0</v>
      </c>
      <c r="V275" s="32" t="n">
        <f>172592997</f>
        <v>1.72592997E8</v>
      </c>
      <c r="W275" s="32" t="n">
        <f>1844</f>
        <v>1844.0</v>
      </c>
      <c r="X275" s="36" t="n">
        <f>22</f>
        <v>22.0</v>
      </c>
    </row>
    <row r="276">
      <c r="A276" s="27" t="s">
        <v>42</v>
      </c>
      <c r="B276" s="27" t="s">
        <v>875</v>
      </c>
      <c r="C276" s="27" t="s">
        <v>876</v>
      </c>
      <c r="D276" s="27" t="s">
        <v>877</v>
      </c>
      <c r="E276" s="28" t="s">
        <v>46</v>
      </c>
      <c r="F276" s="29" t="s">
        <v>46</v>
      </c>
      <c r="G276" s="30" t="s">
        <v>46</v>
      </c>
      <c r="H276" s="31"/>
      <c r="I276" s="31" t="s">
        <v>47</v>
      </c>
      <c r="J276" s="32" t="n">
        <v>10.0</v>
      </c>
      <c r="K276" s="33" t="n">
        <f>1099</f>
        <v>1099.0</v>
      </c>
      <c r="L276" s="34" t="s">
        <v>48</v>
      </c>
      <c r="M276" s="33" t="n">
        <f>1153</f>
        <v>1153.0</v>
      </c>
      <c r="N276" s="34" t="s">
        <v>79</v>
      </c>
      <c r="O276" s="33" t="n">
        <f>1088</f>
        <v>1088.0</v>
      </c>
      <c r="P276" s="34" t="s">
        <v>69</v>
      </c>
      <c r="Q276" s="33" t="n">
        <f>1144</f>
        <v>1144.0</v>
      </c>
      <c r="R276" s="34" t="s">
        <v>49</v>
      </c>
      <c r="S276" s="35" t="n">
        <f>1123.48</f>
        <v>1123.48</v>
      </c>
      <c r="T276" s="32" t="n">
        <f>86520</f>
        <v>86520.0</v>
      </c>
      <c r="U276" s="32" t="n">
        <f>1850</f>
        <v>1850.0</v>
      </c>
      <c r="V276" s="32" t="n">
        <f>97293021</f>
        <v>9.7293021E7</v>
      </c>
      <c r="W276" s="32" t="n">
        <f>2043011</f>
        <v>2043011.0</v>
      </c>
      <c r="X276" s="36" t="n">
        <f>22</f>
        <v>22.0</v>
      </c>
    </row>
    <row r="277">
      <c r="A277" s="27" t="s">
        <v>42</v>
      </c>
      <c r="B277" s="27" t="s">
        <v>878</v>
      </c>
      <c r="C277" s="27" t="s">
        <v>879</v>
      </c>
      <c r="D277" s="27" t="s">
        <v>880</v>
      </c>
      <c r="E277" s="28" t="s">
        <v>46</v>
      </c>
      <c r="F277" s="29" t="s">
        <v>46</v>
      </c>
      <c r="G277" s="30" t="s">
        <v>46</v>
      </c>
      <c r="H277" s="31"/>
      <c r="I277" s="31" t="s">
        <v>47</v>
      </c>
      <c r="J277" s="32" t="n">
        <v>10.0</v>
      </c>
      <c r="K277" s="33" t="n">
        <f>1744</f>
        <v>1744.0</v>
      </c>
      <c r="L277" s="34" t="s">
        <v>48</v>
      </c>
      <c r="M277" s="33" t="n">
        <f>1900</f>
        <v>1900.0</v>
      </c>
      <c r="N277" s="34" t="s">
        <v>49</v>
      </c>
      <c r="O277" s="33" t="n">
        <f>1738</f>
        <v>1738.0</v>
      </c>
      <c r="P277" s="34" t="s">
        <v>48</v>
      </c>
      <c r="Q277" s="33" t="n">
        <f>1895</f>
        <v>1895.0</v>
      </c>
      <c r="R277" s="34" t="s">
        <v>49</v>
      </c>
      <c r="S277" s="35" t="n">
        <f>1819.98</f>
        <v>1819.98</v>
      </c>
      <c r="T277" s="32" t="n">
        <f>316770</f>
        <v>316770.0</v>
      </c>
      <c r="U277" s="32" t="n">
        <f>107660</f>
        <v>107660.0</v>
      </c>
      <c r="V277" s="32" t="n">
        <f>578977518</f>
        <v>5.78977518E8</v>
      </c>
      <c r="W277" s="32" t="n">
        <f>202148793</f>
        <v>2.02148793E8</v>
      </c>
      <c r="X277" s="36" t="n">
        <f>22</f>
        <v>22.0</v>
      </c>
    </row>
    <row r="278">
      <c r="A278" s="27" t="s">
        <v>42</v>
      </c>
      <c r="B278" s="27" t="s">
        <v>881</v>
      </c>
      <c r="C278" s="27" t="s">
        <v>882</v>
      </c>
      <c r="D278" s="27" t="s">
        <v>883</v>
      </c>
      <c r="E278" s="28" t="s">
        <v>46</v>
      </c>
      <c r="F278" s="29" t="s">
        <v>46</v>
      </c>
      <c r="G278" s="30" t="s">
        <v>46</v>
      </c>
      <c r="H278" s="31"/>
      <c r="I278" s="31" t="s">
        <v>47</v>
      </c>
      <c r="J278" s="32" t="n">
        <v>1.0</v>
      </c>
      <c r="K278" s="33" t="n">
        <f>1948</f>
        <v>1948.0</v>
      </c>
      <c r="L278" s="34" t="s">
        <v>48</v>
      </c>
      <c r="M278" s="33" t="n">
        <f>2020</f>
        <v>2020.0</v>
      </c>
      <c r="N278" s="34" t="s">
        <v>79</v>
      </c>
      <c r="O278" s="33" t="n">
        <f>1918</f>
        <v>1918.0</v>
      </c>
      <c r="P278" s="34" t="s">
        <v>61</v>
      </c>
      <c r="Q278" s="33" t="n">
        <f>2005</f>
        <v>2005.0</v>
      </c>
      <c r="R278" s="34" t="s">
        <v>49</v>
      </c>
      <c r="S278" s="35" t="n">
        <f>1967.77</f>
        <v>1967.77</v>
      </c>
      <c r="T278" s="32" t="n">
        <f>6477991</f>
        <v>6477991.0</v>
      </c>
      <c r="U278" s="32" t="n">
        <f>4952783</f>
        <v>4952783.0</v>
      </c>
      <c r="V278" s="32" t="n">
        <f>12663985010</f>
        <v>1.266398501E10</v>
      </c>
      <c r="W278" s="32" t="n">
        <f>9667435509</f>
        <v>9.667435509E9</v>
      </c>
      <c r="X278" s="36" t="n">
        <f>22</f>
        <v>22.0</v>
      </c>
    </row>
    <row r="279">
      <c r="A279" s="27" t="s">
        <v>42</v>
      </c>
      <c r="B279" s="27" t="s">
        <v>884</v>
      </c>
      <c r="C279" s="27" t="s">
        <v>885</v>
      </c>
      <c r="D279" s="27" t="s">
        <v>886</v>
      </c>
      <c r="E279" s="28" t="s">
        <v>46</v>
      </c>
      <c r="F279" s="29" t="s">
        <v>46</v>
      </c>
      <c r="G279" s="30" t="s">
        <v>46</v>
      </c>
      <c r="H279" s="31"/>
      <c r="I279" s="31" t="s">
        <v>47</v>
      </c>
      <c r="J279" s="32" t="n">
        <v>1.0</v>
      </c>
      <c r="K279" s="33" t="n">
        <f>6181</f>
        <v>6181.0</v>
      </c>
      <c r="L279" s="34" t="s">
        <v>48</v>
      </c>
      <c r="M279" s="33" t="n">
        <f>6911</f>
        <v>6911.0</v>
      </c>
      <c r="N279" s="34" t="s">
        <v>79</v>
      </c>
      <c r="O279" s="33" t="n">
        <f>6095</f>
        <v>6095.0</v>
      </c>
      <c r="P279" s="34" t="s">
        <v>48</v>
      </c>
      <c r="Q279" s="33" t="n">
        <f>6895</f>
        <v>6895.0</v>
      </c>
      <c r="R279" s="34" t="s">
        <v>49</v>
      </c>
      <c r="S279" s="35" t="n">
        <f>6560.36</f>
        <v>6560.36</v>
      </c>
      <c r="T279" s="32" t="n">
        <f>88170</f>
        <v>88170.0</v>
      </c>
      <c r="U279" s="32" t="str">
        <f>"－"</f>
        <v>－</v>
      </c>
      <c r="V279" s="32" t="n">
        <f>578502887</f>
        <v>5.78502887E8</v>
      </c>
      <c r="W279" s="32" t="str">
        <f>"－"</f>
        <v>－</v>
      </c>
      <c r="X279" s="36" t="n">
        <f>22</f>
        <v>22.0</v>
      </c>
    </row>
    <row r="280">
      <c r="A280" s="27" t="s">
        <v>42</v>
      </c>
      <c r="B280" s="27" t="s">
        <v>887</v>
      </c>
      <c r="C280" s="27" t="s">
        <v>888</v>
      </c>
      <c r="D280" s="27" t="s">
        <v>889</v>
      </c>
      <c r="E280" s="28" t="s">
        <v>46</v>
      </c>
      <c r="F280" s="29" t="s">
        <v>46</v>
      </c>
      <c r="G280" s="30" t="s">
        <v>46</v>
      </c>
      <c r="H280" s="31"/>
      <c r="I280" s="31" t="s">
        <v>47</v>
      </c>
      <c r="J280" s="32" t="n">
        <v>10.0</v>
      </c>
      <c r="K280" s="33" t="n">
        <f>2508.5</f>
        <v>2508.5</v>
      </c>
      <c r="L280" s="34" t="s">
        <v>48</v>
      </c>
      <c r="M280" s="33" t="n">
        <f>2680</f>
        <v>2680.0</v>
      </c>
      <c r="N280" s="34" t="s">
        <v>68</v>
      </c>
      <c r="O280" s="33" t="n">
        <f>2503</f>
        <v>2503.0</v>
      </c>
      <c r="P280" s="34" t="s">
        <v>156</v>
      </c>
      <c r="Q280" s="33" t="n">
        <f>2670</f>
        <v>2670.0</v>
      </c>
      <c r="R280" s="34" t="s">
        <v>68</v>
      </c>
      <c r="S280" s="35" t="n">
        <f>2596.82</f>
        <v>2596.82</v>
      </c>
      <c r="T280" s="32" t="n">
        <f>2260</f>
        <v>2260.0</v>
      </c>
      <c r="U280" s="32" t="str">
        <f>"－"</f>
        <v>－</v>
      </c>
      <c r="V280" s="32" t="n">
        <f>5774040</f>
        <v>5774040.0</v>
      </c>
      <c r="W280" s="32" t="str">
        <f>"－"</f>
        <v>－</v>
      </c>
      <c r="X280" s="36" t="n">
        <f>14</f>
        <v>14.0</v>
      </c>
    </row>
    <row r="281">
      <c r="A281" s="27" t="s">
        <v>42</v>
      </c>
      <c r="B281" s="27" t="s">
        <v>890</v>
      </c>
      <c r="C281" s="27" t="s">
        <v>891</v>
      </c>
      <c r="D281" s="27" t="s">
        <v>892</v>
      </c>
      <c r="E281" s="28" t="s">
        <v>46</v>
      </c>
      <c r="F281" s="29" t="s">
        <v>46</v>
      </c>
      <c r="G281" s="30" t="s">
        <v>46</v>
      </c>
      <c r="H281" s="31"/>
      <c r="I281" s="31" t="s">
        <v>47</v>
      </c>
      <c r="J281" s="32" t="n">
        <v>10.0</v>
      </c>
      <c r="K281" s="33" t="n">
        <f>3202</f>
        <v>3202.0</v>
      </c>
      <c r="L281" s="34" t="s">
        <v>48</v>
      </c>
      <c r="M281" s="33" t="n">
        <f>3420</f>
        <v>3420.0</v>
      </c>
      <c r="N281" s="34" t="s">
        <v>49</v>
      </c>
      <c r="O281" s="33" t="n">
        <f>3160</f>
        <v>3160.0</v>
      </c>
      <c r="P281" s="34" t="s">
        <v>50</v>
      </c>
      <c r="Q281" s="33" t="n">
        <f>3414</f>
        <v>3414.0</v>
      </c>
      <c r="R281" s="34" t="s">
        <v>49</v>
      </c>
      <c r="S281" s="35" t="n">
        <f>3314.55</f>
        <v>3314.55</v>
      </c>
      <c r="T281" s="32" t="n">
        <f>1695590</f>
        <v>1695590.0</v>
      </c>
      <c r="U281" s="32" t="n">
        <f>1318180</f>
        <v>1318180.0</v>
      </c>
      <c r="V281" s="32" t="n">
        <f>5535535279</f>
        <v>5.535535279E9</v>
      </c>
      <c r="W281" s="32" t="n">
        <f>4288984399</f>
        <v>4.288984399E9</v>
      </c>
      <c r="X281" s="36" t="n">
        <f>20</f>
        <v>20.0</v>
      </c>
    </row>
    <row r="282">
      <c r="A282" s="27" t="s">
        <v>42</v>
      </c>
      <c r="B282" s="27" t="s">
        <v>893</v>
      </c>
      <c r="C282" s="27" t="s">
        <v>894</v>
      </c>
      <c r="D282" s="27" t="s">
        <v>895</v>
      </c>
      <c r="E282" s="28" t="s">
        <v>46</v>
      </c>
      <c r="F282" s="29" t="s">
        <v>46</v>
      </c>
      <c r="G282" s="30" t="s">
        <v>46</v>
      </c>
      <c r="H282" s="31"/>
      <c r="I282" s="31" t="s">
        <v>47</v>
      </c>
      <c r="J282" s="32" t="n">
        <v>1.0</v>
      </c>
      <c r="K282" s="33" t="n">
        <f>45320</f>
        <v>45320.0</v>
      </c>
      <c r="L282" s="34" t="s">
        <v>48</v>
      </c>
      <c r="M282" s="33" t="n">
        <f>52800</f>
        <v>52800.0</v>
      </c>
      <c r="N282" s="34" t="s">
        <v>49</v>
      </c>
      <c r="O282" s="33" t="n">
        <f>44850</f>
        <v>44850.0</v>
      </c>
      <c r="P282" s="34" t="s">
        <v>48</v>
      </c>
      <c r="Q282" s="33" t="n">
        <f>52800</f>
        <v>52800.0</v>
      </c>
      <c r="R282" s="34" t="s">
        <v>49</v>
      </c>
      <c r="S282" s="35" t="n">
        <f>49030</f>
        <v>49030.0</v>
      </c>
      <c r="T282" s="32" t="n">
        <f>115023</f>
        <v>115023.0</v>
      </c>
      <c r="U282" s="32" t="n">
        <f>78037</f>
        <v>78037.0</v>
      </c>
      <c r="V282" s="32" t="n">
        <f>5708422943</f>
        <v>5.708422943E9</v>
      </c>
      <c r="W282" s="32" t="n">
        <f>3872192773</f>
        <v>3.872192773E9</v>
      </c>
      <c r="X282" s="36" t="n">
        <f>22</f>
        <v>22.0</v>
      </c>
    </row>
    <row r="283">
      <c r="A283" s="27" t="s">
        <v>42</v>
      </c>
      <c r="B283" s="27" t="s">
        <v>896</v>
      </c>
      <c r="C283" s="27" t="s">
        <v>897</v>
      </c>
      <c r="D283" s="27" t="s">
        <v>898</v>
      </c>
      <c r="E283" s="28" t="s">
        <v>46</v>
      </c>
      <c r="F283" s="29" t="s">
        <v>46</v>
      </c>
      <c r="G283" s="30" t="s">
        <v>46</v>
      </c>
      <c r="H283" s="31"/>
      <c r="I283" s="31" t="s">
        <v>47</v>
      </c>
      <c r="J283" s="32" t="n">
        <v>1.0</v>
      </c>
      <c r="K283" s="33" t="n">
        <f>28455</f>
        <v>28455.0</v>
      </c>
      <c r="L283" s="34" t="s">
        <v>48</v>
      </c>
      <c r="M283" s="33" t="n">
        <f>30790</f>
        <v>30790.0</v>
      </c>
      <c r="N283" s="34" t="s">
        <v>49</v>
      </c>
      <c r="O283" s="33" t="n">
        <f>28325</f>
        <v>28325.0</v>
      </c>
      <c r="P283" s="34" t="s">
        <v>50</v>
      </c>
      <c r="Q283" s="33" t="n">
        <f>30710</f>
        <v>30710.0</v>
      </c>
      <c r="R283" s="34" t="s">
        <v>49</v>
      </c>
      <c r="S283" s="35" t="n">
        <f>29722.37</f>
        <v>29722.37</v>
      </c>
      <c r="T283" s="32" t="n">
        <f>14782</f>
        <v>14782.0</v>
      </c>
      <c r="U283" s="32" t="str">
        <f>"－"</f>
        <v>－</v>
      </c>
      <c r="V283" s="32" t="n">
        <f>441463985</f>
        <v>4.41463985E8</v>
      </c>
      <c r="W283" s="32" t="str">
        <f>"－"</f>
        <v>－</v>
      </c>
      <c r="X283" s="36" t="n">
        <f>19</f>
        <v>19.0</v>
      </c>
    </row>
    <row r="284">
      <c r="A284" s="27" t="s">
        <v>42</v>
      </c>
      <c r="B284" s="27" t="s">
        <v>899</v>
      </c>
      <c r="C284" s="27" t="s">
        <v>900</v>
      </c>
      <c r="D284" s="27" t="s">
        <v>901</v>
      </c>
      <c r="E284" s="28" t="s">
        <v>46</v>
      </c>
      <c r="F284" s="29" t="s">
        <v>46</v>
      </c>
      <c r="G284" s="30" t="s">
        <v>46</v>
      </c>
      <c r="H284" s="31"/>
      <c r="I284" s="31" t="s">
        <v>47</v>
      </c>
      <c r="J284" s="32" t="n">
        <v>10.0</v>
      </c>
      <c r="K284" s="33" t="n">
        <f>1160.5</f>
        <v>1160.5</v>
      </c>
      <c r="L284" s="34" t="s">
        <v>48</v>
      </c>
      <c r="M284" s="33" t="n">
        <f>1250</f>
        <v>1250.0</v>
      </c>
      <c r="N284" s="34" t="s">
        <v>106</v>
      </c>
      <c r="O284" s="33" t="n">
        <f>1160.5</f>
        <v>1160.5</v>
      </c>
      <c r="P284" s="34" t="s">
        <v>48</v>
      </c>
      <c r="Q284" s="33" t="n">
        <f>1209</f>
        <v>1209.0</v>
      </c>
      <c r="R284" s="34" t="s">
        <v>49</v>
      </c>
      <c r="S284" s="35" t="n">
        <f>1189.37</f>
        <v>1189.37</v>
      </c>
      <c r="T284" s="32" t="n">
        <f>873280</f>
        <v>873280.0</v>
      </c>
      <c r="U284" s="32" t="n">
        <f>272000</f>
        <v>272000.0</v>
      </c>
      <c r="V284" s="32" t="n">
        <f>1043570515</f>
        <v>1.043570515E9</v>
      </c>
      <c r="W284" s="32" t="n">
        <f>326055960</f>
        <v>3.2605596E8</v>
      </c>
      <c r="X284" s="36" t="n">
        <f>19</f>
        <v>19.0</v>
      </c>
    </row>
    <row r="285">
      <c r="A285" s="27" t="s">
        <v>42</v>
      </c>
      <c r="B285" s="27" t="s">
        <v>902</v>
      </c>
      <c r="C285" s="27" t="s">
        <v>903</v>
      </c>
      <c r="D285" s="27" t="s">
        <v>904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1.0</v>
      </c>
      <c r="K285" s="33" t="n">
        <f>1145</f>
        <v>1145.0</v>
      </c>
      <c r="L285" s="34" t="s">
        <v>48</v>
      </c>
      <c r="M285" s="33" t="n">
        <f>1192</f>
        <v>1192.0</v>
      </c>
      <c r="N285" s="34" t="s">
        <v>49</v>
      </c>
      <c r="O285" s="33" t="n">
        <f>1140</f>
        <v>1140.0</v>
      </c>
      <c r="P285" s="34" t="s">
        <v>48</v>
      </c>
      <c r="Q285" s="33" t="n">
        <f>1185</f>
        <v>1185.0</v>
      </c>
      <c r="R285" s="34" t="s">
        <v>49</v>
      </c>
      <c r="S285" s="35" t="n">
        <f>1165.86</f>
        <v>1165.86</v>
      </c>
      <c r="T285" s="32" t="n">
        <f>654334</f>
        <v>654334.0</v>
      </c>
      <c r="U285" s="32" t="n">
        <f>484066</f>
        <v>484066.0</v>
      </c>
      <c r="V285" s="32" t="n">
        <f>756947468</f>
        <v>7.56947468E8</v>
      </c>
      <c r="W285" s="32" t="n">
        <f>556440252</f>
        <v>5.56440252E8</v>
      </c>
      <c r="X285" s="36" t="n">
        <f>22</f>
        <v>22.0</v>
      </c>
    </row>
    <row r="286">
      <c r="A286" s="27" t="s">
        <v>42</v>
      </c>
      <c r="B286" s="27" t="s">
        <v>905</v>
      </c>
      <c r="C286" s="27" t="s">
        <v>906</v>
      </c>
      <c r="D286" s="27" t="s">
        <v>907</v>
      </c>
      <c r="E286" s="28" t="s">
        <v>46</v>
      </c>
      <c r="F286" s="29" t="s">
        <v>46</v>
      </c>
      <c r="G286" s="30" t="s">
        <v>46</v>
      </c>
      <c r="H286" s="31"/>
      <c r="I286" s="31" t="s">
        <v>47</v>
      </c>
      <c r="J286" s="32" t="n">
        <v>1.0</v>
      </c>
      <c r="K286" s="33" t="n">
        <f>1847</f>
        <v>1847.0</v>
      </c>
      <c r="L286" s="34" t="s">
        <v>48</v>
      </c>
      <c r="M286" s="33" t="n">
        <f>1990</f>
        <v>1990.0</v>
      </c>
      <c r="N286" s="34" t="s">
        <v>216</v>
      </c>
      <c r="O286" s="33" t="n">
        <f>1802</f>
        <v>1802.0</v>
      </c>
      <c r="P286" s="34" t="s">
        <v>156</v>
      </c>
      <c r="Q286" s="33" t="n">
        <f>1889</f>
        <v>1889.0</v>
      </c>
      <c r="R286" s="34" t="s">
        <v>49</v>
      </c>
      <c r="S286" s="35" t="n">
        <f>1867.05</f>
        <v>1867.05</v>
      </c>
      <c r="T286" s="32" t="n">
        <f>1254639</f>
        <v>1254639.0</v>
      </c>
      <c r="U286" s="32" t="n">
        <f>717658</f>
        <v>717658.0</v>
      </c>
      <c r="V286" s="32" t="n">
        <f>2340084872</f>
        <v>2.340084872E9</v>
      </c>
      <c r="W286" s="32" t="n">
        <f>1336755689</f>
        <v>1.336755689E9</v>
      </c>
      <c r="X286" s="36" t="n">
        <f>22</f>
        <v>22.0</v>
      </c>
    </row>
    <row r="287">
      <c r="A287" s="27" t="s">
        <v>42</v>
      </c>
      <c r="B287" s="27" t="s">
        <v>908</v>
      </c>
      <c r="C287" s="27" t="s">
        <v>909</v>
      </c>
      <c r="D287" s="27" t="s">
        <v>910</v>
      </c>
      <c r="E287" s="28" t="s">
        <v>46</v>
      </c>
      <c r="F287" s="29" t="s">
        <v>46</v>
      </c>
      <c r="G287" s="30" t="s">
        <v>46</v>
      </c>
      <c r="H287" s="31"/>
      <c r="I287" s="31" t="s">
        <v>47</v>
      </c>
      <c r="J287" s="32" t="n">
        <v>1.0</v>
      </c>
      <c r="K287" s="33" t="n">
        <f>16980</f>
        <v>16980.0</v>
      </c>
      <c r="L287" s="34" t="s">
        <v>48</v>
      </c>
      <c r="M287" s="33" t="n">
        <f>17915</f>
        <v>17915.0</v>
      </c>
      <c r="N287" s="34" t="s">
        <v>48</v>
      </c>
      <c r="O287" s="33" t="n">
        <f>15945</f>
        <v>15945.0</v>
      </c>
      <c r="P287" s="34" t="s">
        <v>87</v>
      </c>
      <c r="Q287" s="33" t="n">
        <f>16810</f>
        <v>16810.0</v>
      </c>
      <c r="R287" s="34" t="s">
        <v>49</v>
      </c>
      <c r="S287" s="35" t="n">
        <f>16595.23</f>
        <v>16595.23</v>
      </c>
      <c r="T287" s="32" t="n">
        <f>22196</f>
        <v>22196.0</v>
      </c>
      <c r="U287" s="32" t="str">
        <f>"－"</f>
        <v>－</v>
      </c>
      <c r="V287" s="32" t="n">
        <f>366641355</f>
        <v>3.66641355E8</v>
      </c>
      <c r="W287" s="32" t="str">
        <f>"－"</f>
        <v>－</v>
      </c>
      <c r="X287" s="36" t="n">
        <f>22</f>
        <v>22.0</v>
      </c>
    </row>
    <row r="288">
      <c r="A288" s="27" t="s">
        <v>42</v>
      </c>
      <c r="B288" s="27" t="s">
        <v>911</v>
      </c>
      <c r="C288" s="27" t="s">
        <v>912</v>
      </c>
      <c r="D288" s="27" t="s">
        <v>913</v>
      </c>
      <c r="E288" s="28" t="s">
        <v>46</v>
      </c>
      <c r="F288" s="29" t="s">
        <v>46</v>
      </c>
      <c r="G288" s="30" t="s">
        <v>46</v>
      </c>
      <c r="H288" s="31"/>
      <c r="I288" s="31" t="s">
        <v>47</v>
      </c>
      <c r="J288" s="32" t="n">
        <v>1.0</v>
      </c>
      <c r="K288" s="33" t="n">
        <f>2093</f>
        <v>2093.0</v>
      </c>
      <c r="L288" s="34" t="s">
        <v>48</v>
      </c>
      <c r="M288" s="33" t="n">
        <f>2130</f>
        <v>2130.0</v>
      </c>
      <c r="N288" s="34" t="s">
        <v>68</v>
      </c>
      <c r="O288" s="33" t="n">
        <f>2042</f>
        <v>2042.0</v>
      </c>
      <c r="P288" s="34" t="s">
        <v>156</v>
      </c>
      <c r="Q288" s="33" t="n">
        <f>2127</f>
        <v>2127.0</v>
      </c>
      <c r="R288" s="34" t="s">
        <v>49</v>
      </c>
      <c r="S288" s="35" t="n">
        <f>2090.77</f>
        <v>2090.77</v>
      </c>
      <c r="T288" s="32" t="n">
        <f>1899328</f>
        <v>1899328.0</v>
      </c>
      <c r="U288" s="32" t="n">
        <f>1786247</f>
        <v>1786247.0</v>
      </c>
      <c r="V288" s="32" t="n">
        <f>3997387437</f>
        <v>3.997387437E9</v>
      </c>
      <c r="W288" s="32" t="n">
        <f>3760024024</f>
        <v>3.760024024E9</v>
      </c>
      <c r="X288" s="36" t="n">
        <f>22</f>
        <v>22.0</v>
      </c>
    </row>
    <row r="289">
      <c r="A289" s="27" t="s">
        <v>42</v>
      </c>
      <c r="B289" s="27" t="s">
        <v>914</v>
      </c>
      <c r="C289" s="27" t="s">
        <v>915</v>
      </c>
      <c r="D289" s="27" t="s">
        <v>916</v>
      </c>
      <c r="E289" s="28" t="s">
        <v>46</v>
      </c>
      <c r="F289" s="29" t="s">
        <v>46</v>
      </c>
      <c r="G289" s="30" t="s">
        <v>46</v>
      </c>
      <c r="H289" s="31"/>
      <c r="I289" s="31" t="s">
        <v>47</v>
      </c>
      <c r="J289" s="32" t="n">
        <v>10.0</v>
      </c>
      <c r="K289" s="33" t="n">
        <f>2110</f>
        <v>2110.0</v>
      </c>
      <c r="L289" s="34" t="s">
        <v>48</v>
      </c>
      <c r="M289" s="33" t="n">
        <f>2195</f>
        <v>2195.0</v>
      </c>
      <c r="N289" s="34" t="s">
        <v>48</v>
      </c>
      <c r="O289" s="33" t="n">
        <f>1968.5</f>
        <v>1968.5</v>
      </c>
      <c r="P289" s="34" t="s">
        <v>61</v>
      </c>
      <c r="Q289" s="33" t="n">
        <f>2120.5</f>
        <v>2120.5</v>
      </c>
      <c r="R289" s="34" t="s">
        <v>49</v>
      </c>
      <c r="S289" s="35" t="n">
        <f>2068.59</f>
        <v>2068.59</v>
      </c>
      <c r="T289" s="32" t="n">
        <f>1431120</f>
        <v>1431120.0</v>
      </c>
      <c r="U289" s="32" t="str">
        <f>"－"</f>
        <v>－</v>
      </c>
      <c r="V289" s="32" t="n">
        <f>2969201175</f>
        <v>2.969201175E9</v>
      </c>
      <c r="W289" s="32" t="str">
        <f>"－"</f>
        <v>－</v>
      </c>
      <c r="X289" s="36" t="n">
        <f>22</f>
        <v>22.0</v>
      </c>
    </row>
    <row r="290">
      <c r="A290" s="27" t="s">
        <v>42</v>
      </c>
      <c r="B290" s="27" t="s">
        <v>917</v>
      </c>
      <c r="C290" s="27" t="s">
        <v>918</v>
      </c>
      <c r="D290" s="27" t="s">
        <v>919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10.0</v>
      </c>
      <c r="K290" s="33" t="n">
        <f>786.1</f>
        <v>786.1</v>
      </c>
      <c r="L290" s="34" t="s">
        <v>48</v>
      </c>
      <c r="M290" s="33" t="n">
        <f>791.8</f>
        <v>791.8</v>
      </c>
      <c r="N290" s="34" t="s">
        <v>474</v>
      </c>
      <c r="O290" s="33" t="n">
        <f>784.1</f>
        <v>784.1</v>
      </c>
      <c r="P290" s="34" t="s">
        <v>262</v>
      </c>
      <c r="Q290" s="33" t="n">
        <f>785.8</f>
        <v>785.8</v>
      </c>
      <c r="R290" s="34" t="s">
        <v>49</v>
      </c>
      <c r="S290" s="35" t="n">
        <f>787.45</f>
        <v>787.45</v>
      </c>
      <c r="T290" s="32" t="n">
        <f>365920</f>
        <v>365920.0</v>
      </c>
      <c r="U290" s="32" t="n">
        <f>247830</f>
        <v>247830.0</v>
      </c>
      <c r="V290" s="32" t="n">
        <f>288331010</f>
        <v>2.8833101E8</v>
      </c>
      <c r="W290" s="32" t="n">
        <f>195413939</f>
        <v>1.95413939E8</v>
      </c>
      <c r="X290" s="36" t="n">
        <f>22</f>
        <v>22.0</v>
      </c>
    </row>
    <row r="291">
      <c r="A291" s="27" t="s">
        <v>42</v>
      </c>
      <c r="B291" s="27" t="s">
        <v>920</v>
      </c>
      <c r="C291" s="27" t="s">
        <v>921</v>
      </c>
      <c r="D291" s="27" t="s">
        <v>922</v>
      </c>
      <c r="E291" s="28" t="s">
        <v>46</v>
      </c>
      <c r="F291" s="29" t="s">
        <v>46</v>
      </c>
      <c r="G291" s="30" t="s">
        <v>46</v>
      </c>
      <c r="H291" s="31"/>
      <c r="I291" s="31" t="s">
        <v>47</v>
      </c>
      <c r="J291" s="32" t="n">
        <v>10.0</v>
      </c>
      <c r="K291" s="33" t="n">
        <f>2003</f>
        <v>2003.0</v>
      </c>
      <c r="L291" s="34" t="s">
        <v>48</v>
      </c>
      <c r="M291" s="33" t="n">
        <f>2044</f>
        <v>2044.0</v>
      </c>
      <c r="N291" s="34" t="s">
        <v>49</v>
      </c>
      <c r="O291" s="33" t="n">
        <f>1953.5</f>
        <v>1953.5</v>
      </c>
      <c r="P291" s="34" t="s">
        <v>156</v>
      </c>
      <c r="Q291" s="33" t="n">
        <f>2044</f>
        <v>2044.0</v>
      </c>
      <c r="R291" s="34" t="s">
        <v>49</v>
      </c>
      <c r="S291" s="35" t="n">
        <f>2003.41</f>
        <v>2003.41</v>
      </c>
      <c r="T291" s="32" t="n">
        <f>2209610</f>
        <v>2209610.0</v>
      </c>
      <c r="U291" s="32" t="n">
        <f>1934530</f>
        <v>1934530.0</v>
      </c>
      <c r="V291" s="32" t="n">
        <f>4444262902</f>
        <v>4.444262902E9</v>
      </c>
      <c r="W291" s="32" t="n">
        <f>3891219447</f>
        <v>3.891219447E9</v>
      </c>
      <c r="X291" s="36" t="n">
        <f>22</f>
        <v>22.0</v>
      </c>
    </row>
    <row r="292">
      <c r="A292" s="27" t="s">
        <v>42</v>
      </c>
      <c r="B292" s="27" t="s">
        <v>923</v>
      </c>
      <c r="C292" s="27" t="s">
        <v>924</v>
      </c>
      <c r="D292" s="27" t="s">
        <v>925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10.0</v>
      </c>
      <c r="K292" s="33" t="n">
        <f>1996</f>
        <v>1996.0</v>
      </c>
      <c r="L292" s="34" t="s">
        <v>48</v>
      </c>
      <c r="M292" s="33" t="n">
        <f>2029.5</f>
        <v>2029.5</v>
      </c>
      <c r="N292" s="34" t="s">
        <v>106</v>
      </c>
      <c r="O292" s="33" t="n">
        <f>1944</f>
        <v>1944.0</v>
      </c>
      <c r="P292" s="34" t="s">
        <v>156</v>
      </c>
      <c r="Q292" s="33" t="n">
        <f>2020</f>
        <v>2020.0</v>
      </c>
      <c r="R292" s="34" t="s">
        <v>49</v>
      </c>
      <c r="S292" s="35" t="n">
        <f>1994.52</f>
        <v>1994.52</v>
      </c>
      <c r="T292" s="32" t="n">
        <f>1567920</f>
        <v>1567920.0</v>
      </c>
      <c r="U292" s="32" t="n">
        <f>675020</f>
        <v>675020.0</v>
      </c>
      <c r="V292" s="32" t="n">
        <f>3117716952</f>
        <v>3.117716952E9</v>
      </c>
      <c r="W292" s="32" t="n">
        <f>1332692387</f>
        <v>1.332692387E9</v>
      </c>
      <c r="X292" s="36" t="n">
        <f>22</f>
        <v>22.0</v>
      </c>
    </row>
    <row r="293">
      <c r="A293" s="27" t="s">
        <v>42</v>
      </c>
      <c r="B293" s="27" t="s">
        <v>926</v>
      </c>
      <c r="C293" s="27" t="s">
        <v>927</v>
      </c>
      <c r="D293" s="27" t="s">
        <v>928</v>
      </c>
      <c r="E293" s="28" t="s">
        <v>46</v>
      </c>
      <c r="F293" s="29" t="s">
        <v>46</v>
      </c>
      <c r="G293" s="30" t="s">
        <v>46</v>
      </c>
      <c r="H293" s="31"/>
      <c r="I293" s="31" t="s">
        <v>47</v>
      </c>
      <c r="J293" s="32" t="n">
        <v>10.0</v>
      </c>
      <c r="K293" s="33" t="n">
        <f>3182</f>
        <v>3182.0</v>
      </c>
      <c r="L293" s="34" t="s">
        <v>48</v>
      </c>
      <c r="M293" s="33" t="n">
        <f>3363</f>
        <v>3363.0</v>
      </c>
      <c r="N293" s="34" t="s">
        <v>49</v>
      </c>
      <c r="O293" s="33" t="n">
        <f>3142</f>
        <v>3142.0</v>
      </c>
      <c r="P293" s="34" t="s">
        <v>50</v>
      </c>
      <c r="Q293" s="33" t="n">
        <f>3363</f>
        <v>3363.0</v>
      </c>
      <c r="R293" s="34" t="s">
        <v>49</v>
      </c>
      <c r="S293" s="35" t="n">
        <f>3264.95</f>
        <v>3264.95</v>
      </c>
      <c r="T293" s="32" t="n">
        <f>391790</f>
        <v>391790.0</v>
      </c>
      <c r="U293" s="32" t="n">
        <f>218610</f>
        <v>218610.0</v>
      </c>
      <c r="V293" s="32" t="n">
        <f>1275592196</f>
        <v>1.275592196E9</v>
      </c>
      <c r="W293" s="32" t="n">
        <f>704800846</f>
        <v>7.04800846E8</v>
      </c>
      <c r="X293" s="36" t="n">
        <f>22</f>
        <v>22.0</v>
      </c>
    </row>
    <row r="294">
      <c r="A294" s="27" t="s">
        <v>42</v>
      </c>
      <c r="B294" s="27" t="s">
        <v>929</v>
      </c>
      <c r="C294" s="27" t="s">
        <v>930</v>
      </c>
      <c r="D294" s="27" t="s">
        <v>931</v>
      </c>
      <c r="E294" s="28" t="s">
        <v>46</v>
      </c>
      <c r="F294" s="29" t="s">
        <v>46</v>
      </c>
      <c r="G294" s="30" t="s">
        <v>46</v>
      </c>
      <c r="H294" s="31"/>
      <c r="I294" s="31" t="s">
        <v>47</v>
      </c>
      <c r="J294" s="32" t="n">
        <v>1.0</v>
      </c>
      <c r="K294" s="33" t="n">
        <f>28425</f>
        <v>28425.0</v>
      </c>
      <c r="L294" s="34" t="s">
        <v>48</v>
      </c>
      <c r="M294" s="33" t="n">
        <f>30510</f>
        <v>30510.0</v>
      </c>
      <c r="N294" s="34" t="s">
        <v>79</v>
      </c>
      <c r="O294" s="33" t="n">
        <f>28205</f>
        <v>28205.0</v>
      </c>
      <c r="P294" s="34" t="s">
        <v>48</v>
      </c>
      <c r="Q294" s="33" t="n">
        <f>30480</f>
        <v>30480.0</v>
      </c>
      <c r="R294" s="34" t="s">
        <v>49</v>
      </c>
      <c r="S294" s="35" t="n">
        <f>29366.36</f>
        <v>29366.36</v>
      </c>
      <c r="T294" s="32" t="n">
        <f>667217</f>
        <v>667217.0</v>
      </c>
      <c r="U294" s="32" t="n">
        <f>186651</f>
        <v>186651.0</v>
      </c>
      <c r="V294" s="32" t="n">
        <f>19637112109</f>
        <v>1.9637112109E10</v>
      </c>
      <c r="W294" s="32" t="n">
        <f>5522475519</f>
        <v>5.522475519E9</v>
      </c>
      <c r="X294" s="36" t="n">
        <f>22</f>
        <v>22.0</v>
      </c>
    </row>
    <row r="295">
      <c r="A295" s="27" t="s">
        <v>42</v>
      </c>
      <c r="B295" s="27" t="s">
        <v>932</v>
      </c>
      <c r="C295" s="27" t="s">
        <v>933</v>
      </c>
      <c r="D295" s="27" t="s">
        <v>934</v>
      </c>
      <c r="E295" s="28" t="s">
        <v>46</v>
      </c>
      <c r="F295" s="29" t="s">
        <v>46</v>
      </c>
      <c r="G295" s="30" t="s">
        <v>46</v>
      </c>
      <c r="H295" s="31"/>
      <c r="I295" s="31" t="s">
        <v>47</v>
      </c>
      <c r="J295" s="32" t="n">
        <v>1.0</v>
      </c>
      <c r="K295" s="33" t="n">
        <f>24000</f>
        <v>24000.0</v>
      </c>
      <c r="L295" s="34" t="s">
        <v>48</v>
      </c>
      <c r="M295" s="33" t="n">
        <f>25665</f>
        <v>25665.0</v>
      </c>
      <c r="N295" s="34" t="s">
        <v>49</v>
      </c>
      <c r="O295" s="33" t="n">
        <f>23820</f>
        <v>23820.0</v>
      </c>
      <c r="P295" s="34" t="s">
        <v>48</v>
      </c>
      <c r="Q295" s="33" t="n">
        <f>25600</f>
        <v>25600.0</v>
      </c>
      <c r="R295" s="34" t="s">
        <v>49</v>
      </c>
      <c r="S295" s="35" t="n">
        <f>24799.55</f>
        <v>24799.55</v>
      </c>
      <c r="T295" s="32" t="n">
        <f>442799</f>
        <v>442799.0</v>
      </c>
      <c r="U295" s="32" t="n">
        <f>34398</f>
        <v>34398.0</v>
      </c>
      <c r="V295" s="32" t="n">
        <f>10997014697</f>
        <v>1.0997014697E10</v>
      </c>
      <c r="W295" s="32" t="n">
        <f>854799137</f>
        <v>8.54799137E8</v>
      </c>
      <c r="X295" s="36" t="n">
        <f>22</f>
        <v>22.0</v>
      </c>
    </row>
    <row r="296">
      <c r="A296" s="27" t="s">
        <v>42</v>
      </c>
      <c r="B296" s="27" t="s">
        <v>935</v>
      </c>
      <c r="C296" s="27" t="s">
        <v>936</v>
      </c>
      <c r="D296" s="27" t="s">
        <v>937</v>
      </c>
      <c r="E296" s="28" t="s">
        <v>46</v>
      </c>
      <c r="F296" s="29" t="s">
        <v>46</v>
      </c>
      <c r="G296" s="30" t="s">
        <v>46</v>
      </c>
      <c r="H296" s="31"/>
      <c r="I296" s="31" t="s">
        <v>47</v>
      </c>
      <c r="J296" s="32" t="n">
        <v>1.0</v>
      </c>
      <c r="K296" s="33" t="n">
        <f>48180</f>
        <v>48180.0</v>
      </c>
      <c r="L296" s="34" t="s">
        <v>48</v>
      </c>
      <c r="M296" s="33" t="n">
        <f>76880</f>
        <v>76880.0</v>
      </c>
      <c r="N296" s="34" t="s">
        <v>50</v>
      </c>
      <c r="O296" s="33" t="n">
        <f>42300</f>
        <v>42300.0</v>
      </c>
      <c r="P296" s="34" t="s">
        <v>233</v>
      </c>
      <c r="Q296" s="33" t="n">
        <f>44830</f>
        <v>44830.0</v>
      </c>
      <c r="R296" s="34" t="s">
        <v>49</v>
      </c>
      <c r="S296" s="35" t="n">
        <f>45613.13</f>
        <v>45613.13</v>
      </c>
      <c r="T296" s="32" t="n">
        <f>709</f>
        <v>709.0</v>
      </c>
      <c r="U296" s="32" t="n">
        <f>3</f>
        <v>3.0</v>
      </c>
      <c r="V296" s="32" t="n">
        <f>36455203</f>
        <v>3.6455203E7</v>
      </c>
      <c r="W296" s="32" t="n">
        <f>133263</f>
        <v>133263.0</v>
      </c>
      <c r="X296" s="36" t="n">
        <f>16</f>
        <v>16.0</v>
      </c>
    </row>
    <row r="297">
      <c r="A297" s="27" t="s">
        <v>42</v>
      </c>
      <c r="B297" s="27" t="s">
        <v>938</v>
      </c>
      <c r="C297" s="27" t="s">
        <v>939</v>
      </c>
      <c r="D297" s="27" t="s">
        <v>940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1.0</v>
      </c>
      <c r="K297" s="33" t="n">
        <f>2185</f>
        <v>2185.0</v>
      </c>
      <c r="L297" s="34" t="s">
        <v>48</v>
      </c>
      <c r="M297" s="33" t="n">
        <f>2188</f>
        <v>2188.0</v>
      </c>
      <c r="N297" s="34" t="s">
        <v>48</v>
      </c>
      <c r="O297" s="33" t="n">
        <f>2155</f>
        <v>2155.0</v>
      </c>
      <c r="P297" s="34" t="s">
        <v>116</v>
      </c>
      <c r="Q297" s="33" t="n">
        <f>2183</f>
        <v>2183.0</v>
      </c>
      <c r="R297" s="34" t="s">
        <v>49</v>
      </c>
      <c r="S297" s="35" t="n">
        <f>2175.64</f>
        <v>2175.64</v>
      </c>
      <c r="T297" s="32" t="n">
        <f>1620552</f>
        <v>1620552.0</v>
      </c>
      <c r="U297" s="32" t="n">
        <f>912900</f>
        <v>912900.0</v>
      </c>
      <c r="V297" s="32" t="n">
        <f>3519867372</f>
        <v>3.519867372E9</v>
      </c>
      <c r="W297" s="32" t="n">
        <f>1982945085</f>
        <v>1.982945085E9</v>
      </c>
      <c r="X297" s="36" t="n">
        <f>22</f>
        <v>22.0</v>
      </c>
    </row>
    <row r="298">
      <c r="A298" s="27" t="s">
        <v>42</v>
      </c>
      <c r="B298" s="27" t="s">
        <v>941</v>
      </c>
      <c r="C298" s="27" t="s">
        <v>942</v>
      </c>
      <c r="D298" s="27" t="s">
        <v>943</v>
      </c>
      <c r="E298" s="28" t="s">
        <v>46</v>
      </c>
      <c r="F298" s="29" t="s">
        <v>46</v>
      </c>
      <c r="G298" s="30" t="s">
        <v>46</v>
      </c>
      <c r="H298" s="31"/>
      <c r="I298" s="31" t="s">
        <v>47</v>
      </c>
      <c r="J298" s="32" t="n">
        <v>1.0</v>
      </c>
      <c r="K298" s="33" t="n">
        <f>3320</f>
        <v>3320.0</v>
      </c>
      <c r="L298" s="34" t="s">
        <v>48</v>
      </c>
      <c r="M298" s="33" t="n">
        <f>3416</f>
        <v>3416.0</v>
      </c>
      <c r="N298" s="34" t="s">
        <v>60</v>
      </c>
      <c r="O298" s="33" t="n">
        <f>3272</f>
        <v>3272.0</v>
      </c>
      <c r="P298" s="34" t="s">
        <v>61</v>
      </c>
      <c r="Q298" s="33" t="n">
        <f>3403</f>
        <v>3403.0</v>
      </c>
      <c r="R298" s="34" t="s">
        <v>49</v>
      </c>
      <c r="S298" s="35" t="n">
        <f>3343.55</f>
        <v>3343.55</v>
      </c>
      <c r="T298" s="32" t="n">
        <f>1665306</f>
        <v>1665306.0</v>
      </c>
      <c r="U298" s="32" t="n">
        <f>1491358</f>
        <v>1491358.0</v>
      </c>
      <c r="V298" s="32" t="n">
        <f>5516675463</f>
        <v>5.516675463E9</v>
      </c>
      <c r="W298" s="32" t="n">
        <f>4937129684</f>
        <v>4.937129684E9</v>
      </c>
      <c r="X298" s="36" t="n">
        <f>22</f>
        <v>22.0</v>
      </c>
    </row>
    <row r="299">
      <c r="A299" s="27" t="s">
        <v>42</v>
      </c>
      <c r="B299" s="27" t="s">
        <v>944</v>
      </c>
      <c r="C299" s="27" t="s">
        <v>945</v>
      </c>
      <c r="D299" s="27" t="s">
        <v>946</v>
      </c>
      <c r="E299" s="28" t="s">
        <v>46</v>
      </c>
      <c r="F299" s="29" t="s">
        <v>46</v>
      </c>
      <c r="G299" s="30" t="s">
        <v>46</v>
      </c>
      <c r="H299" s="31"/>
      <c r="I299" s="31" t="s">
        <v>47</v>
      </c>
      <c r="J299" s="32" t="n">
        <v>10.0</v>
      </c>
      <c r="K299" s="33" t="n">
        <f>363.7</f>
        <v>363.7</v>
      </c>
      <c r="L299" s="34" t="s">
        <v>48</v>
      </c>
      <c r="M299" s="33" t="n">
        <f>376.9</f>
        <v>376.9</v>
      </c>
      <c r="N299" s="34" t="s">
        <v>60</v>
      </c>
      <c r="O299" s="33" t="n">
        <f>358.2</f>
        <v>358.2</v>
      </c>
      <c r="P299" s="34" t="s">
        <v>61</v>
      </c>
      <c r="Q299" s="33" t="n">
        <f>374.5</f>
        <v>374.5</v>
      </c>
      <c r="R299" s="34" t="s">
        <v>49</v>
      </c>
      <c r="S299" s="35" t="n">
        <f>367.26</f>
        <v>367.26</v>
      </c>
      <c r="T299" s="32" t="n">
        <f>38667140</f>
        <v>3.866714E7</v>
      </c>
      <c r="U299" s="32" t="n">
        <f>24910680</f>
        <v>2.491068E7</v>
      </c>
      <c r="V299" s="32" t="n">
        <f>14271228351</f>
        <v>1.4271228351E10</v>
      </c>
      <c r="W299" s="32" t="n">
        <f>9216911969</f>
        <v>9.216911969E9</v>
      </c>
      <c r="X299" s="36" t="n">
        <f>22</f>
        <v>22.0</v>
      </c>
    </row>
    <row r="300">
      <c r="A300" s="27" t="s">
        <v>42</v>
      </c>
      <c r="B300" s="27" t="s">
        <v>947</v>
      </c>
      <c r="C300" s="27" t="s">
        <v>948</v>
      </c>
      <c r="D300" s="27" t="s">
        <v>949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1.0</v>
      </c>
      <c r="K300" s="33" t="n">
        <f>3163</f>
        <v>3163.0</v>
      </c>
      <c r="L300" s="34" t="s">
        <v>48</v>
      </c>
      <c r="M300" s="33" t="n">
        <f>3208</f>
        <v>3208.0</v>
      </c>
      <c r="N300" s="34" t="s">
        <v>229</v>
      </c>
      <c r="O300" s="33" t="n">
        <f>3066</f>
        <v>3066.0</v>
      </c>
      <c r="P300" s="34" t="s">
        <v>156</v>
      </c>
      <c r="Q300" s="33" t="n">
        <f>3150</f>
        <v>3150.0</v>
      </c>
      <c r="R300" s="34" t="s">
        <v>49</v>
      </c>
      <c r="S300" s="35" t="n">
        <f>3142.64</f>
        <v>3142.64</v>
      </c>
      <c r="T300" s="32" t="n">
        <f>1328673</f>
        <v>1328673.0</v>
      </c>
      <c r="U300" s="32" t="n">
        <f>274435</f>
        <v>274435.0</v>
      </c>
      <c r="V300" s="32" t="n">
        <f>4169220237</f>
        <v>4.169220237E9</v>
      </c>
      <c r="W300" s="32" t="n">
        <f>853718995</f>
        <v>8.53718995E8</v>
      </c>
      <c r="X300" s="36" t="n">
        <f>22</f>
        <v>22.0</v>
      </c>
    </row>
    <row r="301">
      <c r="A301" s="27" t="s">
        <v>42</v>
      </c>
      <c r="B301" s="27" t="s">
        <v>950</v>
      </c>
      <c r="C301" s="27" t="s">
        <v>951</v>
      </c>
      <c r="D301" s="27" t="s">
        <v>952</v>
      </c>
      <c r="E301" s="28" t="s">
        <v>46</v>
      </c>
      <c r="F301" s="29" t="s">
        <v>46</v>
      </c>
      <c r="G301" s="30" t="s">
        <v>46</v>
      </c>
      <c r="H301" s="31"/>
      <c r="I301" s="31" t="s">
        <v>47</v>
      </c>
      <c r="J301" s="32" t="n">
        <v>1.0</v>
      </c>
      <c r="K301" s="33" t="n">
        <f>911</f>
        <v>911.0</v>
      </c>
      <c r="L301" s="34" t="s">
        <v>48</v>
      </c>
      <c r="M301" s="33" t="n">
        <f>946</f>
        <v>946.0</v>
      </c>
      <c r="N301" s="34" t="s">
        <v>474</v>
      </c>
      <c r="O301" s="33" t="n">
        <f>906</f>
        <v>906.0</v>
      </c>
      <c r="P301" s="34" t="s">
        <v>48</v>
      </c>
      <c r="Q301" s="33" t="n">
        <f>940</f>
        <v>940.0</v>
      </c>
      <c r="R301" s="34" t="s">
        <v>49</v>
      </c>
      <c r="S301" s="35" t="n">
        <f>931.77</f>
        <v>931.77</v>
      </c>
      <c r="T301" s="32" t="n">
        <f>348417</f>
        <v>348417.0</v>
      </c>
      <c r="U301" s="32" t="n">
        <f>92078</f>
        <v>92078.0</v>
      </c>
      <c r="V301" s="32" t="n">
        <f>325056918</f>
        <v>3.25056918E8</v>
      </c>
      <c r="W301" s="32" t="n">
        <f>86416845</f>
        <v>8.6416845E7</v>
      </c>
      <c r="X301" s="36" t="n">
        <f>22</f>
        <v>22.0</v>
      </c>
    </row>
    <row r="302">
      <c r="A302" s="27" t="s">
        <v>42</v>
      </c>
      <c r="B302" s="27" t="s">
        <v>953</v>
      </c>
      <c r="C302" s="27" t="s">
        <v>954</v>
      </c>
      <c r="D302" s="27" t="s">
        <v>955</v>
      </c>
      <c r="E302" s="28" t="s">
        <v>46</v>
      </c>
      <c r="F302" s="29" t="s">
        <v>46</v>
      </c>
      <c r="G302" s="30" t="s">
        <v>46</v>
      </c>
      <c r="H302" s="31"/>
      <c r="I302" s="31" t="s">
        <v>47</v>
      </c>
      <c r="J302" s="32" t="n">
        <v>1.0</v>
      </c>
      <c r="K302" s="33" t="n">
        <f>1096</f>
        <v>1096.0</v>
      </c>
      <c r="L302" s="34" t="s">
        <v>48</v>
      </c>
      <c r="M302" s="33" t="n">
        <f>1115</f>
        <v>1115.0</v>
      </c>
      <c r="N302" s="34" t="s">
        <v>68</v>
      </c>
      <c r="O302" s="33" t="n">
        <f>1067</f>
        <v>1067.0</v>
      </c>
      <c r="P302" s="34" t="s">
        <v>156</v>
      </c>
      <c r="Q302" s="33" t="n">
        <f>1107</f>
        <v>1107.0</v>
      </c>
      <c r="R302" s="34" t="s">
        <v>49</v>
      </c>
      <c r="S302" s="35" t="n">
        <f>1097.91</f>
        <v>1097.91</v>
      </c>
      <c r="T302" s="32" t="n">
        <f>4211696</f>
        <v>4211696.0</v>
      </c>
      <c r="U302" s="32" t="n">
        <f>3962492</f>
        <v>3962492.0</v>
      </c>
      <c r="V302" s="32" t="n">
        <f>4603754798</f>
        <v>4.603754798E9</v>
      </c>
      <c r="W302" s="32" t="n">
        <f>4332276145</f>
        <v>4.332276145E9</v>
      </c>
      <c r="X302" s="36" t="n">
        <f>22</f>
        <v>22.0</v>
      </c>
    </row>
    <row r="303">
      <c r="A303" s="27" t="s">
        <v>42</v>
      </c>
      <c r="B303" s="27" t="s">
        <v>956</v>
      </c>
      <c r="C303" s="27" t="s">
        <v>957</v>
      </c>
      <c r="D303" s="27" t="s">
        <v>958</v>
      </c>
      <c r="E303" s="28" t="s">
        <v>46</v>
      </c>
      <c r="F303" s="29" t="s">
        <v>46</v>
      </c>
      <c r="G303" s="30" t="s">
        <v>46</v>
      </c>
      <c r="H303" s="31"/>
      <c r="I303" s="31" t="s">
        <v>47</v>
      </c>
      <c r="J303" s="32" t="n">
        <v>10.0</v>
      </c>
      <c r="K303" s="33" t="n">
        <f>415.1</f>
        <v>415.1</v>
      </c>
      <c r="L303" s="34" t="s">
        <v>48</v>
      </c>
      <c r="M303" s="33" t="n">
        <f>444.2</f>
        <v>444.2</v>
      </c>
      <c r="N303" s="34" t="s">
        <v>68</v>
      </c>
      <c r="O303" s="33" t="n">
        <f>407.1</f>
        <v>407.1</v>
      </c>
      <c r="P303" s="34" t="s">
        <v>48</v>
      </c>
      <c r="Q303" s="33" t="n">
        <f>427.8</f>
        <v>427.8</v>
      </c>
      <c r="R303" s="34" t="s">
        <v>49</v>
      </c>
      <c r="S303" s="35" t="n">
        <f>429.68</f>
        <v>429.68</v>
      </c>
      <c r="T303" s="32" t="n">
        <f>25960</f>
        <v>25960.0</v>
      </c>
      <c r="U303" s="32" t="n">
        <f>10</f>
        <v>10.0</v>
      </c>
      <c r="V303" s="32" t="n">
        <f>11240052</f>
        <v>1.1240052E7</v>
      </c>
      <c r="W303" s="32" t="n">
        <f>4237</f>
        <v>4237.0</v>
      </c>
      <c r="X303" s="36" t="n">
        <f>18</f>
        <v>18.0</v>
      </c>
    </row>
    <row r="304">
      <c r="A304" s="27" t="s">
        <v>42</v>
      </c>
      <c r="B304" s="27" t="s">
        <v>959</v>
      </c>
      <c r="C304" s="27" t="s">
        <v>960</v>
      </c>
      <c r="D304" s="27" t="s">
        <v>961</v>
      </c>
      <c r="E304" s="28" t="s">
        <v>46</v>
      </c>
      <c r="F304" s="29" t="s">
        <v>46</v>
      </c>
      <c r="G304" s="30" t="s">
        <v>46</v>
      </c>
      <c r="H304" s="31"/>
      <c r="I304" s="31" t="s">
        <v>47</v>
      </c>
      <c r="J304" s="32" t="n">
        <v>1.0</v>
      </c>
      <c r="K304" s="33" t="n">
        <f>6254</f>
        <v>6254.0</v>
      </c>
      <c r="L304" s="34" t="s">
        <v>48</v>
      </c>
      <c r="M304" s="33" t="n">
        <f>6896</f>
        <v>6896.0</v>
      </c>
      <c r="N304" s="34" t="s">
        <v>79</v>
      </c>
      <c r="O304" s="33" t="n">
        <f>6200</f>
        <v>6200.0</v>
      </c>
      <c r="P304" s="34" t="s">
        <v>48</v>
      </c>
      <c r="Q304" s="33" t="n">
        <f>6861</f>
        <v>6861.0</v>
      </c>
      <c r="R304" s="34" t="s">
        <v>49</v>
      </c>
      <c r="S304" s="35" t="n">
        <f>6522.86</f>
        <v>6522.86</v>
      </c>
      <c r="T304" s="32" t="n">
        <f>362395</f>
        <v>362395.0</v>
      </c>
      <c r="U304" s="32" t="n">
        <f>357</f>
        <v>357.0</v>
      </c>
      <c r="V304" s="32" t="n">
        <f>2383559709</f>
        <v>2.383559709E9</v>
      </c>
      <c r="W304" s="32" t="n">
        <f>2446050</f>
        <v>2446050.0</v>
      </c>
      <c r="X304" s="36" t="n">
        <f>22</f>
        <v>22.0</v>
      </c>
    </row>
    <row r="305">
      <c r="A305" s="27" t="s">
        <v>42</v>
      </c>
      <c r="B305" s="27" t="s">
        <v>962</v>
      </c>
      <c r="C305" s="27" t="s">
        <v>963</v>
      </c>
      <c r="D305" s="27" t="s">
        <v>964</v>
      </c>
      <c r="E305" s="28" t="s">
        <v>46</v>
      </c>
      <c r="F305" s="29" t="s">
        <v>46</v>
      </c>
      <c r="G305" s="30" t="s">
        <v>46</v>
      </c>
      <c r="H305" s="31"/>
      <c r="I305" s="31" t="s">
        <v>47</v>
      </c>
      <c r="J305" s="32" t="n">
        <v>1.0</v>
      </c>
      <c r="K305" s="33" t="n">
        <f>3695</f>
        <v>3695.0</v>
      </c>
      <c r="L305" s="34" t="s">
        <v>48</v>
      </c>
      <c r="M305" s="33" t="n">
        <f>3936</f>
        <v>3936.0</v>
      </c>
      <c r="N305" s="34" t="s">
        <v>79</v>
      </c>
      <c r="O305" s="33" t="n">
        <f>3664</f>
        <v>3664.0</v>
      </c>
      <c r="P305" s="34" t="s">
        <v>61</v>
      </c>
      <c r="Q305" s="33" t="n">
        <f>3908</f>
        <v>3908.0</v>
      </c>
      <c r="R305" s="34" t="s">
        <v>49</v>
      </c>
      <c r="S305" s="35" t="n">
        <f>3769.27</f>
        <v>3769.27</v>
      </c>
      <c r="T305" s="32" t="n">
        <f>1747919</f>
        <v>1747919.0</v>
      </c>
      <c r="U305" s="32" t="n">
        <f>902700</f>
        <v>902700.0</v>
      </c>
      <c r="V305" s="32" t="n">
        <f>6658837189</f>
        <v>6.658837189E9</v>
      </c>
      <c r="W305" s="32" t="n">
        <f>3478089582</f>
        <v>3.478089582E9</v>
      </c>
      <c r="X305" s="36" t="n">
        <f>22</f>
        <v>22.0</v>
      </c>
    </row>
    <row r="306">
      <c r="A306" s="27" t="s">
        <v>42</v>
      </c>
      <c r="B306" s="27" t="s">
        <v>965</v>
      </c>
      <c r="C306" s="27" t="s">
        <v>966</v>
      </c>
      <c r="D306" s="27" t="s">
        <v>967</v>
      </c>
      <c r="E306" s="28" t="s">
        <v>46</v>
      </c>
      <c r="F306" s="29" t="s">
        <v>46</v>
      </c>
      <c r="G306" s="30" t="s">
        <v>46</v>
      </c>
      <c r="H306" s="31"/>
      <c r="I306" s="31" t="s">
        <v>47</v>
      </c>
      <c r="J306" s="32" t="n">
        <v>1.0</v>
      </c>
      <c r="K306" s="33" t="n">
        <f>2640</f>
        <v>2640.0</v>
      </c>
      <c r="L306" s="34" t="s">
        <v>48</v>
      </c>
      <c r="M306" s="33" t="n">
        <f>3570</f>
        <v>3570.0</v>
      </c>
      <c r="N306" s="34" t="s">
        <v>262</v>
      </c>
      <c r="O306" s="33" t="n">
        <f>2459</f>
        <v>2459.0</v>
      </c>
      <c r="P306" s="34" t="s">
        <v>48</v>
      </c>
      <c r="Q306" s="33" t="n">
        <f>2723</f>
        <v>2723.0</v>
      </c>
      <c r="R306" s="34" t="s">
        <v>49</v>
      </c>
      <c r="S306" s="35" t="n">
        <f>2621.45</f>
        <v>2621.45</v>
      </c>
      <c r="T306" s="32" t="n">
        <f>7187</f>
        <v>7187.0</v>
      </c>
      <c r="U306" s="32" t="str">
        <f>"－"</f>
        <v>－</v>
      </c>
      <c r="V306" s="32" t="n">
        <f>19550529</f>
        <v>1.9550529E7</v>
      </c>
      <c r="W306" s="32" t="str">
        <f>"－"</f>
        <v>－</v>
      </c>
      <c r="X306" s="36" t="n">
        <f>22</f>
        <v>22.0</v>
      </c>
    </row>
    <row r="307">
      <c r="A307" s="27" t="s">
        <v>42</v>
      </c>
      <c r="B307" s="27" t="s">
        <v>968</v>
      </c>
      <c r="C307" s="27" t="s">
        <v>969</v>
      </c>
      <c r="D307" s="27" t="s">
        <v>970</v>
      </c>
      <c r="E307" s="28" t="s">
        <v>46</v>
      </c>
      <c r="F307" s="29" t="s">
        <v>46</v>
      </c>
      <c r="G307" s="30" t="s">
        <v>46</v>
      </c>
      <c r="H307" s="31"/>
      <c r="I307" s="31" t="s">
        <v>47</v>
      </c>
      <c r="J307" s="32" t="n">
        <v>1.0</v>
      </c>
      <c r="K307" s="33" t="n">
        <f>2212</f>
        <v>2212.0</v>
      </c>
      <c r="L307" s="34" t="s">
        <v>48</v>
      </c>
      <c r="M307" s="33" t="n">
        <f>2328</f>
        <v>2328.0</v>
      </c>
      <c r="N307" s="34" t="s">
        <v>60</v>
      </c>
      <c r="O307" s="33" t="n">
        <f>2170</f>
        <v>2170.0</v>
      </c>
      <c r="P307" s="34" t="s">
        <v>79</v>
      </c>
      <c r="Q307" s="33" t="n">
        <f>2279</f>
        <v>2279.0</v>
      </c>
      <c r="R307" s="34" t="s">
        <v>49</v>
      </c>
      <c r="S307" s="35" t="n">
        <f>2229.36</f>
        <v>2229.36</v>
      </c>
      <c r="T307" s="32" t="n">
        <f>51224</f>
        <v>51224.0</v>
      </c>
      <c r="U307" s="32" t="str">
        <f>"－"</f>
        <v>－</v>
      </c>
      <c r="V307" s="32" t="n">
        <f>114888627</f>
        <v>1.14888627E8</v>
      </c>
      <c r="W307" s="32" t="str">
        <f>"－"</f>
        <v>－</v>
      </c>
      <c r="X307" s="36" t="n">
        <f>22</f>
        <v>22.0</v>
      </c>
    </row>
    <row r="308">
      <c r="A308" s="27" t="s">
        <v>42</v>
      </c>
      <c r="B308" s="27" t="s">
        <v>971</v>
      </c>
      <c r="C308" s="27" t="s">
        <v>972</v>
      </c>
      <c r="D308" s="27" t="s">
        <v>973</v>
      </c>
      <c r="E308" s="28" t="s">
        <v>46</v>
      </c>
      <c r="F308" s="29" t="s">
        <v>46</v>
      </c>
      <c r="G308" s="30" t="s">
        <v>46</v>
      </c>
      <c r="H308" s="31"/>
      <c r="I308" s="31" t="s">
        <v>47</v>
      </c>
      <c r="J308" s="32" t="n">
        <v>10.0</v>
      </c>
      <c r="K308" s="33" t="n">
        <f>345.9</f>
        <v>345.9</v>
      </c>
      <c r="L308" s="34" t="s">
        <v>48</v>
      </c>
      <c r="M308" s="33" t="n">
        <f>358</f>
        <v>358.0</v>
      </c>
      <c r="N308" s="34" t="s">
        <v>49</v>
      </c>
      <c r="O308" s="33" t="n">
        <f>343.4</f>
        <v>343.4</v>
      </c>
      <c r="P308" s="34" t="s">
        <v>69</v>
      </c>
      <c r="Q308" s="33" t="n">
        <f>358</f>
        <v>358.0</v>
      </c>
      <c r="R308" s="34" t="s">
        <v>49</v>
      </c>
      <c r="S308" s="35" t="n">
        <f>352.22</f>
        <v>352.22</v>
      </c>
      <c r="T308" s="32" t="n">
        <f>5335040</f>
        <v>5335040.0</v>
      </c>
      <c r="U308" s="32" t="n">
        <f>3893080</f>
        <v>3893080.0</v>
      </c>
      <c r="V308" s="32" t="n">
        <f>1881538667</f>
        <v>1.881538667E9</v>
      </c>
      <c r="W308" s="32" t="n">
        <f>1373402327</f>
        <v>1.373402327E9</v>
      </c>
      <c r="X308" s="36" t="n">
        <f>22</f>
        <v>22.0</v>
      </c>
    </row>
    <row r="309">
      <c r="A309" s="27" t="s">
        <v>42</v>
      </c>
      <c r="B309" s="27" t="s">
        <v>974</v>
      </c>
      <c r="C309" s="27" t="s">
        <v>975</v>
      </c>
      <c r="D309" s="27" t="s">
        <v>976</v>
      </c>
      <c r="E309" s="28" t="s">
        <v>46</v>
      </c>
      <c r="F309" s="29" t="s">
        <v>46</v>
      </c>
      <c r="G309" s="30" t="s">
        <v>46</v>
      </c>
      <c r="H309" s="31"/>
      <c r="I309" s="31" t="s">
        <v>47</v>
      </c>
      <c r="J309" s="32" t="n">
        <v>1.0</v>
      </c>
      <c r="K309" s="33" t="n">
        <f>1117</f>
        <v>1117.0</v>
      </c>
      <c r="L309" s="34" t="s">
        <v>48</v>
      </c>
      <c r="M309" s="33" t="n">
        <f>1144</f>
        <v>1144.0</v>
      </c>
      <c r="N309" s="34" t="s">
        <v>203</v>
      </c>
      <c r="O309" s="33" t="n">
        <f>1107</f>
        <v>1107.0</v>
      </c>
      <c r="P309" s="34" t="s">
        <v>229</v>
      </c>
      <c r="Q309" s="33" t="n">
        <f>1121</f>
        <v>1121.0</v>
      </c>
      <c r="R309" s="34" t="s">
        <v>49</v>
      </c>
      <c r="S309" s="35" t="n">
        <f>1126.09</f>
        <v>1126.09</v>
      </c>
      <c r="T309" s="32" t="n">
        <f>18138028</f>
        <v>1.8138028E7</v>
      </c>
      <c r="U309" s="32" t="n">
        <f>38450</f>
        <v>38450.0</v>
      </c>
      <c r="V309" s="32" t="n">
        <f>20434722981</f>
        <v>2.0434722981E10</v>
      </c>
      <c r="W309" s="32" t="n">
        <f>43861945</f>
        <v>4.3861945E7</v>
      </c>
      <c r="X309" s="36" t="n">
        <f>22</f>
        <v>22.0</v>
      </c>
    </row>
    <row r="310">
      <c r="A310" s="27" t="s">
        <v>42</v>
      </c>
      <c r="B310" s="27" t="s">
        <v>977</v>
      </c>
      <c r="C310" s="27" t="s">
        <v>978</v>
      </c>
      <c r="D310" s="27" t="s">
        <v>979</v>
      </c>
      <c r="E310" s="28" t="s">
        <v>46</v>
      </c>
      <c r="F310" s="29" t="s">
        <v>46</v>
      </c>
      <c r="G310" s="30" t="s">
        <v>46</v>
      </c>
      <c r="H310" s="31"/>
      <c r="I310" s="31" t="s">
        <v>47</v>
      </c>
      <c r="J310" s="32" t="n">
        <v>1.0</v>
      </c>
      <c r="K310" s="33" t="n">
        <f>1772</f>
        <v>1772.0</v>
      </c>
      <c r="L310" s="34" t="s">
        <v>48</v>
      </c>
      <c r="M310" s="33" t="n">
        <f>1785</f>
        <v>1785.0</v>
      </c>
      <c r="N310" s="34" t="s">
        <v>49</v>
      </c>
      <c r="O310" s="33" t="n">
        <f>1744</f>
        <v>1744.0</v>
      </c>
      <c r="P310" s="34" t="s">
        <v>80</v>
      </c>
      <c r="Q310" s="33" t="n">
        <f>1770</f>
        <v>1770.0</v>
      </c>
      <c r="R310" s="34" t="s">
        <v>49</v>
      </c>
      <c r="S310" s="35" t="n">
        <f>1765.18</f>
        <v>1765.18</v>
      </c>
      <c r="T310" s="32" t="n">
        <f>48680</f>
        <v>48680.0</v>
      </c>
      <c r="U310" s="32" t="str">
        <f>"－"</f>
        <v>－</v>
      </c>
      <c r="V310" s="32" t="n">
        <f>85980720</f>
        <v>8.598072E7</v>
      </c>
      <c r="W310" s="32" t="str">
        <f>"－"</f>
        <v>－</v>
      </c>
      <c r="X310" s="36" t="n">
        <f>22</f>
        <v>22.0</v>
      </c>
    </row>
    <row r="311">
      <c r="A311" s="27" t="s">
        <v>42</v>
      </c>
      <c r="B311" s="27" t="s">
        <v>980</v>
      </c>
      <c r="C311" s="27" t="s">
        <v>981</v>
      </c>
      <c r="D311" s="27" t="s">
        <v>982</v>
      </c>
      <c r="E311" s="28" t="s">
        <v>46</v>
      </c>
      <c r="F311" s="29" t="s">
        <v>46</v>
      </c>
      <c r="G311" s="30" t="s">
        <v>46</v>
      </c>
      <c r="H311" s="31"/>
      <c r="I311" s="31" t="s">
        <v>47</v>
      </c>
      <c r="J311" s="32" t="n">
        <v>1.0</v>
      </c>
      <c r="K311" s="33" t="n">
        <f>2056</f>
        <v>2056.0</v>
      </c>
      <c r="L311" s="34" t="s">
        <v>48</v>
      </c>
      <c r="M311" s="33" t="n">
        <f>2074</f>
        <v>2074.0</v>
      </c>
      <c r="N311" s="34" t="s">
        <v>202</v>
      </c>
      <c r="O311" s="33" t="n">
        <f>2001</f>
        <v>2001.0</v>
      </c>
      <c r="P311" s="34" t="s">
        <v>116</v>
      </c>
      <c r="Q311" s="33" t="n">
        <f>2011</f>
        <v>2011.0</v>
      </c>
      <c r="R311" s="34" t="s">
        <v>49</v>
      </c>
      <c r="S311" s="35" t="n">
        <f>2026.32</f>
        <v>2026.32</v>
      </c>
      <c r="T311" s="32" t="n">
        <f>218540</f>
        <v>218540.0</v>
      </c>
      <c r="U311" s="32" t="n">
        <f>198000</f>
        <v>198000.0</v>
      </c>
      <c r="V311" s="32" t="n">
        <f>439277945</f>
        <v>4.39277945E8</v>
      </c>
      <c r="W311" s="32" t="n">
        <f>397821600</f>
        <v>3.978216E8</v>
      </c>
      <c r="X311" s="36" t="n">
        <f>22</f>
        <v>22.0</v>
      </c>
    </row>
    <row r="312">
      <c r="A312" s="27" t="s">
        <v>42</v>
      </c>
      <c r="B312" s="27" t="s">
        <v>983</v>
      </c>
      <c r="C312" s="27" t="s">
        <v>984</v>
      </c>
      <c r="D312" s="27" t="s">
        <v>985</v>
      </c>
      <c r="E312" s="28" t="s">
        <v>46</v>
      </c>
      <c r="F312" s="29" t="s">
        <v>46</v>
      </c>
      <c r="G312" s="30" t="s">
        <v>46</v>
      </c>
      <c r="H312" s="31"/>
      <c r="I312" s="31" t="s">
        <v>47</v>
      </c>
      <c r="J312" s="32" t="n">
        <v>1.0</v>
      </c>
      <c r="K312" s="33" t="n">
        <f>4528</f>
        <v>4528.0</v>
      </c>
      <c r="L312" s="34" t="s">
        <v>48</v>
      </c>
      <c r="M312" s="33" t="n">
        <f>5355</f>
        <v>5355.0</v>
      </c>
      <c r="N312" s="34" t="s">
        <v>79</v>
      </c>
      <c r="O312" s="33" t="n">
        <f>4489</f>
        <v>4489.0</v>
      </c>
      <c r="P312" s="34" t="s">
        <v>48</v>
      </c>
      <c r="Q312" s="33" t="n">
        <f>5258</f>
        <v>5258.0</v>
      </c>
      <c r="R312" s="34" t="s">
        <v>49</v>
      </c>
      <c r="S312" s="35" t="n">
        <f>4904.86</f>
        <v>4904.86</v>
      </c>
      <c r="T312" s="32" t="n">
        <f>1180168</f>
        <v>1180168.0</v>
      </c>
      <c r="U312" s="32" t="n">
        <f>510118</f>
        <v>510118.0</v>
      </c>
      <c r="V312" s="32" t="n">
        <f>5683209158</f>
        <v>5.683209158E9</v>
      </c>
      <c r="W312" s="32" t="n">
        <f>2422452905</f>
        <v>2.422452905E9</v>
      </c>
      <c r="X312" s="36" t="n">
        <f>22</f>
        <v>22.0</v>
      </c>
    </row>
    <row r="313">
      <c r="A313" s="27" t="s">
        <v>42</v>
      </c>
      <c r="B313" s="27" t="s">
        <v>986</v>
      </c>
      <c r="C313" s="27" t="s">
        <v>987</v>
      </c>
      <c r="D313" s="27" t="s">
        <v>988</v>
      </c>
      <c r="E313" s="28" t="s">
        <v>46</v>
      </c>
      <c r="F313" s="29" t="s">
        <v>46</v>
      </c>
      <c r="G313" s="30" t="s">
        <v>46</v>
      </c>
      <c r="H313" s="31"/>
      <c r="I313" s="31" t="s">
        <v>47</v>
      </c>
      <c r="J313" s="32" t="n">
        <v>1.0</v>
      </c>
      <c r="K313" s="33" t="n">
        <f>3160</f>
        <v>3160.0</v>
      </c>
      <c r="L313" s="34" t="s">
        <v>48</v>
      </c>
      <c r="M313" s="33" t="n">
        <f>3351</f>
        <v>3351.0</v>
      </c>
      <c r="N313" s="34" t="s">
        <v>49</v>
      </c>
      <c r="O313" s="33" t="n">
        <f>3108</f>
        <v>3108.0</v>
      </c>
      <c r="P313" s="34" t="s">
        <v>50</v>
      </c>
      <c r="Q313" s="33" t="n">
        <f>3324</f>
        <v>3324.0</v>
      </c>
      <c r="R313" s="34" t="s">
        <v>49</v>
      </c>
      <c r="S313" s="35" t="n">
        <f>3239.68</f>
        <v>3239.68</v>
      </c>
      <c r="T313" s="32" t="n">
        <f>1317799</f>
        <v>1317799.0</v>
      </c>
      <c r="U313" s="32" t="n">
        <f>593437</f>
        <v>593437.0</v>
      </c>
      <c r="V313" s="32" t="n">
        <f>4279027759</f>
        <v>4.279027759E9</v>
      </c>
      <c r="W313" s="32" t="n">
        <f>1915060732</f>
        <v>1.915060732E9</v>
      </c>
      <c r="X313" s="36" t="n">
        <f>22</f>
        <v>22.0</v>
      </c>
    </row>
    <row r="314">
      <c r="A314" s="27" t="s">
        <v>42</v>
      </c>
      <c r="B314" s="27" t="s">
        <v>989</v>
      </c>
      <c r="C314" s="27" t="s">
        <v>990</v>
      </c>
      <c r="D314" s="27" t="s">
        <v>991</v>
      </c>
      <c r="E314" s="28" t="s">
        <v>46</v>
      </c>
      <c r="F314" s="29" t="s">
        <v>46</v>
      </c>
      <c r="G314" s="30" t="s">
        <v>46</v>
      </c>
      <c r="H314" s="31"/>
      <c r="I314" s="31" t="s">
        <v>47</v>
      </c>
      <c r="J314" s="32" t="n">
        <v>1.0</v>
      </c>
      <c r="K314" s="33" t="n">
        <f>3045</f>
        <v>3045.0</v>
      </c>
      <c r="L314" s="34" t="s">
        <v>48</v>
      </c>
      <c r="M314" s="33" t="n">
        <f>3246</f>
        <v>3246.0</v>
      </c>
      <c r="N314" s="34" t="s">
        <v>49</v>
      </c>
      <c r="O314" s="33" t="n">
        <f>2973</f>
        <v>2973.0</v>
      </c>
      <c r="P314" s="34" t="s">
        <v>50</v>
      </c>
      <c r="Q314" s="33" t="n">
        <f>3223</f>
        <v>3223.0</v>
      </c>
      <c r="R314" s="34" t="s">
        <v>49</v>
      </c>
      <c r="S314" s="35" t="n">
        <f>3114.36</f>
        <v>3114.36</v>
      </c>
      <c r="T314" s="32" t="n">
        <f>95394</f>
        <v>95394.0</v>
      </c>
      <c r="U314" s="32" t="n">
        <f>1120</f>
        <v>1120.0</v>
      </c>
      <c r="V314" s="32" t="n">
        <f>298707020</f>
        <v>2.9870702E8</v>
      </c>
      <c r="W314" s="32" t="n">
        <f>3471660</f>
        <v>3471660.0</v>
      </c>
      <c r="X314" s="36" t="n">
        <f>22</f>
        <v>22.0</v>
      </c>
    </row>
    <row r="315">
      <c r="A315" s="27" t="s">
        <v>42</v>
      </c>
      <c r="B315" s="27" t="s">
        <v>992</v>
      </c>
      <c r="C315" s="27" t="s">
        <v>993</v>
      </c>
      <c r="D315" s="27" t="s">
        <v>994</v>
      </c>
      <c r="E315" s="28" t="s">
        <v>46</v>
      </c>
      <c r="F315" s="29" t="s">
        <v>46</v>
      </c>
      <c r="G315" s="30" t="s">
        <v>46</v>
      </c>
      <c r="H315" s="31"/>
      <c r="I315" s="31" t="s">
        <v>47</v>
      </c>
      <c r="J315" s="32" t="n">
        <v>1.0</v>
      </c>
      <c r="K315" s="33" t="n">
        <f>1530</f>
        <v>1530.0</v>
      </c>
      <c r="L315" s="34" t="s">
        <v>48</v>
      </c>
      <c r="M315" s="33" t="n">
        <f>1530</f>
        <v>1530.0</v>
      </c>
      <c r="N315" s="34" t="s">
        <v>48</v>
      </c>
      <c r="O315" s="33" t="n">
        <f>1460</f>
        <v>1460.0</v>
      </c>
      <c r="P315" s="34" t="s">
        <v>156</v>
      </c>
      <c r="Q315" s="33" t="n">
        <f>1499</f>
        <v>1499.0</v>
      </c>
      <c r="R315" s="34" t="s">
        <v>49</v>
      </c>
      <c r="S315" s="35" t="n">
        <f>1490.05</f>
        <v>1490.05</v>
      </c>
      <c r="T315" s="32" t="n">
        <f>23649</f>
        <v>23649.0</v>
      </c>
      <c r="U315" s="32" t="n">
        <f>130</f>
        <v>130.0</v>
      </c>
      <c r="V315" s="32" t="n">
        <f>35562832</f>
        <v>3.5562832E7</v>
      </c>
      <c r="W315" s="32" t="n">
        <f>193745</f>
        <v>193745.0</v>
      </c>
      <c r="X315" s="36" t="n">
        <f>22</f>
        <v>22.0</v>
      </c>
    </row>
    <row r="316">
      <c r="A316" s="27" t="s">
        <v>42</v>
      </c>
      <c r="B316" s="27" t="s">
        <v>995</v>
      </c>
      <c r="C316" s="27" t="s">
        <v>996</v>
      </c>
      <c r="D316" s="27" t="s">
        <v>997</v>
      </c>
      <c r="E316" s="28" t="s">
        <v>46</v>
      </c>
      <c r="F316" s="29" t="s">
        <v>46</v>
      </c>
      <c r="G316" s="30" t="s">
        <v>46</v>
      </c>
      <c r="H316" s="31"/>
      <c r="I316" s="31" t="s">
        <v>47</v>
      </c>
      <c r="J316" s="32" t="n">
        <v>1.0</v>
      </c>
      <c r="K316" s="33" t="n">
        <f>3400</f>
        <v>3400.0</v>
      </c>
      <c r="L316" s="34" t="s">
        <v>48</v>
      </c>
      <c r="M316" s="33" t="n">
        <f>3542</f>
        <v>3542.0</v>
      </c>
      <c r="N316" s="34" t="s">
        <v>50</v>
      </c>
      <c r="O316" s="33" t="n">
        <f>2733</f>
        <v>2733.0</v>
      </c>
      <c r="P316" s="34" t="s">
        <v>61</v>
      </c>
      <c r="Q316" s="33" t="n">
        <f>2961</f>
        <v>2961.0</v>
      </c>
      <c r="R316" s="34" t="s">
        <v>49</v>
      </c>
      <c r="S316" s="35" t="n">
        <f>3011.14</f>
        <v>3011.14</v>
      </c>
      <c r="T316" s="32" t="n">
        <f>578936</f>
        <v>578936.0</v>
      </c>
      <c r="U316" s="32" t="n">
        <f>4700</f>
        <v>4700.0</v>
      </c>
      <c r="V316" s="32" t="n">
        <f>1825081540</f>
        <v>1.82508154E9</v>
      </c>
      <c r="W316" s="32" t="n">
        <f>15091700</f>
        <v>1.50917E7</v>
      </c>
      <c r="X316" s="36" t="n">
        <f>22</f>
        <v>22.0</v>
      </c>
    </row>
    <row r="317">
      <c r="A317" s="27" t="s">
        <v>42</v>
      </c>
      <c r="B317" s="27" t="s">
        <v>998</v>
      </c>
      <c r="C317" s="27" t="s">
        <v>999</v>
      </c>
      <c r="D317" s="27" t="s">
        <v>1000</v>
      </c>
      <c r="E317" s="28" t="s">
        <v>46</v>
      </c>
      <c r="F317" s="29" t="s">
        <v>46</v>
      </c>
      <c r="G317" s="30" t="s">
        <v>46</v>
      </c>
      <c r="H317" s="31"/>
      <c r="I317" s="31" t="s">
        <v>47</v>
      </c>
      <c r="J317" s="32" t="n">
        <v>1.0</v>
      </c>
      <c r="K317" s="33" t="n">
        <f>7805</f>
        <v>7805.0</v>
      </c>
      <c r="L317" s="34" t="s">
        <v>48</v>
      </c>
      <c r="M317" s="33" t="n">
        <f>7805</f>
        <v>7805.0</v>
      </c>
      <c r="N317" s="34" t="s">
        <v>48</v>
      </c>
      <c r="O317" s="33" t="n">
        <f>3350</f>
        <v>3350.0</v>
      </c>
      <c r="P317" s="34" t="s">
        <v>87</v>
      </c>
      <c r="Q317" s="33" t="n">
        <f>3665</f>
        <v>3665.0</v>
      </c>
      <c r="R317" s="34" t="s">
        <v>49</v>
      </c>
      <c r="S317" s="35" t="n">
        <f>3965.41</f>
        <v>3965.41</v>
      </c>
      <c r="T317" s="32" t="n">
        <f>273897</f>
        <v>273897.0</v>
      </c>
      <c r="U317" s="32" t="n">
        <f>7239</f>
        <v>7239.0</v>
      </c>
      <c r="V317" s="32" t="n">
        <f>1289745709</f>
        <v>1.289745709E9</v>
      </c>
      <c r="W317" s="32" t="n">
        <f>32658585</f>
        <v>3.2658585E7</v>
      </c>
      <c r="X317" s="36" t="n">
        <f>22</f>
        <v>22.0</v>
      </c>
    </row>
    <row r="318">
      <c r="A318" s="27" t="s">
        <v>42</v>
      </c>
      <c r="B318" s="27" t="s">
        <v>1001</v>
      </c>
      <c r="C318" s="27" t="s">
        <v>1002</v>
      </c>
      <c r="D318" s="27" t="s">
        <v>1003</v>
      </c>
      <c r="E318" s="28" t="s">
        <v>46</v>
      </c>
      <c r="F318" s="29" t="s">
        <v>46</v>
      </c>
      <c r="G318" s="30" t="s">
        <v>46</v>
      </c>
      <c r="H318" s="31"/>
      <c r="I318" s="31" t="s">
        <v>47</v>
      </c>
      <c r="J318" s="32" t="n">
        <v>1.0</v>
      </c>
      <c r="K318" s="33" t="n">
        <f>14415</f>
        <v>14415.0</v>
      </c>
      <c r="L318" s="34" t="s">
        <v>48</v>
      </c>
      <c r="M318" s="33" t="n">
        <f>14930</f>
        <v>14930.0</v>
      </c>
      <c r="N318" s="34" t="s">
        <v>79</v>
      </c>
      <c r="O318" s="33" t="n">
        <f>14195</f>
        <v>14195.0</v>
      </c>
      <c r="P318" s="34" t="s">
        <v>61</v>
      </c>
      <c r="Q318" s="33" t="n">
        <f>14805</f>
        <v>14805.0</v>
      </c>
      <c r="R318" s="34" t="s">
        <v>49</v>
      </c>
      <c r="S318" s="35" t="n">
        <f>14558.41</f>
        <v>14558.41</v>
      </c>
      <c r="T318" s="32" t="n">
        <f>867009</f>
        <v>867009.0</v>
      </c>
      <c r="U318" s="32" t="n">
        <f>763096</f>
        <v>763096.0</v>
      </c>
      <c r="V318" s="32" t="n">
        <f>12579754242</f>
        <v>1.2579754242E10</v>
      </c>
      <c r="W318" s="32" t="n">
        <f>11063618852</f>
        <v>1.1063618852E10</v>
      </c>
      <c r="X318" s="36" t="n">
        <f>22</f>
        <v>22.0</v>
      </c>
    </row>
    <row r="319">
      <c r="A319" s="27" t="s">
        <v>42</v>
      </c>
      <c r="B319" s="27" t="s">
        <v>1004</v>
      </c>
      <c r="C319" s="27" t="s">
        <v>1005</v>
      </c>
      <c r="D319" s="27" t="s">
        <v>1006</v>
      </c>
      <c r="E319" s="28" t="s">
        <v>46</v>
      </c>
      <c r="F319" s="29" t="s">
        <v>46</v>
      </c>
      <c r="G319" s="30" t="s">
        <v>46</v>
      </c>
      <c r="H319" s="31"/>
      <c r="I319" s="31" t="s">
        <v>47</v>
      </c>
      <c r="J319" s="32" t="n">
        <v>1.0</v>
      </c>
      <c r="K319" s="33" t="n">
        <f>26095</f>
        <v>26095.0</v>
      </c>
      <c r="L319" s="34" t="s">
        <v>48</v>
      </c>
      <c r="M319" s="33" t="n">
        <f>28790</f>
        <v>28790.0</v>
      </c>
      <c r="N319" s="34" t="s">
        <v>79</v>
      </c>
      <c r="O319" s="33" t="n">
        <f>25800</f>
        <v>25800.0</v>
      </c>
      <c r="P319" s="34" t="s">
        <v>48</v>
      </c>
      <c r="Q319" s="33" t="n">
        <f>28770</f>
        <v>28770.0</v>
      </c>
      <c r="R319" s="34" t="s">
        <v>49</v>
      </c>
      <c r="S319" s="35" t="n">
        <f>27248.64</f>
        <v>27248.64</v>
      </c>
      <c r="T319" s="32" t="n">
        <f>286516</f>
        <v>286516.0</v>
      </c>
      <c r="U319" s="32" t="n">
        <f>36142</f>
        <v>36142.0</v>
      </c>
      <c r="V319" s="32" t="n">
        <f>7908903389</f>
        <v>7.908903389E9</v>
      </c>
      <c r="W319" s="32" t="n">
        <f>1022904569</f>
        <v>1.022904569E9</v>
      </c>
      <c r="X319" s="36" t="n">
        <f>22</f>
        <v>22.0</v>
      </c>
    </row>
    <row r="320">
      <c r="A320" s="27" t="s">
        <v>42</v>
      </c>
      <c r="B320" s="27" t="s">
        <v>1007</v>
      </c>
      <c r="C320" s="27" t="s">
        <v>1008</v>
      </c>
      <c r="D320" s="27" t="s">
        <v>1009</v>
      </c>
      <c r="E320" s="28" t="s">
        <v>46</v>
      </c>
      <c r="F320" s="29" t="s">
        <v>46</v>
      </c>
      <c r="G320" s="30" t="s">
        <v>46</v>
      </c>
      <c r="H320" s="31"/>
      <c r="I320" s="31" t="s">
        <v>47</v>
      </c>
      <c r="J320" s="32" t="n">
        <v>1.0</v>
      </c>
      <c r="K320" s="33" t="n">
        <f>15440</f>
        <v>15440.0</v>
      </c>
      <c r="L320" s="34" t="s">
        <v>48</v>
      </c>
      <c r="M320" s="33" t="n">
        <f>16470</f>
        <v>16470.0</v>
      </c>
      <c r="N320" s="34" t="s">
        <v>79</v>
      </c>
      <c r="O320" s="33" t="n">
        <f>15315</f>
        <v>15315.0</v>
      </c>
      <c r="P320" s="34" t="s">
        <v>61</v>
      </c>
      <c r="Q320" s="33" t="n">
        <f>16330</f>
        <v>16330.0</v>
      </c>
      <c r="R320" s="34" t="s">
        <v>49</v>
      </c>
      <c r="S320" s="35" t="n">
        <f>15755.91</f>
        <v>15755.91</v>
      </c>
      <c r="T320" s="32" t="n">
        <f>1279121</f>
        <v>1279121.0</v>
      </c>
      <c r="U320" s="32" t="n">
        <f>1137683</f>
        <v>1137683.0</v>
      </c>
      <c r="V320" s="32" t="n">
        <f>20179145399</f>
        <v>2.0179145399E10</v>
      </c>
      <c r="W320" s="32" t="n">
        <f>17943175699</f>
        <v>1.7943175699E10</v>
      </c>
      <c r="X320" s="36" t="n">
        <f>22</f>
        <v>22.0</v>
      </c>
    </row>
    <row r="321">
      <c r="A321" s="27" t="s">
        <v>42</v>
      </c>
      <c r="B321" s="27" t="s">
        <v>1010</v>
      </c>
      <c r="C321" s="27" t="s">
        <v>1011</v>
      </c>
      <c r="D321" s="27" t="s">
        <v>1012</v>
      </c>
      <c r="E321" s="28" t="s">
        <v>46</v>
      </c>
      <c r="F321" s="29" t="s">
        <v>46</v>
      </c>
      <c r="G321" s="30" t="s">
        <v>46</v>
      </c>
      <c r="H321" s="31"/>
      <c r="I321" s="31" t="s">
        <v>47</v>
      </c>
      <c r="J321" s="32" t="n">
        <v>10.0</v>
      </c>
      <c r="K321" s="33" t="n">
        <f>455</f>
        <v>455.0</v>
      </c>
      <c r="L321" s="34" t="s">
        <v>48</v>
      </c>
      <c r="M321" s="33" t="n">
        <f>488.3</f>
        <v>488.3</v>
      </c>
      <c r="N321" s="34" t="s">
        <v>79</v>
      </c>
      <c r="O321" s="33" t="n">
        <f>451.6</f>
        <v>451.6</v>
      </c>
      <c r="P321" s="34" t="s">
        <v>48</v>
      </c>
      <c r="Q321" s="33" t="n">
        <f>488</f>
        <v>488.0</v>
      </c>
      <c r="R321" s="34" t="s">
        <v>49</v>
      </c>
      <c r="S321" s="35" t="n">
        <f>470.47</f>
        <v>470.47</v>
      </c>
      <c r="T321" s="32" t="n">
        <f>5886620</f>
        <v>5886620.0</v>
      </c>
      <c r="U321" s="32" t="n">
        <f>1848610</f>
        <v>1848610.0</v>
      </c>
      <c r="V321" s="32" t="n">
        <f>2782876522</f>
        <v>2.782876522E9</v>
      </c>
      <c r="W321" s="32" t="n">
        <f>886497833</f>
        <v>8.86497833E8</v>
      </c>
      <c r="X321" s="36" t="n">
        <f>22</f>
        <v>22.0</v>
      </c>
    </row>
    <row r="322">
      <c r="A322" s="27" t="s">
        <v>42</v>
      </c>
      <c r="B322" s="27" t="s">
        <v>1013</v>
      </c>
      <c r="C322" s="27" t="s">
        <v>1014</v>
      </c>
      <c r="D322" s="27" t="s">
        <v>1015</v>
      </c>
      <c r="E322" s="28" t="s">
        <v>46</v>
      </c>
      <c r="F322" s="29" t="s">
        <v>46</v>
      </c>
      <c r="G322" s="30" t="s">
        <v>46</v>
      </c>
      <c r="H322" s="31"/>
      <c r="I322" s="31" t="s">
        <v>47</v>
      </c>
      <c r="J322" s="32" t="n">
        <v>10.0</v>
      </c>
      <c r="K322" s="33" t="n">
        <f>2836</f>
        <v>2836.0</v>
      </c>
      <c r="L322" s="34" t="s">
        <v>48</v>
      </c>
      <c r="M322" s="33" t="n">
        <f>2935</f>
        <v>2935.0</v>
      </c>
      <c r="N322" s="34" t="s">
        <v>79</v>
      </c>
      <c r="O322" s="33" t="n">
        <f>2795</f>
        <v>2795.0</v>
      </c>
      <c r="P322" s="34" t="s">
        <v>61</v>
      </c>
      <c r="Q322" s="33" t="n">
        <f>2915</f>
        <v>2915.0</v>
      </c>
      <c r="R322" s="34" t="s">
        <v>49</v>
      </c>
      <c r="S322" s="35" t="n">
        <f>2863.09</f>
        <v>2863.09</v>
      </c>
      <c r="T322" s="32" t="n">
        <f>1720500</f>
        <v>1720500.0</v>
      </c>
      <c r="U322" s="32" t="n">
        <f>1278930</f>
        <v>1278930.0</v>
      </c>
      <c r="V322" s="32" t="n">
        <f>4942847903</f>
        <v>4.942847903E9</v>
      </c>
      <c r="W322" s="32" t="n">
        <f>3677767573</f>
        <v>3.677767573E9</v>
      </c>
      <c r="X322" s="36" t="n">
        <f>22</f>
        <v>22.0</v>
      </c>
    </row>
    <row r="323">
      <c r="A323" s="27" t="s">
        <v>42</v>
      </c>
      <c r="B323" s="27" t="s">
        <v>1016</v>
      </c>
      <c r="C323" s="27" t="s">
        <v>1017</v>
      </c>
      <c r="D323" s="27" t="s">
        <v>1018</v>
      </c>
      <c r="E323" s="28" t="s">
        <v>46</v>
      </c>
      <c r="F323" s="29" t="s">
        <v>46</v>
      </c>
      <c r="G323" s="30" t="s">
        <v>46</v>
      </c>
      <c r="H323" s="31" t="s">
        <v>1019</v>
      </c>
      <c r="I323" s="31"/>
      <c r="J323" s="32" t="n">
        <v>10.0</v>
      </c>
      <c r="K323" s="33" t="n">
        <f>4590</f>
        <v>4590.0</v>
      </c>
      <c r="L323" s="34" t="s">
        <v>48</v>
      </c>
      <c r="M323" s="33" t="n">
        <f>4950</f>
        <v>4950.0</v>
      </c>
      <c r="N323" s="34" t="s">
        <v>79</v>
      </c>
      <c r="O323" s="33" t="n">
        <f>4565</f>
        <v>4565.0</v>
      </c>
      <c r="P323" s="34" t="s">
        <v>48</v>
      </c>
      <c r="Q323" s="33" t="n">
        <f>4942</f>
        <v>4942.0</v>
      </c>
      <c r="R323" s="34" t="s">
        <v>49</v>
      </c>
      <c r="S323" s="35" t="n">
        <f>4753.76</f>
        <v>4753.76</v>
      </c>
      <c r="T323" s="32" t="n">
        <f>149900</f>
        <v>149900.0</v>
      </c>
      <c r="U323" s="32" t="n">
        <f>200</f>
        <v>200.0</v>
      </c>
      <c r="V323" s="32" t="n">
        <f>707931340</f>
        <v>7.0793134E8</v>
      </c>
      <c r="W323" s="32" t="n">
        <f>946900</f>
        <v>946900.0</v>
      </c>
      <c r="X323" s="36" t="n">
        <f>21</f>
        <v>21.0</v>
      </c>
    </row>
    <row r="324">
      <c r="A324" s="27" t="s">
        <v>42</v>
      </c>
      <c r="B324" s="27" t="s">
        <v>1020</v>
      </c>
      <c r="C324" s="27" t="s">
        <v>1021</v>
      </c>
      <c r="D324" s="27" t="s">
        <v>1022</v>
      </c>
      <c r="E324" s="28" t="s">
        <v>46</v>
      </c>
      <c r="F324" s="29" t="s">
        <v>46</v>
      </c>
      <c r="G324" s="30" t="s">
        <v>46</v>
      </c>
      <c r="H324" s="31"/>
      <c r="I324" s="31" t="s">
        <v>47</v>
      </c>
      <c r="J324" s="32" t="n">
        <v>1.0</v>
      </c>
      <c r="K324" s="33" t="n">
        <f>3676</f>
        <v>3676.0</v>
      </c>
      <c r="L324" s="34" t="s">
        <v>48</v>
      </c>
      <c r="M324" s="33" t="n">
        <f>4055</f>
        <v>4055.0</v>
      </c>
      <c r="N324" s="34" t="s">
        <v>49</v>
      </c>
      <c r="O324" s="33" t="n">
        <f>3615</f>
        <v>3615.0</v>
      </c>
      <c r="P324" s="34" t="s">
        <v>48</v>
      </c>
      <c r="Q324" s="33" t="n">
        <f>4047</f>
        <v>4047.0</v>
      </c>
      <c r="R324" s="34" t="s">
        <v>49</v>
      </c>
      <c r="S324" s="35" t="n">
        <f>3853.73</f>
        <v>3853.73</v>
      </c>
      <c r="T324" s="32" t="n">
        <f>40997</f>
        <v>40997.0</v>
      </c>
      <c r="U324" s="32" t="n">
        <f>30</f>
        <v>30.0</v>
      </c>
      <c r="V324" s="32" t="n">
        <f>157434167</f>
        <v>1.57434167E8</v>
      </c>
      <c r="W324" s="32" t="n">
        <f>118590</f>
        <v>118590.0</v>
      </c>
      <c r="X324" s="36" t="n">
        <f>22</f>
        <v>22.0</v>
      </c>
    </row>
    <row r="325">
      <c r="A325" s="27" t="s">
        <v>42</v>
      </c>
      <c r="B325" s="27" t="s">
        <v>1023</v>
      </c>
      <c r="C325" s="27" t="s">
        <v>1024</v>
      </c>
      <c r="D325" s="27" t="s">
        <v>1025</v>
      </c>
      <c r="E325" s="28" t="s">
        <v>46</v>
      </c>
      <c r="F325" s="29" t="s">
        <v>46</v>
      </c>
      <c r="G325" s="30" t="s">
        <v>46</v>
      </c>
      <c r="H325" s="31"/>
      <c r="I325" s="31" t="s">
        <v>47</v>
      </c>
      <c r="J325" s="32" t="n">
        <v>1.0</v>
      </c>
      <c r="K325" s="33" t="n">
        <f>1684</f>
        <v>1684.0</v>
      </c>
      <c r="L325" s="34" t="s">
        <v>48</v>
      </c>
      <c r="M325" s="33" t="n">
        <f>1862</f>
        <v>1862.0</v>
      </c>
      <c r="N325" s="34" t="s">
        <v>68</v>
      </c>
      <c r="O325" s="33" t="n">
        <f>1650</f>
        <v>1650.0</v>
      </c>
      <c r="P325" s="34" t="s">
        <v>48</v>
      </c>
      <c r="Q325" s="33" t="n">
        <f>1860</f>
        <v>1860.0</v>
      </c>
      <c r="R325" s="34" t="s">
        <v>49</v>
      </c>
      <c r="S325" s="35" t="n">
        <f>1761.41</f>
        <v>1761.41</v>
      </c>
      <c r="T325" s="32" t="n">
        <f>34169</f>
        <v>34169.0</v>
      </c>
      <c r="U325" s="32" t="n">
        <f>90</f>
        <v>90.0</v>
      </c>
      <c r="V325" s="32" t="n">
        <f>60952682</f>
        <v>6.0952682E7</v>
      </c>
      <c r="W325" s="32" t="n">
        <f>156787</f>
        <v>156787.0</v>
      </c>
      <c r="X325" s="36" t="n">
        <f>22</f>
        <v>22.0</v>
      </c>
    </row>
    <row r="326">
      <c r="A326" s="27" t="s">
        <v>42</v>
      </c>
      <c r="B326" s="27" t="s">
        <v>1026</v>
      </c>
      <c r="C326" s="27" t="s">
        <v>1027</v>
      </c>
      <c r="D326" s="27" t="s">
        <v>1028</v>
      </c>
      <c r="E326" s="28" t="s">
        <v>46</v>
      </c>
      <c r="F326" s="29" t="s">
        <v>46</v>
      </c>
      <c r="G326" s="30" t="s">
        <v>46</v>
      </c>
      <c r="H326" s="31"/>
      <c r="I326" s="31" t="s">
        <v>47</v>
      </c>
      <c r="J326" s="32" t="n">
        <v>1.0</v>
      </c>
      <c r="K326" s="33" t="n">
        <f>2274</f>
        <v>2274.0</v>
      </c>
      <c r="L326" s="34" t="s">
        <v>48</v>
      </c>
      <c r="M326" s="33" t="n">
        <f>2458</f>
        <v>2458.0</v>
      </c>
      <c r="N326" s="34" t="s">
        <v>216</v>
      </c>
      <c r="O326" s="33" t="n">
        <f>2213</f>
        <v>2213.0</v>
      </c>
      <c r="P326" s="34" t="s">
        <v>50</v>
      </c>
      <c r="Q326" s="33" t="n">
        <f>2414</f>
        <v>2414.0</v>
      </c>
      <c r="R326" s="34" t="s">
        <v>49</v>
      </c>
      <c r="S326" s="35" t="n">
        <f>2362.27</f>
        <v>2362.27</v>
      </c>
      <c r="T326" s="32" t="n">
        <f>227763</f>
        <v>227763.0</v>
      </c>
      <c r="U326" s="32" t="n">
        <f>4670</f>
        <v>4670.0</v>
      </c>
      <c r="V326" s="32" t="n">
        <f>540342183</f>
        <v>5.40342183E8</v>
      </c>
      <c r="W326" s="32" t="n">
        <f>11140530</f>
        <v>1.114053E7</v>
      </c>
      <c r="X326" s="36" t="n">
        <f>22</f>
        <v>22.0</v>
      </c>
    </row>
    <row r="327">
      <c r="A327" s="27" t="s">
        <v>42</v>
      </c>
      <c r="B327" s="27" t="s">
        <v>1029</v>
      </c>
      <c r="C327" s="27" t="s">
        <v>1030</v>
      </c>
      <c r="D327" s="27" t="s">
        <v>1031</v>
      </c>
      <c r="E327" s="28" t="s">
        <v>46</v>
      </c>
      <c r="F327" s="29" t="s">
        <v>46</v>
      </c>
      <c r="G327" s="30" t="s">
        <v>46</v>
      </c>
      <c r="H327" s="31"/>
      <c r="I327" s="31" t="s">
        <v>47</v>
      </c>
      <c r="J327" s="32" t="n">
        <v>1.0</v>
      </c>
      <c r="K327" s="33" t="n">
        <f>1616</f>
        <v>1616.0</v>
      </c>
      <c r="L327" s="34" t="s">
        <v>48</v>
      </c>
      <c r="M327" s="33" t="n">
        <f>1700</f>
        <v>1700.0</v>
      </c>
      <c r="N327" s="34" t="s">
        <v>106</v>
      </c>
      <c r="O327" s="33" t="n">
        <f>1592</f>
        <v>1592.0</v>
      </c>
      <c r="P327" s="34" t="s">
        <v>50</v>
      </c>
      <c r="Q327" s="33" t="n">
        <f>1660</f>
        <v>1660.0</v>
      </c>
      <c r="R327" s="34" t="s">
        <v>49</v>
      </c>
      <c r="S327" s="35" t="n">
        <f>1652.95</f>
        <v>1652.95</v>
      </c>
      <c r="T327" s="32" t="n">
        <f>18915</f>
        <v>18915.0</v>
      </c>
      <c r="U327" s="32" t="n">
        <f>180</f>
        <v>180.0</v>
      </c>
      <c r="V327" s="32" t="n">
        <f>31432820</f>
        <v>3.143282E7</v>
      </c>
      <c r="W327" s="32" t="n">
        <f>301998</f>
        <v>301998.0</v>
      </c>
      <c r="X327" s="36" t="n">
        <f>22</f>
        <v>22.0</v>
      </c>
    </row>
    <row r="328">
      <c r="A328" s="27" t="s">
        <v>42</v>
      </c>
      <c r="B328" s="27" t="s">
        <v>1032</v>
      </c>
      <c r="C328" s="27" t="s">
        <v>1033</v>
      </c>
      <c r="D328" s="27" t="s">
        <v>1034</v>
      </c>
      <c r="E328" s="28" t="s">
        <v>46</v>
      </c>
      <c r="F328" s="29" t="s">
        <v>46</v>
      </c>
      <c r="G328" s="30" t="s">
        <v>46</v>
      </c>
      <c r="H328" s="31"/>
      <c r="I328" s="31" t="s">
        <v>47</v>
      </c>
      <c r="J328" s="32" t="n">
        <v>1.0</v>
      </c>
      <c r="K328" s="33" t="n">
        <f>4628</f>
        <v>4628.0</v>
      </c>
      <c r="L328" s="34" t="s">
        <v>48</v>
      </c>
      <c r="M328" s="33" t="n">
        <f>4799</f>
        <v>4799.0</v>
      </c>
      <c r="N328" s="34" t="s">
        <v>202</v>
      </c>
      <c r="O328" s="33" t="n">
        <f>4471</f>
        <v>4471.0</v>
      </c>
      <c r="P328" s="34" t="s">
        <v>79</v>
      </c>
      <c r="Q328" s="33" t="n">
        <f>4660</f>
        <v>4660.0</v>
      </c>
      <c r="R328" s="34" t="s">
        <v>49</v>
      </c>
      <c r="S328" s="35" t="n">
        <f>4634.36</f>
        <v>4634.36</v>
      </c>
      <c r="T328" s="32" t="n">
        <f>588148</f>
        <v>588148.0</v>
      </c>
      <c r="U328" s="32" t="n">
        <f>32135</f>
        <v>32135.0</v>
      </c>
      <c r="V328" s="32" t="n">
        <f>2723781670</f>
        <v>2.72378167E9</v>
      </c>
      <c r="W328" s="32" t="n">
        <f>147985471</f>
        <v>1.47985471E8</v>
      </c>
      <c r="X328" s="36" t="n">
        <f>22</f>
        <v>22.0</v>
      </c>
    </row>
    <row r="329">
      <c r="A329" s="27" t="s">
        <v>42</v>
      </c>
      <c r="B329" s="27" t="s">
        <v>1035</v>
      </c>
      <c r="C329" s="27" t="s">
        <v>1036</v>
      </c>
      <c r="D329" s="27" t="s">
        <v>1037</v>
      </c>
      <c r="E329" s="28" t="s">
        <v>46</v>
      </c>
      <c r="F329" s="29" t="s">
        <v>46</v>
      </c>
      <c r="G329" s="30" t="s">
        <v>46</v>
      </c>
      <c r="H329" s="31"/>
      <c r="I329" s="31" t="s">
        <v>47</v>
      </c>
      <c r="J329" s="32" t="n">
        <v>1.0</v>
      </c>
      <c r="K329" s="33" t="n">
        <f>3730</f>
        <v>3730.0</v>
      </c>
      <c r="L329" s="34" t="s">
        <v>48</v>
      </c>
      <c r="M329" s="33" t="n">
        <f>3975</f>
        <v>3975.0</v>
      </c>
      <c r="N329" s="34" t="s">
        <v>68</v>
      </c>
      <c r="O329" s="33" t="n">
        <f>3560</f>
        <v>3560.0</v>
      </c>
      <c r="P329" s="34" t="s">
        <v>156</v>
      </c>
      <c r="Q329" s="33" t="n">
        <f>3900</f>
        <v>3900.0</v>
      </c>
      <c r="R329" s="34" t="s">
        <v>49</v>
      </c>
      <c r="S329" s="35" t="n">
        <f>3792.23</f>
        <v>3792.23</v>
      </c>
      <c r="T329" s="32" t="n">
        <f>243278</f>
        <v>243278.0</v>
      </c>
      <c r="U329" s="32" t="n">
        <f>73937</f>
        <v>73937.0</v>
      </c>
      <c r="V329" s="32" t="n">
        <f>913914459</f>
        <v>9.13914459E8</v>
      </c>
      <c r="W329" s="32" t="n">
        <f>272724331</f>
        <v>2.72724331E8</v>
      </c>
      <c r="X329" s="36" t="n">
        <f>22</f>
        <v>22.0</v>
      </c>
    </row>
    <row r="330">
      <c r="A330" s="27" t="s">
        <v>42</v>
      </c>
      <c r="B330" s="27" t="s">
        <v>1038</v>
      </c>
      <c r="C330" s="27" t="s">
        <v>1039</v>
      </c>
      <c r="D330" s="27" t="s">
        <v>1040</v>
      </c>
      <c r="E330" s="28" t="s">
        <v>46</v>
      </c>
      <c r="F330" s="29" t="s">
        <v>46</v>
      </c>
      <c r="G330" s="30" t="s">
        <v>46</v>
      </c>
      <c r="H330" s="31"/>
      <c r="I330" s="31" t="s">
        <v>47</v>
      </c>
      <c r="J330" s="32" t="n">
        <v>1.0</v>
      </c>
      <c r="K330" s="33" t="n">
        <f>41080</f>
        <v>41080.0</v>
      </c>
      <c r="L330" s="34" t="s">
        <v>48</v>
      </c>
      <c r="M330" s="33" t="n">
        <f>44580</f>
        <v>44580.0</v>
      </c>
      <c r="N330" s="34" t="s">
        <v>49</v>
      </c>
      <c r="O330" s="33" t="n">
        <f>41080</f>
        <v>41080.0</v>
      </c>
      <c r="P330" s="34" t="s">
        <v>48</v>
      </c>
      <c r="Q330" s="33" t="n">
        <f>44580</f>
        <v>44580.0</v>
      </c>
      <c r="R330" s="34" t="s">
        <v>49</v>
      </c>
      <c r="S330" s="35" t="n">
        <f>43077.14</f>
        <v>43077.14</v>
      </c>
      <c r="T330" s="32" t="n">
        <f>63</f>
        <v>63.0</v>
      </c>
      <c r="U330" s="32" t="str">
        <f>"－"</f>
        <v>－</v>
      </c>
      <c r="V330" s="32" t="n">
        <f>2700220</f>
        <v>2700220.0</v>
      </c>
      <c r="W330" s="32" t="str">
        <f>"－"</f>
        <v>－</v>
      </c>
      <c r="X330" s="36" t="n">
        <f>21</f>
        <v>21.0</v>
      </c>
    </row>
    <row r="331">
      <c r="A331" s="27" t="s">
        <v>42</v>
      </c>
      <c r="B331" s="27" t="s">
        <v>1041</v>
      </c>
      <c r="C331" s="27" t="s">
        <v>1042</v>
      </c>
      <c r="D331" s="27" t="s">
        <v>1043</v>
      </c>
      <c r="E331" s="28" t="s">
        <v>46</v>
      </c>
      <c r="F331" s="29" t="s">
        <v>46</v>
      </c>
      <c r="G331" s="30" t="s">
        <v>46</v>
      </c>
      <c r="H331" s="31"/>
      <c r="I331" s="31" t="s">
        <v>47</v>
      </c>
      <c r="J331" s="32" t="n">
        <v>1.0</v>
      </c>
      <c r="K331" s="33" t="n">
        <f>3240</f>
        <v>3240.0</v>
      </c>
      <c r="L331" s="34" t="s">
        <v>48</v>
      </c>
      <c r="M331" s="33" t="n">
        <f>3609</f>
        <v>3609.0</v>
      </c>
      <c r="N331" s="34" t="s">
        <v>49</v>
      </c>
      <c r="O331" s="33" t="n">
        <f>3234</f>
        <v>3234.0</v>
      </c>
      <c r="P331" s="34" t="s">
        <v>48</v>
      </c>
      <c r="Q331" s="33" t="n">
        <f>3575</f>
        <v>3575.0</v>
      </c>
      <c r="R331" s="34" t="s">
        <v>49</v>
      </c>
      <c r="S331" s="35" t="n">
        <f>3417.89</f>
        <v>3417.89</v>
      </c>
      <c r="T331" s="32" t="n">
        <f>14817</f>
        <v>14817.0</v>
      </c>
      <c r="U331" s="32" t="str">
        <f>"－"</f>
        <v>－</v>
      </c>
      <c r="V331" s="32" t="n">
        <f>50738502</f>
        <v>5.0738502E7</v>
      </c>
      <c r="W331" s="32" t="str">
        <f>"－"</f>
        <v>－</v>
      </c>
      <c r="X331" s="36" t="n">
        <f>18</f>
        <v>18.0</v>
      </c>
    </row>
    <row r="332">
      <c r="A332" s="27" t="s">
        <v>42</v>
      </c>
      <c r="B332" s="27" t="s">
        <v>1044</v>
      </c>
      <c r="C332" s="27" t="s">
        <v>1045</v>
      </c>
      <c r="D332" s="27" t="s">
        <v>1046</v>
      </c>
      <c r="E332" s="28" t="s">
        <v>46</v>
      </c>
      <c r="F332" s="29" t="s">
        <v>46</v>
      </c>
      <c r="G332" s="30" t="s">
        <v>46</v>
      </c>
      <c r="H332" s="31"/>
      <c r="I332" s="31" t="s">
        <v>47</v>
      </c>
      <c r="J332" s="32" t="n">
        <v>1.0</v>
      </c>
      <c r="K332" s="33" t="n">
        <f>2182</f>
        <v>2182.0</v>
      </c>
      <c r="L332" s="34" t="s">
        <v>48</v>
      </c>
      <c r="M332" s="33" t="n">
        <f>2669</f>
        <v>2669.0</v>
      </c>
      <c r="N332" s="34" t="s">
        <v>49</v>
      </c>
      <c r="O332" s="33" t="n">
        <f>2161</f>
        <v>2161.0</v>
      </c>
      <c r="P332" s="34" t="s">
        <v>48</v>
      </c>
      <c r="Q332" s="33" t="n">
        <f>2664</f>
        <v>2664.0</v>
      </c>
      <c r="R332" s="34" t="s">
        <v>49</v>
      </c>
      <c r="S332" s="35" t="n">
        <f>2394.05</f>
        <v>2394.05</v>
      </c>
      <c r="T332" s="32" t="n">
        <f>41989765</f>
        <v>4.1989765E7</v>
      </c>
      <c r="U332" s="32" t="n">
        <f>1358963</f>
        <v>1358963.0</v>
      </c>
      <c r="V332" s="32" t="n">
        <f>101875077854</f>
        <v>1.01875077854E11</v>
      </c>
      <c r="W332" s="32" t="n">
        <f>3295962110</f>
        <v>3.29596211E9</v>
      </c>
      <c r="X332" s="36" t="n">
        <f>22</f>
        <v>22.0</v>
      </c>
    </row>
    <row r="333">
      <c r="A333" s="27" t="s">
        <v>42</v>
      </c>
      <c r="B333" s="27" t="s">
        <v>1047</v>
      </c>
      <c r="C333" s="27" t="s">
        <v>1048</v>
      </c>
      <c r="D333" s="27" t="s">
        <v>1049</v>
      </c>
      <c r="E333" s="28" t="s">
        <v>46</v>
      </c>
      <c r="F333" s="29" t="s">
        <v>46</v>
      </c>
      <c r="G333" s="30" t="s">
        <v>46</v>
      </c>
      <c r="H333" s="31"/>
      <c r="I333" s="31" t="s">
        <v>47</v>
      </c>
      <c r="J333" s="32" t="n">
        <v>1.0</v>
      </c>
      <c r="K333" s="33" t="n">
        <f>2842</f>
        <v>2842.0</v>
      </c>
      <c r="L333" s="34" t="s">
        <v>48</v>
      </c>
      <c r="M333" s="33" t="n">
        <f>2905</f>
        <v>2905.0</v>
      </c>
      <c r="N333" s="34" t="s">
        <v>202</v>
      </c>
      <c r="O333" s="33" t="n">
        <f>2750</f>
        <v>2750.0</v>
      </c>
      <c r="P333" s="34" t="s">
        <v>79</v>
      </c>
      <c r="Q333" s="33" t="n">
        <f>2759</f>
        <v>2759.0</v>
      </c>
      <c r="R333" s="34" t="s">
        <v>49</v>
      </c>
      <c r="S333" s="35" t="n">
        <f>2832.14</f>
        <v>2832.14</v>
      </c>
      <c r="T333" s="32" t="n">
        <f>42755</f>
        <v>42755.0</v>
      </c>
      <c r="U333" s="32" t="n">
        <f>3880</f>
        <v>3880.0</v>
      </c>
      <c r="V333" s="32" t="n">
        <f>121015508</f>
        <v>1.21015508E8</v>
      </c>
      <c r="W333" s="32" t="n">
        <f>10879385</f>
        <v>1.0879385E7</v>
      </c>
      <c r="X333" s="36" t="n">
        <f>22</f>
        <v>22.0</v>
      </c>
    </row>
    <row r="334">
      <c r="A334" s="27" t="s">
        <v>42</v>
      </c>
      <c r="B334" s="27" t="s">
        <v>1050</v>
      </c>
      <c r="C334" s="27" t="s">
        <v>1051</v>
      </c>
      <c r="D334" s="27" t="s">
        <v>1052</v>
      </c>
      <c r="E334" s="28" t="s">
        <v>46</v>
      </c>
      <c r="F334" s="29" t="s">
        <v>46</v>
      </c>
      <c r="G334" s="30" t="s">
        <v>46</v>
      </c>
      <c r="H334" s="31"/>
      <c r="I334" s="31" t="s">
        <v>47</v>
      </c>
      <c r="J334" s="32" t="n">
        <v>1.0</v>
      </c>
      <c r="K334" s="33" t="n">
        <f>2220</f>
        <v>2220.0</v>
      </c>
      <c r="L334" s="34" t="s">
        <v>48</v>
      </c>
      <c r="M334" s="33" t="n">
        <f>2550</f>
        <v>2550.0</v>
      </c>
      <c r="N334" s="34" t="s">
        <v>229</v>
      </c>
      <c r="O334" s="33" t="n">
        <f>2101</f>
        <v>2101.0</v>
      </c>
      <c r="P334" s="34" t="s">
        <v>48</v>
      </c>
      <c r="Q334" s="33" t="n">
        <f>2396</f>
        <v>2396.0</v>
      </c>
      <c r="R334" s="34" t="s">
        <v>49</v>
      </c>
      <c r="S334" s="35" t="n">
        <f>2331.73</f>
        <v>2331.73</v>
      </c>
      <c r="T334" s="32" t="n">
        <f>81354</f>
        <v>81354.0</v>
      </c>
      <c r="U334" s="32" t="n">
        <f>1430</f>
        <v>1430.0</v>
      </c>
      <c r="V334" s="32" t="n">
        <f>188247831</f>
        <v>1.88247831E8</v>
      </c>
      <c r="W334" s="32" t="n">
        <f>3302370</f>
        <v>3302370.0</v>
      </c>
      <c r="X334" s="36" t="n">
        <f>22</f>
        <v>22.0</v>
      </c>
    </row>
    <row r="335">
      <c r="A335" s="27" t="s">
        <v>42</v>
      </c>
      <c r="B335" s="27" t="s">
        <v>1053</v>
      </c>
      <c r="C335" s="27" t="s">
        <v>1054</v>
      </c>
      <c r="D335" s="27" t="s">
        <v>1055</v>
      </c>
      <c r="E335" s="28" t="s">
        <v>46</v>
      </c>
      <c r="F335" s="29" t="s">
        <v>46</v>
      </c>
      <c r="G335" s="30" t="s">
        <v>46</v>
      </c>
      <c r="H335" s="31"/>
      <c r="I335" s="31" t="s">
        <v>47</v>
      </c>
      <c r="J335" s="32" t="n">
        <v>10.0</v>
      </c>
      <c r="K335" s="33" t="n">
        <f>5752</f>
        <v>5752.0</v>
      </c>
      <c r="L335" s="34" t="s">
        <v>48</v>
      </c>
      <c r="M335" s="33" t="n">
        <f>5892</f>
        <v>5892.0</v>
      </c>
      <c r="N335" s="34" t="s">
        <v>68</v>
      </c>
      <c r="O335" s="33" t="n">
        <f>5641</f>
        <v>5641.0</v>
      </c>
      <c r="P335" s="34" t="s">
        <v>48</v>
      </c>
      <c r="Q335" s="33" t="n">
        <f>5864</f>
        <v>5864.0</v>
      </c>
      <c r="R335" s="34" t="s">
        <v>79</v>
      </c>
      <c r="S335" s="35" t="n">
        <f>5811.78</f>
        <v>5811.78</v>
      </c>
      <c r="T335" s="32" t="n">
        <f>179930</f>
        <v>179930.0</v>
      </c>
      <c r="U335" s="32" t="n">
        <f>140000</f>
        <v>140000.0</v>
      </c>
      <c r="V335" s="32" t="n">
        <f>1051221550</f>
        <v>1.05122155E9</v>
      </c>
      <c r="W335" s="32" t="n">
        <f>819245000</f>
        <v>8.19245E8</v>
      </c>
      <c r="X335" s="36" t="n">
        <f>18</f>
        <v>18.0</v>
      </c>
    </row>
    <row r="336">
      <c r="A336" s="27" t="s">
        <v>42</v>
      </c>
      <c r="B336" s="27" t="s">
        <v>1056</v>
      </c>
      <c r="C336" s="27" t="s">
        <v>1057</v>
      </c>
      <c r="D336" s="27" t="s">
        <v>1058</v>
      </c>
      <c r="E336" s="28" t="s">
        <v>46</v>
      </c>
      <c r="F336" s="29" t="s">
        <v>46</v>
      </c>
      <c r="G336" s="30" t="s">
        <v>46</v>
      </c>
      <c r="H336" s="31"/>
      <c r="I336" s="31" t="s">
        <v>47</v>
      </c>
      <c r="J336" s="32" t="n">
        <v>10.0</v>
      </c>
      <c r="K336" s="33" t="n">
        <f>3561</f>
        <v>3561.0</v>
      </c>
      <c r="L336" s="34" t="s">
        <v>48</v>
      </c>
      <c r="M336" s="33" t="n">
        <f>3614</f>
        <v>3614.0</v>
      </c>
      <c r="N336" s="34" t="s">
        <v>203</v>
      </c>
      <c r="O336" s="33" t="n">
        <f>3557</f>
        <v>3557.0</v>
      </c>
      <c r="P336" s="34" t="s">
        <v>262</v>
      </c>
      <c r="Q336" s="33" t="n">
        <f>3574</f>
        <v>3574.0</v>
      </c>
      <c r="R336" s="34" t="s">
        <v>49</v>
      </c>
      <c r="S336" s="35" t="n">
        <f>3586.18</f>
        <v>3586.18</v>
      </c>
      <c r="T336" s="32" t="n">
        <f>282870</f>
        <v>282870.0</v>
      </c>
      <c r="U336" s="32" t="n">
        <f>235420</f>
        <v>235420.0</v>
      </c>
      <c r="V336" s="32" t="n">
        <f>1018159480</f>
        <v>1.01815948E9</v>
      </c>
      <c r="W336" s="32" t="n">
        <f>847805890</f>
        <v>8.4780589E8</v>
      </c>
      <c r="X336" s="36" t="n">
        <f>22</f>
        <v>22.0</v>
      </c>
    </row>
    <row r="337">
      <c r="A337" s="27" t="s">
        <v>42</v>
      </c>
      <c r="B337" s="27" t="s">
        <v>1059</v>
      </c>
      <c r="C337" s="27" t="s">
        <v>1060</v>
      </c>
      <c r="D337" s="27" t="s">
        <v>1061</v>
      </c>
      <c r="E337" s="28" t="s">
        <v>46</v>
      </c>
      <c r="F337" s="29" t="s">
        <v>46</v>
      </c>
      <c r="G337" s="30" t="s">
        <v>46</v>
      </c>
      <c r="H337" s="31"/>
      <c r="I337" s="31" t="s">
        <v>47</v>
      </c>
      <c r="J337" s="32" t="n">
        <v>10.0</v>
      </c>
      <c r="K337" s="33" t="n">
        <f>609.2</f>
        <v>609.2</v>
      </c>
      <c r="L337" s="34" t="s">
        <v>50</v>
      </c>
      <c r="M337" s="33" t="n">
        <f>622.1</f>
        <v>622.1</v>
      </c>
      <c r="N337" s="34" t="s">
        <v>229</v>
      </c>
      <c r="O337" s="33" t="n">
        <f>601.7</f>
        <v>601.7</v>
      </c>
      <c r="P337" s="34" t="s">
        <v>229</v>
      </c>
      <c r="Q337" s="33" t="n">
        <f>604.9</f>
        <v>604.9</v>
      </c>
      <c r="R337" s="34" t="s">
        <v>49</v>
      </c>
      <c r="S337" s="35" t="n">
        <f>608.2</f>
        <v>608.2</v>
      </c>
      <c r="T337" s="32" t="n">
        <f>5910</f>
        <v>5910.0</v>
      </c>
      <c r="U337" s="32" t="n">
        <f>530</f>
        <v>530.0</v>
      </c>
      <c r="V337" s="32" t="n">
        <f>3586580</f>
        <v>3586580.0</v>
      </c>
      <c r="W337" s="32" t="n">
        <f>320224</f>
        <v>320224.0</v>
      </c>
      <c r="X337" s="36" t="n">
        <f>20</f>
        <v>20.0</v>
      </c>
    </row>
    <row r="338">
      <c r="A338" s="27" t="s">
        <v>42</v>
      </c>
      <c r="B338" s="27" t="s">
        <v>1062</v>
      </c>
      <c r="C338" s="27" t="s">
        <v>1063</v>
      </c>
      <c r="D338" s="27" t="s">
        <v>1064</v>
      </c>
      <c r="E338" s="28" t="s">
        <v>46</v>
      </c>
      <c r="F338" s="29" t="s">
        <v>46</v>
      </c>
      <c r="G338" s="30" t="s">
        <v>46</v>
      </c>
      <c r="H338" s="31"/>
      <c r="I338" s="31" t="s">
        <v>47</v>
      </c>
      <c r="J338" s="32" t="n">
        <v>1.0</v>
      </c>
      <c r="K338" s="33" t="n">
        <f>9490</f>
        <v>9490.0</v>
      </c>
      <c r="L338" s="34" t="s">
        <v>48</v>
      </c>
      <c r="M338" s="33" t="n">
        <f>9953</f>
        <v>9953.0</v>
      </c>
      <c r="N338" s="34" t="s">
        <v>156</v>
      </c>
      <c r="O338" s="33" t="n">
        <f>9250</f>
        <v>9250.0</v>
      </c>
      <c r="P338" s="34" t="s">
        <v>69</v>
      </c>
      <c r="Q338" s="33" t="n">
        <f>9840</f>
        <v>9840.0</v>
      </c>
      <c r="R338" s="34" t="s">
        <v>49</v>
      </c>
      <c r="S338" s="35" t="n">
        <f>9690.55</f>
        <v>9690.55</v>
      </c>
      <c r="T338" s="32" t="n">
        <f>11328</f>
        <v>11328.0</v>
      </c>
      <c r="U338" s="32" t="str">
        <f>"－"</f>
        <v>－</v>
      </c>
      <c r="V338" s="32" t="n">
        <f>109769237</f>
        <v>1.09769237E8</v>
      </c>
      <c r="W338" s="32" t="str">
        <f>"－"</f>
        <v>－</v>
      </c>
      <c r="X338" s="36" t="n">
        <f>22</f>
        <v>22.0</v>
      </c>
    </row>
    <row r="339">
      <c r="A339" s="27" t="s">
        <v>42</v>
      </c>
      <c r="B339" s="27" t="s">
        <v>1065</v>
      </c>
      <c r="C339" s="27" t="s">
        <v>1066</v>
      </c>
      <c r="D339" s="27" t="s">
        <v>1067</v>
      </c>
      <c r="E339" s="28" t="s">
        <v>46</v>
      </c>
      <c r="F339" s="29" t="s">
        <v>46</v>
      </c>
      <c r="G339" s="30" t="s">
        <v>46</v>
      </c>
      <c r="H339" s="31"/>
      <c r="I339" s="31" t="s">
        <v>47</v>
      </c>
      <c r="J339" s="32" t="n">
        <v>1.0</v>
      </c>
      <c r="K339" s="33" t="n">
        <f>1187</f>
        <v>1187.0</v>
      </c>
      <c r="L339" s="34" t="s">
        <v>48</v>
      </c>
      <c r="M339" s="33" t="n">
        <f>1472</f>
        <v>1472.0</v>
      </c>
      <c r="N339" s="34" t="s">
        <v>49</v>
      </c>
      <c r="O339" s="33" t="n">
        <f>1160</f>
        <v>1160.0</v>
      </c>
      <c r="P339" s="34" t="s">
        <v>48</v>
      </c>
      <c r="Q339" s="33" t="n">
        <f>1456</f>
        <v>1456.0</v>
      </c>
      <c r="R339" s="34" t="s">
        <v>49</v>
      </c>
      <c r="S339" s="35" t="n">
        <f>1306.95</f>
        <v>1306.95</v>
      </c>
      <c r="T339" s="32" t="n">
        <f>1686124</f>
        <v>1686124.0</v>
      </c>
      <c r="U339" s="32" t="n">
        <f>80050</f>
        <v>80050.0</v>
      </c>
      <c r="V339" s="32" t="n">
        <f>2225344736</f>
        <v>2.225344736E9</v>
      </c>
      <c r="W339" s="32" t="n">
        <f>104588454</f>
        <v>1.04588454E8</v>
      </c>
      <c r="X339" s="36" t="n">
        <f>22</f>
        <v>22.0</v>
      </c>
    </row>
    <row r="340">
      <c r="A340" s="27" t="s">
        <v>42</v>
      </c>
      <c r="B340" s="27" t="s">
        <v>1068</v>
      </c>
      <c r="C340" s="27" t="s">
        <v>1069</v>
      </c>
      <c r="D340" s="27" t="s">
        <v>1070</v>
      </c>
      <c r="E340" s="28" t="s">
        <v>46</v>
      </c>
      <c r="F340" s="29" t="s">
        <v>46</v>
      </c>
      <c r="G340" s="30" t="s">
        <v>46</v>
      </c>
      <c r="H340" s="31"/>
      <c r="I340" s="31" t="s">
        <v>47</v>
      </c>
      <c r="J340" s="32" t="n">
        <v>1.0</v>
      </c>
      <c r="K340" s="33" t="n">
        <f>3300</f>
        <v>3300.0</v>
      </c>
      <c r="L340" s="34" t="s">
        <v>48</v>
      </c>
      <c r="M340" s="33" t="n">
        <f>3365</f>
        <v>3365.0</v>
      </c>
      <c r="N340" s="34" t="s">
        <v>229</v>
      </c>
      <c r="O340" s="33" t="n">
        <f>3103</f>
        <v>3103.0</v>
      </c>
      <c r="P340" s="34" t="s">
        <v>79</v>
      </c>
      <c r="Q340" s="33" t="n">
        <f>3188</f>
        <v>3188.0</v>
      </c>
      <c r="R340" s="34" t="s">
        <v>49</v>
      </c>
      <c r="S340" s="35" t="n">
        <f>3214.68</f>
        <v>3214.68</v>
      </c>
      <c r="T340" s="32" t="n">
        <f>28266</f>
        <v>28266.0</v>
      </c>
      <c r="U340" s="32" t="n">
        <f>300</f>
        <v>300.0</v>
      </c>
      <c r="V340" s="32" t="n">
        <f>91261873</f>
        <v>9.1261873E7</v>
      </c>
      <c r="W340" s="32" t="n">
        <f>973850</f>
        <v>973850.0</v>
      </c>
      <c r="X340" s="36" t="n">
        <f>22</f>
        <v>22.0</v>
      </c>
    </row>
    <row r="341">
      <c r="A341" s="27" t="s">
        <v>42</v>
      </c>
      <c r="B341" s="27" t="s">
        <v>1071</v>
      </c>
      <c r="C341" s="27" t="s">
        <v>1072</v>
      </c>
      <c r="D341" s="27" t="s">
        <v>1073</v>
      </c>
      <c r="E341" s="28" t="s">
        <v>46</v>
      </c>
      <c r="F341" s="29" t="s">
        <v>46</v>
      </c>
      <c r="G341" s="30" t="s">
        <v>46</v>
      </c>
      <c r="H341" s="31"/>
      <c r="I341" s="31" t="s">
        <v>47</v>
      </c>
      <c r="J341" s="32" t="n">
        <v>1.0</v>
      </c>
      <c r="K341" s="33" t="n">
        <f>2689</f>
        <v>2689.0</v>
      </c>
      <c r="L341" s="34" t="s">
        <v>48</v>
      </c>
      <c r="M341" s="33" t="n">
        <f>2938</f>
        <v>2938.0</v>
      </c>
      <c r="N341" s="34" t="s">
        <v>49</v>
      </c>
      <c r="O341" s="33" t="n">
        <f>2639</f>
        <v>2639.0</v>
      </c>
      <c r="P341" s="34" t="s">
        <v>48</v>
      </c>
      <c r="Q341" s="33" t="n">
        <f>2938</f>
        <v>2938.0</v>
      </c>
      <c r="R341" s="34" t="s">
        <v>49</v>
      </c>
      <c r="S341" s="35" t="n">
        <f>2771.05</f>
        <v>2771.05</v>
      </c>
      <c r="T341" s="32" t="n">
        <f>97397</f>
        <v>97397.0</v>
      </c>
      <c r="U341" s="32" t="n">
        <f>480</f>
        <v>480.0</v>
      </c>
      <c r="V341" s="32" t="n">
        <f>269292310</f>
        <v>2.6929231E8</v>
      </c>
      <c r="W341" s="32" t="n">
        <f>1352288</f>
        <v>1352288.0</v>
      </c>
      <c r="X341" s="36" t="n">
        <f>22</f>
        <v>22.0</v>
      </c>
    </row>
    <row r="342">
      <c r="A342" s="27" t="s">
        <v>42</v>
      </c>
      <c r="B342" s="27" t="s">
        <v>1074</v>
      </c>
      <c r="C342" s="27" t="s">
        <v>1075</v>
      </c>
      <c r="D342" s="27" t="s">
        <v>1076</v>
      </c>
      <c r="E342" s="28" t="s">
        <v>46</v>
      </c>
      <c r="F342" s="29" t="s">
        <v>46</v>
      </c>
      <c r="G342" s="30" t="s">
        <v>46</v>
      </c>
      <c r="H342" s="31"/>
      <c r="I342" s="31" t="s">
        <v>47</v>
      </c>
      <c r="J342" s="32" t="n">
        <v>1.0</v>
      </c>
      <c r="K342" s="33" t="n">
        <f>8438</f>
        <v>8438.0</v>
      </c>
      <c r="L342" s="34" t="s">
        <v>48</v>
      </c>
      <c r="M342" s="33" t="n">
        <f>8835</f>
        <v>8835.0</v>
      </c>
      <c r="N342" s="34" t="s">
        <v>79</v>
      </c>
      <c r="O342" s="33" t="n">
        <f>8390</f>
        <v>8390.0</v>
      </c>
      <c r="P342" s="34" t="s">
        <v>48</v>
      </c>
      <c r="Q342" s="33" t="n">
        <f>8823</f>
        <v>8823.0</v>
      </c>
      <c r="R342" s="34" t="s">
        <v>49</v>
      </c>
      <c r="S342" s="35" t="n">
        <f>8682.38</f>
        <v>8682.38</v>
      </c>
      <c r="T342" s="32" t="n">
        <f>423371</f>
        <v>423371.0</v>
      </c>
      <c r="U342" s="32" t="n">
        <f>417400</f>
        <v>417400.0</v>
      </c>
      <c r="V342" s="32" t="n">
        <f>3646106015</f>
        <v>3.646106015E9</v>
      </c>
      <c r="W342" s="32" t="n">
        <f>3593536415</f>
        <v>3.593536415E9</v>
      </c>
      <c r="X342" s="36" t="n">
        <f>21</f>
        <v>21.0</v>
      </c>
    </row>
    <row r="343">
      <c r="A343" s="27" t="s">
        <v>42</v>
      </c>
      <c r="B343" s="27" t="s">
        <v>1077</v>
      </c>
      <c r="C343" s="27" t="s">
        <v>1078</v>
      </c>
      <c r="D343" s="27" t="s">
        <v>1079</v>
      </c>
      <c r="E343" s="28" t="s">
        <v>46</v>
      </c>
      <c r="F343" s="29" t="s">
        <v>46</v>
      </c>
      <c r="G343" s="30" t="s">
        <v>46</v>
      </c>
      <c r="H343" s="31"/>
      <c r="I343" s="31" t="s">
        <v>47</v>
      </c>
      <c r="J343" s="32" t="n">
        <v>1.0</v>
      </c>
      <c r="K343" s="33" t="n">
        <f>5329</f>
        <v>5329.0</v>
      </c>
      <c r="L343" s="34" t="s">
        <v>48</v>
      </c>
      <c r="M343" s="33" t="n">
        <f>5403</f>
        <v>5403.0</v>
      </c>
      <c r="N343" s="34" t="s">
        <v>61</v>
      </c>
      <c r="O343" s="33" t="n">
        <f>5314</f>
        <v>5314.0</v>
      </c>
      <c r="P343" s="34" t="s">
        <v>262</v>
      </c>
      <c r="Q343" s="33" t="n">
        <f>5341</f>
        <v>5341.0</v>
      </c>
      <c r="R343" s="34" t="s">
        <v>49</v>
      </c>
      <c r="S343" s="35" t="n">
        <f>5356.86</f>
        <v>5356.86</v>
      </c>
      <c r="T343" s="32" t="n">
        <f>3018</f>
        <v>3018.0</v>
      </c>
      <c r="U343" s="32" t="n">
        <f>10</f>
        <v>10.0</v>
      </c>
      <c r="V343" s="32" t="n">
        <f>16141068</f>
        <v>1.6141068E7</v>
      </c>
      <c r="W343" s="32" t="n">
        <f>53251</f>
        <v>53251.0</v>
      </c>
      <c r="X343" s="36" t="n">
        <f>22</f>
        <v>22.0</v>
      </c>
    </row>
    <row r="344">
      <c r="A344" s="27" t="s">
        <v>42</v>
      </c>
      <c r="B344" s="27" t="s">
        <v>1080</v>
      </c>
      <c r="C344" s="27" t="s">
        <v>1081</v>
      </c>
      <c r="D344" s="27" t="s">
        <v>1082</v>
      </c>
      <c r="E344" s="28" t="s">
        <v>46</v>
      </c>
      <c r="F344" s="29" t="s">
        <v>46</v>
      </c>
      <c r="G344" s="30" t="s">
        <v>46</v>
      </c>
      <c r="H344" s="31"/>
      <c r="I344" s="31" t="s">
        <v>47</v>
      </c>
      <c r="J344" s="32" t="n">
        <v>1.0</v>
      </c>
      <c r="K344" s="33" t="n">
        <f>1087</f>
        <v>1087.0</v>
      </c>
      <c r="L344" s="34" t="s">
        <v>48</v>
      </c>
      <c r="M344" s="33" t="n">
        <f>1168</f>
        <v>1168.0</v>
      </c>
      <c r="N344" s="34" t="s">
        <v>68</v>
      </c>
      <c r="O344" s="33" t="n">
        <f>1069</f>
        <v>1069.0</v>
      </c>
      <c r="P344" s="34" t="s">
        <v>50</v>
      </c>
      <c r="Q344" s="33" t="n">
        <f>1150</f>
        <v>1150.0</v>
      </c>
      <c r="R344" s="34" t="s">
        <v>49</v>
      </c>
      <c r="S344" s="35" t="n">
        <f>1118</f>
        <v>1118.0</v>
      </c>
      <c r="T344" s="32" t="n">
        <f>590884</f>
        <v>590884.0</v>
      </c>
      <c r="U344" s="32" t="str">
        <f>"－"</f>
        <v>－</v>
      </c>
      <c r="V344" s="32" t="n">
        <f>658783544</f>
        <v>6.58783544E8</v>
      </c>
      <c r="W344" s="32" t="str">
        <f>"－"</f>
        <v>－</v>
      </c>
      <c r="X344" s="36" t="n">
        <f>22</f>
        <v>22.0</v>
      </c>
    </row>
    <row r="345">
      <c r="A345" s="27" t="s">
        <v>42</v>
      </c>
      <c r="B345" s="27" t="s">
        <v>1083</v>
      </c>
      <c r="C345" s="27" t="s">
        <v>1084</v>
      </c>
      <c r="D345" s="27" t="s">
        <v>1085</v>
      </c>
      <c r="E345" s="28" t="s">
        <v>46</v>
      </c>
      <c r="F345" s="29" t="s">
        <v>46</v>
      </c>
      <c r="G345" s="30" t="s">
        <v>46</v>
      </c>
      <c r="H345" s="31"/>
      <c r="I345" s="31" t="s">
        <v>47</v>
      </c>
      <c r="J345" s="32" t="n">
        <v>1.0</v>
      </c>
      <c r="K345" s="33" t="n">
        <f>2101</f>
        <v>2101.0</v>
      </c>
      <c r="L345" s="34" t="s">
        <v>48</v>
      </c>
      <c r="M345" s="33" t="n">
        <f>2318</f>
        <v>2318.0</v>
      </c>
      <c r="N345" s="34" t="s">
        <v>79</v>
      </c>
      <c r="O345" s="33" t="n">
        <f>2084</f>
        <v>2084.0</v>
      </c>
      <c r="P345" s="34" t="s">
        <v>48</v>
      </c>
      <c r="Q345" s="33" t="n">
        <f>2316</f>
        <v>2316.0</v>
      </c>
      <c r="R345" s="34" t="s">
        <v>49</v>
      </c>
      <c r="S345" s="35" t="n">
        <f>2195.59</f>
        <v>2195.59</v>
      </c>
      <c r="T345" s="32" t="n">
        <f>2249798</f>
        <v>2249798.0</v>
      </c>
      <c r="U345" s="32" t="n">
        <f>232227</f>
        <v>232227.0</v>
      </c>
      <c r="V345" s="32" t="n">
        <f>4949312088</f>
        <v>4.949312088E9</v>
      </c>
      <c r="W345" s="32" t="n">
        <f>504155364</f>
        <v>5.04155364E8</v>
      </c>
      <c r="X345" s="36" t="n">
        <f>22</f>
        <v>22.0</v>
      </c>
    </row>
    <row r="346">
      <c r="A346" s="27" t="s">
        <v>42</v>
      </c>
      <c r="B346" s="27" t="s">
        <v>1086</v>
      </c>
      <c r="C346" s="27" t="s">
        <v>1087</v>
      </c>
      <c r="D346" s="27" t="s">
        <v>1088</v>
      </c>
      <c r="E346" s="28" t="s">
        <v>46</v>
      </c>
      <c r="F346" s="29" t="s">
        <v>46</v>
      </c>
      <c r="G346" s="30" t="s">
        <v>46</v>
      </c>
      <c r="H346" s="31"/>
      <c r="I346" s="31" t="s">
        <v>47</v>
      </c>
      <c r="J346" s="32" t="n">
        <v>1.0</v>
      </c>
      <c r="K346" s="33" t="n">
        <f>1453</f>
        <v>1453.0</v>
      </c>
      <c r="L346" s="34" t="s">
        <v>48</v>
      </c>
      <c r="M346" s="33" t="n">
        <f>1560</f>
        <v>1560.0</v>
      </c>
      <c r="N346" s="34" t="s">
        <v>79</v>
      </c>
      <c r="O346" s="33" t="n">
        <f>1442</f>
        <v>1442.0</v>
      </c>
      <c r="P346" s="34" t="s">
        <v>61</v>
      </c>
      <c r="Q346" s="33" t="n">
        <f>1537</f>
        <v>1537.0</v>
      </c>
      <c r="R346" s="34" t="s">
        <v>49</v>
      </c>
      <c r="S346" s="35" t="n">
        <f>1481.09</f>
        <v>1481.09</v>
      </c>
      <c r="T346" s="32" t="n">
        <f>2291719</f>
        <v>2291719.0</v>
      </c>
      <c r="U346" s="32" t="n">
        <f>577469</f>
        <v>577469.0</v>
      </c>
      <c r="V346" s="32" t="n">
        <f>3410112953</f>
        <v>3.410112953E9</v>
      </c>
      <c r="W346" s="32" t="n">
        <f>868072506</f>
        <v>8.68072506E8</v>
      </c>
      <c r="X346" s="36" t="n">
        <f>22</f>
        <v>22.0</v>
      </c>
    </row>
    <row r="347">
      <c r="A347" s="27" t="s">
        <v>42</v>
      </c>
      <c r="B347" s="27" t="s">
        <v>1089</v>
      </c>
      <c r="C347" s="27" t="s">
        <v>1090</v>
      </c>
      <c r="D347" s="27" t="s">
        <v>1091</v>
      </c>
      <c r="E347" s="28" t="s">
        <v>46</v>
      </c>
      <c r="F347" s="29" t="s">
        <v>46</v>
      </c>
      <c r="G347" s="30" t="s">
        <v>46</v>
      </c>
      <c r="H347" s="31"/>
      <c r="I347" s="31" t="s">
        <v>47</v>
      </c>
      <c r="J347" s="32" t="n">
        <v>1.0</v>
      </c>
      <c r="K347" s="33" t="n">
        <f>14595</f>
        <v>14595.0</v>
      </c>
      <c r="L347" s="34" t="s">
        <v>48</v>
      </c>
      <c r="M347" s="33" t="n">
        <f>14700</f>
        <v>14700.0</v>
      </c>
      <c r="N347" s="34" t="s">
        <v>61</v>
      </c>
      <c r="O347" s="33" t="n">
        <f>13690</f>
        <v>13690.0</v>
      </c>
      <c r="P347" s="34" t="s">
        <v>79</v>
      </c>
      <c r="Q347" s="33" t="n">
        <f>13810</f>
        <v>13810.0</v>
      </c>
      <c r="R347" s="34" t="s">
        <v>49</v>
      </c>
      <c r="S347" s="35" t="n">
        <f>14320.68</f>
        <v>14320.68</v>
      </c>
      <c r="T347" s="32" t="n">
        <f>69669</f>
        <v>69669.0</v>
      </c>
      <c r="U347" s="32" t="n">
        <f>205</f>
        <v>205.0</v>
      </c>
      <c r="V347" s="32" t="n">
        <f>993844141</f>
        <v>9.93844141E8</v>
      </c>
      <c r="W347" s="32" t="n">
        <f>2905616</f>
        <v>2905616.0</v>
      </c>
      <c r="X347" s="36" t="n">
        <f>22</f>
        <v>22.0</v>
      </c>
    </row>
    <row r="348">
      <c r="A348" s="27" t="s">
        <v>42</v>
      </c>
      <c r="B348" s="27" t="s">
        <v>1092</v>
      </c>
      <c r="C348" s="27" t="s">
        <v>1093</v>
      </c>
      <c r="D348" s="27" t="s">
        <v>1094</v>
      </c>
      <c r="E348" s="28" t="s">
        <v>46</v>
      </c>
      <c r="F348" s="29" t="s">
        <v>46</v>
      </c>
      <c r="G348" s="30" t="s">
        <v>46</v>
      </c>
      <c r="H348" s="31"/>
      <c r="I348" s="31" t="s">
        <v>47</v>
      </c>
      <c r="J348" s="32" t="n">
        <v>1.0</v>
      </c>
      <c r="K348" s="33" t="n">
        <f>3978</f>
        <v>3978.0</v>
      </c>
      <c r="L348" s="34" t="s">
        <v>48</v>
      </c>
      <c r="M348" s="33" t="n">
        <f>4049</f>
        <v>4049.0</v>
      </c>
      <c r="N348" s="34" t="s">
        <v>61</v>
      </c>
      <c r="O348" s="33" t="n">
        <f>3960</f>
        <v>3960.0</v>
      </c>
      <c r="P348" s="34" t="s">
        <v>262</v>
      </c>
      <c r="Q348" s="33" t="n">
        <f>3989</f>
        <v>3989.0</v>
      </c>
      <c r="R348" s="34" t="s">
        <v>49</v>
      </c>
      <c r="S348" s="35" t="n">
        <f>4005.64</f>
        <v>4005.64</v>
      </c>
      <c r="T348" s="32" t="n">
        <f>90538</f>
        <v>90538.0</v>
      </c>
      <c r="U348" s="32" t="n">
        <f>55252</f>
        <v>55252.0</v>
      </c>
      <c r="V348" s="32" t="n">
        <f>363366337</f>
        <v>3.63366337E8</v>
      </c>
      <c r="W348" s="32" t="n">
        <f>222258309</f>
        <v>2.22258309E8</v>
      </c>
      <c r="X348" s="36" t="n">
        <f>22</f>
        <v>22.0</v>
      </c>
    </row>
    <row r="349">
      <c r="A349" s="27" t="s">
        <v>42</v>
      </c>
      <c r="B349" s="27" t="s">
        <v>1095</v>
      </c>
      <c r="C349" s="27" t="s">
        <v>1096</v>
      </c>
      <c r="D349" s="27" t="s">
        <v>1097</v>
      </c>
      <c r="E349" s="28" t="s">
        <v>46</v>
      </c>
      <c r="F349" s="29" t="s">
        <v>46</v>
      </c>
      <c r="G349" s="30" t="s">
        <v>46</v>
      </c>
      <c r="H349" s="31"/>
      <c r="I349" s="31" t="s">
        <v>47</v>
      </c>
      <c r="J349" s="32" t="n">
        <v>1.0</v>
      </c>
      <c r="K349" s="33" t="n">
        <f>5138</f>
        <v>5138.0</v>
      </c>
      <c r="L349" s="34" t="s">
        <v>48</v>
      </c>
      <c r="M349" s="33" t="n">
        <f>5324</f>
        <v>5324.0</v>
      </c>
      <c r="N349" s="34" t="s">
        <v>106</v>
      </c>
      <c r="O349" s="33" t="n">
        <f>5088</f>
        <v>5088.0</v>
      </c>
      <c r="P349" s="34" t="s">
        <v>48</v>
      </c>
      <c r="Q349" s="33" t="n">
        <f>5300</f>
        <v>5300.0</v>
      </c>
      <c r="R349" s="34" t="s">
        <v>49</v>
      </c>
      <c r="S349" s="35" t="n">
        <f>5231.36</f>
        <v>5231.36</v>
      </c>
      <c r="T349" s="32" t="n">
        <f>2325005</f>
        <v>2325005.0</v>
      </c>
      <c r="U349" s="32" t="n">
        <f>2204500</f>
        <v>2204500.0</v>
      </c>
      <c r="V349" s="32" t="n">
        <f>12156524738</f>
        <v>1.2156524738E10</v>
      </c>
      <c r="W349" s="32" t="n">
        <f>11522994000</f>
        <v>1.1522994E10</v>
      </c>
      <c r="X349" s="36" t="n">
        <f>22</f>
        <v>22.0</v>
      </c>
    </row>
    <row r="350">
      <c r="A350" s="27" t="s">
        <v>42</v>
      </c>
      <c r="B350" s="27" t="s">
        <v>1098</v>
      </c>
      <c r="C350" s="27" t="s">
        <v>1099</v>
      </c>
      <c r="D350" s="27" t="s">
        <v>1100</v>
      </c>
      <c r="E350" s="28" t="s">
        <v>46</v>
      </c>
      <c r="F350" s="29" t="s">
        <v>46</v>
      </c>
      <c r="G350" s="30" t="s">
        <v>46</v>
      </c>
      <c r="H350" s="31"/>
      <c r="I350" s="31" t="s">
        <v>47</v>
      </c>
      <c r="J350" s="32" t="n">
        <v>1.0</v>
      </c>
      <c r="K350" s="33" t="n">
        <f>3044</f>
        <v>3044.0</v>
      </c>
      <c r="L350" s="34" t="s">
        <v>48</v>
      </c>
      <c r="M350" s="33" t="n">
        <f>3249</f>
        <v>3249.0</v>
      </c>
      <c r="N350" s="34" t="s">
        <v>79</v>
      </c>
      <c r="O350" s="33" t="n">
        <f>3024</f>
        <v>3024.0</v>
      </c>
      <c r="P350" s="34" t="s">
        <v>61</v>
      </c>
      <c r="Q350" s="33" t="n">
        <f>3222</f>
        <v>3222.0</v>
      </c>
      <c r="R350" s="34" t="s">
        <v>49</v>
      </c>
      <c r="S350" s="35" t="n">
        <f>3108.5</f>
        <v>3108.5</v>
      </c>
      <c r="T350" s="32" t="n">
        <f>2680791</f>
        <v>2680791.0</v>
      </c>
      <c r="U350" s="32" t="n">
        <f>1605430</f>
        <v>1605430.0</v>
      </c>
      <c r="V350" s="32" t="n">
        <f>8352225316</f>
        <v>8.352225316E9</v>
      </c>
      <c r="W350" s="32" t="n">
        <f>4996402157</f>
        <v>4.996402157E9</v>
      </c>
      <c r="X350" s="36" t="n">
        <f>22</f>
        <v>22.0</v>
      </c>
    </row>
    <row r="351">
      <c r="A351" s="27" t="s">
        <v>42</v>
      </c>
      <c r="B351" s="27" t="s">
        <v>1101</v>
      </c>
      <c r="C351" s="27" t="s">
        <v>1102</v>
      </c>
      <c r="D351" s="27" t="s">
        <v>1103</v>
      </c>
      <c r="E351" s="28" t="s">
        <v>46</v>
      </c>
      <c r="F351" s="29" t="s">
        <v>46</v>
      </c>
      <c r="G351" s="30" t="s">
        <v>46</v>
      </c>
      <c r="H351" s="31"/>
      <c r="I351" s="31" t="s">
        <v>47</v>
      </c>
      <c r="J351" s="32" t="n">
        <v>1.0</v>
      </c>
      <c r="K351" s="33" t="n">
        <f>2298</f>
        <v>2298.0</v>
      </c>
      <c r="L351" s="34" t="s">
        <v>48</v>
      </c>
      <c r="M351" s="33" t="n">
        <f>2367</f>
        <v>2367.0</v>
      </c>
      <c r="N351" s="34" t="s">
        <v>49</v>
      </c>
      <c r="O351" s="33" t="n">
        <f>2267.5</f>
        <v>2267.5</v>
      </c>
      <c r="P351" s="34" t="s">
        <v>61</v>
      </c>
      <c r="Q351" s="33" t="n">
        <f>2356</f>
        <v>2356.0</v>
      </c>
      <c r="R351" s="34" t="s">
        <v>49</v>
      </c>
      <c r="S351" s="35" t="n">
        <f>2315.55</f>
        <v>2315.55</v>
      </c>
      <c r="T351" s="32" t="n">
        <f>1016173</f>
        <v>1016173.0</v>
      </c>
      <c r="U351" s="32" t="n">
        <f>646010</f>
        <v>646010.0</v>
      </c>
      <c r="V351" s="32" t="n">
        <f>2357980805</f>
        <v>2.357980805E9</v>
      </c>
      <c r="W351" s="32" t="n">
        <f>1494928502</f>
        <v>1.494928502E9</v>
      </c>
      <c r="X351" s="36" t="n">
        <f>22</f>
        <v>22.0</v>
      </c>
    </row>
    <row r="352">
      <c r="A352" s="27" t="s">
        <v>42</v>
      </c>
      <c r="B352" s="27" t="s">
        <v>1104</v>
      </c>
      <c r="C352" s="27" t="s">
        <v>1105</v>
      </c>
      <c r="D352" s="27" t="s">
        <v>1106</v>
      </c>
      <c r="E352" s="28" t="s">
        <v>46</v>
      </c>
      <c r="F352" s="29" t="s">
        <v>46</v>
      </c>
      <c r="G352" s="30" t="s">
        <v>46</v>
      </c>
      <c r="H352" s="31"/>
      <c r="I352" s="31" t="s">
        <v>47</v>
      </c>
      <c r="J352" s="32" t="n">
        <v>1.0</v>
      </c>
      <c r="K352" s="33" t="n">
        <f>2432</f>
        <v>2432.0</v>
      </c>
      <c r="L352" s="34" t="s">
        <v>48</v>
      </c>
      <c r="M352" s="33" t="n">
        <f>2678</f>
        <v>2678.0</v>
      </c>
      <c r="N352" s="34" t="s">
        <v>68</v>
      </c>
      <c r="O352" s="33" t="n">
        <f>2343</f>
        <v>2343.0</v>
      </c>
      <c r="P352" s="34" t="s">
        <v>48</v>
      </c>
      <c r="Q352" s="33" t="n">
        <f>2631</f>
        <v>2631.0</v>
      </c>
      <c r="R352" s="34" t="s">
        <v>49</v>
      </c>
      <c r="S352" s="35" t="n">
        <f>2512.36</f>
        <v>2512.36</v>
      </c>
      <c r="T352" s="32" t="n">
        <f>13020</f>
        <v>13020.0</v>
      </c>
      <c r="U352" s="32" t="n">
        <f>630</f>
        <v>630.0</v>
      </c>
      <c r="V352" s="32" t="n">
        <f>32894062</f>
        <v>3.2894062E7</v>
      </c>
      <c r="W352" s="32" t="n">
        <f>1545472</f>
        <v>1545472.0</v>
      </c>
      <c r="X352" s="36" t="n">
        <f>22</f>
        <v>22.0</v>
      </c>
    </row>
    <row r="353">
      <c r="A353" s="27" t="s">
        <v>42</v>
      </c>
      <c r="B353" s="27" t="s">
        <v>1107</v>
      </c>
      <c r="C353" s="27" t="s">
        <v>1108</v>
      </c>
      <c r="D353" s="27" t="s">
        <v>1109</v>
      </c>
      <c r="E353" s="28" t="s">
        <v>46</v>
      </c>
      <c r="F353" s="29" t="s">
        <v>46</v>
      </c>
      <c r="G353" s="30" t="s">
        <v>46</v>
      </c>
      <c r="H353" s="31"/>
      <c r="I353" s="31" t="s">
        <v>47</v>
      </c>
      <c r="J353" s="32" t="n">
        <v>1.0</v>
      </c>
      <c r="K353" s="33" t="n">
        <f>2384</f>
        <v>2384.0</v>
      </c>
      <c r="L353" s="34" t="s">
        <v>48</v>
      </c>
      <c r="M353" s="33" t="n">
        <f>2566</f>
        <v>2566.0</v>
      </c>
      <c r="N353" s="34" t="s">
        <v>49</v>
      </c>
      <c r="O353" s="33" t="n">
        <f>2359</f>
        <v>2359.0</v>
      </c>
      <c r="P353" s="34" t="s">
        <v>50</v>
      </c>
      <c r="Q353" s="33" t="n">
        <f>2566</f>
        <v>2566.0</v>
      </c>
      <c r="R353" s="34" t="s">
        <v>49</v>
      </c>
      <c r="S353" s="35" t="n">
        <f>2481.09</f>
        <v>2481.09</v>
      </c>
      <c r="T353" s="32" t="n">
        <f>2027</f>
        <v>2027.0</v>
      </c>
      <c r="U353" s="32" t="str">
        <f>"－"</f>
        <v>－</v>
      </c>
      <c r="V353" s="32" t="n">
        <f>5107748</f>
        <v>5107748.0</v>
      </c>
      <c r="W353" s="32" t="str">
        <f>"－"</f>
        <v>－</v>
      </c>
      <c r="X353" s="36" t="n">
        <f>22</f>
        <v>22.0</v>
      </c>
    </row>
    <row r="354">
      <c r="A354" s="27" t="s">
        <v>42</v>
      </c>
      <c r="B354" s="27" t="s">
        <v>1110</v>
      </c>
      <c r="C354" s="27" t="s">
        <v>1111</v>
      </c>
      <c r="D354" s="27" t="s">
        <v>1112</v>
      </c>
      <c r="E354" s="28" t="s">
        <v>46</v>
      </c>
      <c r="F354" s="29" t="s">
        <v>46</v>
      </c>
      <c r="G354" s="30" t="s">
        <v>46</v>
      </c>
      <c r="H354" s="31"/>
      <c r="I354" s="31" t="s">
        <v>47</v>
      </c>
      <c r="J354" s="32" t="n">
        <v>1.0</v>
      </c>
      <c r="K354" s="33" t="n">
        <f>4770</f>
        <v>4770.0</v>
      </c>
      <c r="L354" s="34" t="s">
        <v>48</v>
      </c>
      <c r="M354" s="33" t="n">
        <f>5067</f>
        <v>5067.0</v>
      </c>
      <c r="N354" s="34" t="s">
        <v>49</v>
      </c>
      <c r="O354" s="33" t="n">
        <f>4692</f>
        <v>4692.0</v>
      </c>
      <c r="P354" s="34" t="s">
        <v>50</v>
      </c>
      <c r="Q354" s="33" t="n">
        <f>5067</f>
        <v>5067.0</v>
      </c>
      <c r="R354" s="34" t="s">
        <v>49</v>
      </c>
      <c r="S354" s="35" t="n">
        <f>4882.95</f>
        <v>4882.95</v>
      </c>
      <c r="T354" s="32" t="n">
        <f>195675</f>
        <v>195675.0</v>
      </c>
      <c r="U354" s="32" t="n">
        <f>163102</f>
        <v>163102.0</v>
      </c>
      <c r="V354" s="32" t="n">
        <f>951345730</f>
        <v>9.5134573E8</v>
      </c>
      <c r="W354" s="32" t="n">
        <f>792399035</f>
        <v>7.92399035E8</v>
      </c>
      <c r="X354" s="36" t="n">
        <f>22</f>
        <v>22.0</v>
      </c>
    </row>
    <row r="355">
      <c r="A355" s="27" t="s">
        <v>42</v>
      </c>
      <c r="B355" s="27" t="s">
        <v>1113</v>
      </c>
      <c r="C355" s="27" t="s">
        <v>1114</v>
      </c>
      <c r="D355" s="27" t="s">
        <v>1115</v>
      </c>
      <c r="E355" s="28" t="s">
        <v>46</v>
      </c>
      <c r="F355" s="29" t="s">
        <v>46</v>
      </c>
      <c r="G355" s="30" t="s">
        <v>46</v>
      </c>
      <c r="H355" s="31"/>
      <c r="I355" s="31" t="s">
        <v>47</v>
      </c>
      <c r="J355" s="32" t="n">
        <v>10.0</v>
      </c>
      <c r="K355" s="33" t="n">
        <f>315</f>
        <v>315.0</v>
      </c>
      <c r="L355" s="34" t="s">
        <v>48</v>
      </c>
      <c r="M355" s="33" t="n">
        <f>332.9</f>
        <v>332.9</v>
      </c>
      <c r="N355" s="34" t="s">
        <v>68</v>
      </c>
      <c r="O355" s="33" t="n">
        <f>299</f>
        <v>299.0</v>
      </c>
      <c r="P355" s="34" t="s">
        <v>50</v>
      </c>
      <c r="Q355" s="33" t="n">
        <f>328.4</f>
        <v>328.4</v>
      </c>
      <c r="R355" s="34" t="s">
        <v>49</v>
      </c>
      <c r="S355" s="35" t="n">
        <f>318</f>
        <v>318.0</v>
      </c>
      <c r="T355" s="32" t="n">
        <f>194930</f>
        <v>194930.0</v>
      </c>
      <c r="U355" s="32" t="n">
        <f>1110</f>
        <v>1110.0</v>
      </c>
      <c r="V355" s="32" t="n">
        <f>62796205</f>
        <v>6.2796205E7</v>
      </c>
      <c r="W355" s="32" t="n">
        <f>352478</f>
        <v>352478.0</v>
      </c>
      <c r="X355" s="36" t="n">
        <f>22</f>
        <v>22.0</v>
      </c>
    </row>
    <row r="356">
      <c r="A356" s="27" t="s">
        <v>42</v>
      </c>
      <c r="B356" s="27" t="s">
        <v>1116</v>
      </c>
      <c r="C356" s="27" t="s">
        <v>1117</v>
      </c>
      <c r="D356" s="27" t="s">
        <v>1118</v>
      </c>
      <c r="E356" s="28" t="s">
        <v>46</v>
      </c>
      <c r="F356" s="29" t="s">
        <v>46</v>
      </c>
      <c r="G356" s="30" t="s">
        <v>46</v>
      </c>
      <c r="H356" s="31"/>
      <c r="I356" s="31" t="s">
        <v>47</v>
      </c>
      <c r="J356" s="32" t="n">
        <v>10.0</v>
      </c>
      <c r="K356" s="33" t="n">
        <f>188.8</f>
        <v>188.8</v>
      </c>
      <c r="L356" s="34" t="s">
        <v>48</v>
      </c>
      <c r="M356" s="33" t="n">
        <f>194.5</f>
        <v>194.5</v>
      </c>
      <c r="N356" s="34" t="s">
        <v>233</v>
      </c>
      <c r="O356" s="33" t="n">
        <f>185.3</f>
        <v>185.3</v>
      </c>
      <c r="P356" s="34" t="s">
        <v>48</v>
      </c>
      <c r="Q356" s="33" t="n">
        <f>192.7</f>
        <v>192.7</v>
      </c>
      <c r="R356" s="34" t="s">
        <v>49</v>
      </c>
      <c r="S356" s="35" t="n">
        <f>189.56</f>
        <v>189.56</v>
      </c>
      <c r="T356" s="32" t="n">
        <f>430410</f>
        <v>430410.0</v>
      </c>
      <c r="U356" s="32" t="n">
        <f>190</f>
        <v>190.0</v>
      </c>
      <c r="V356" s="32" t="n">
        <f>82119032</f>
        <v>8.2119032E7</v>
      </c>
      <c r="W356" s="32" t="n">
        <f>36137</f>
        <v>36137.0</v>
      </c>
      <c r="X356" s="36" t="n">
        <f>22</f>
        <v>22.0</v>
      </c>
    </row>
    <row r="357">
      <c r="A357" s="27" t="s">
        <v>42</v>
      </c>
      <c r="B357" s="27" t="s">
        <v>1119</v>
      </c>
      <c r="C357" s="27" t="s">
        <v>1120</v>
      </c>
      <c r="D357" s="27" t="s">
        <v>1121</v>
      </c>
      <c r="E357" s="28" t="s">
        <v>46</v>
      </c>
      <c r="F357" s="29" t="s">
        <v>46</v>
      </c>
      <c r="G357" s="30" t="s">
        <v>46</v>
      </c>
      <c r="H357" s="31"/>
      <c r="I357" s="31" t="s">
        <v>47</v>
      </c>
      <c r="J357" s="32" t="n">
        <v>10.0</v>
      </c>
      <c r="K357" s="33" t="n">
        <f>643.4</f>
        <v>643.4</v>
      </c>
      <c r="L357" s="34" t="s">
        <v>50</v>
      </c>
      <c r="M357" s="33" t="n">
        <f>648.9</f>
        <v>648.9</v>
      </c>
      <c r="N357" s="34" t="s">
        <v>156</v>
      </c>
      <c r="O357" s="33" t="n">
        <f>635.8</f>
        <v>635.8</v>
      </c>
      <c r="P357" s="34" t="s">
        <v>116</v>
      </c>
      <c r="Q357" s="33" t="n">
        <f>641.2</f>
        <v>641.2</v>
      </c>
      <c r="R357" s="34" t="s">
        <v>49</v>
      </c>
      <c r="S357" s="35" t="n">
        <f>642.06</f>
        <v>642.06</v>
      </c>
      <c r="T357" s="32" t="n">
        <f>1240</f>
        <v>1240.0</v>
      </c>
      <c r="U357" s="32" t="str">
        <f>"－"</f>
        <v>－</v>
      </c>
      <c r="V357" s="32" t="n">
        <f>791521</f>
        <v>791521.0</v>
      </c>
      <c r="W357" s="32" t="str">
        <f>"－"</f>
        <v>－</v>
      </c>
      <c r="X357" s="36" t="n">
        <f>17</f>
        <v>17.0</v>
      </c>
    </row>
    <row r="358">
      <c r="A358" s="27" t="s">
        <v>42</v>
      </c>
      <c r="B358" s="27" t="s">
        <v>1122</v>
      </c>
      <c r="C358" s="27" t="s">
        <v>1123</v>
      </c>
      <c r="D358" s="27" t="s">
        <v>1124</v>
      </c>
      <c r="E358" s="28" t="s">
        <v>46</v>
      </c>
      <c r="F358" s="29" t="s">
        <v>46</v>
      </c>
      <c r="G358" s="30" t="s">
        <v>46</v>
      </c>
      <c r="H358" s="31"/>
      <c r="I358" s="31" t="s">
        <v>47</v>
      </c>
      <c r="J358" s="32" t="n">
        <v>1.0</v>
      </c>
      <c r="K358" s="33" t="n">
        <f>1800</f>
        <v>1800.0</v>
      </c>
      <c r="L358" s="34" t="s">
        <v>48</v>
      </c>
      <c r="M358" s="33" t="n">
        <f>2070</f>
        <v>2070.0</v>
      </c>
      <c r="N358" s="34" t="s">
        <v>49</v>
      </c>
      <c r="O358" s="33" t="n">
        <f>1782</f>
        <v>1782.0</v>
      </c>
      <c r="P358" s="34" t="s">
        <v>48</v>
      </c>
      <c r="Q358" s="33" t="n">
        <f>2070</f>
        <v>2070.0</v>
      </c>
      <c r="R358" s="34" t="s">
        <v>49</v>
      </c>
      <c r="S358" s="35" t="n">
        <f>1930.95</f>
        <v>1930.95</v>
      </c>
      <c r="T358" s="32" t="n">
        <f>548798</f>
        <v>548798.0</v>
      </c>
      <c r="U358" s="32" t="n">
        <f>3059</f>
        <v>3059.0</v>
      </c>
      <c r="V358" s="32" t="n">
        <f>1057481199</f>
        <v>1.057481199E9</v>
      </c>
      <c r="W358" s="32" t="n">
        <f>5957128</f>
        <v>5957128.0</v>
      </c>
      <c r="X358" s="36" t="n">
        <f>22</f>
        <v>22.0</v>
      </c>
    </row>
    <row r="359">
      <c r="A359" s="27" t="s">
        <v>42</v>
      </c>
      <c r="B359" s="27" t="s">
        <v>1125</v>
      </c>
      <c r="C359" s="27" t="s">
        <v>1126</v>
      </c>
      <c r="D359" s="27" t="s">
        <v>1127</v>
      </c>
      <c r="E359" s="28" t="s">
        <v>46</v>
      </c>
      <c r="F359" s="29" t="s">
        <v>46</v>
      </c>
      <c r="G359" s="30" t="s">
        <v>46</v>
      </c>
      <c r="H359" s="31"/>
      <c r="I359" s="31" t="s">
        <v>47</v>
      </c>
      <c r="J359" s="32" t="n">
        <v>1.0</v>
      </c>
      <c r="K359" s="33" t="n">
        <f>1012</f>
        <v>1012.0</v>
      </c>
      <c r="L359" s="34" t="s">
        <v>48</v>
      </c>
      <c r="M359" s="33" t="n">
        <f>1030</f>
        <v>1030.0</v>
      </c>
      <c r="N359" s="34" t="s">
        <v>106</v>
      </c>
      <c r="O359" s="33" t="n">
        <f>995</f>
        <v>995.0</v>
      </c>
      <c r="P359" s="34" t="s">
        <v>48</v>
      </c>
      <c r="Q359" s="33" t="n">
        <f>1028</f>
        <v>1028.0</v>
      </c>
      <c r="R359" s="34" t="s">
        <v>49</v>
      </c>
      <c r="S359" s="35" t="n">
        <f>1015.95</f>
        <v>1015.95</v>
      </c>
      <c r="T359" s="32" t="n">
        <f>1744667</f>
        <v>1744667.0</v>
      </c>
      <c r="U359" s="32" t="n">
        <f>1480158</f>
        <v>1480158.0</v>
      </c>
      <c r="V359" s="32" t="n">
        <f>1768103768</f>
        <v>1.768103768E9</v>
      </c>
      <c r="W359" s="32" t="n">
        <f>1499417606</f>
        <v>1.499417606E9</v>
      </c>
      <c r="X359" s="36" t="n">
        <f>22</f>
        <v>22.0</v>
      </c>
    </row>
    <row r="360">
      <c r="A360" s="27" t="s">
        <v>42</v>
      </c>
      <c r="B360" s="27" t="s">
        <v>1128</v>
      </c>
      <c r="C360" s="27" t="s">
        <v>1129</v>
      </c>
      <c r="D360" s="27" t="s">
        <v>1130</v>
      </c>
      <c r="E360" s="28" t="s">
        <v>46</v>
      </c>
      <c r="F360" s="29" t="s">
        <v>46</v>
      </c>
      <c r="G360" s="30" t="s">
        <v>46</v>
      </c>
      <c r="H360" s="31"/>
      <c r="I360" s="31" t="s">
        <v>47</v>
      </c>
      <c r="J360" s="32" t="n">
        <v>10.0</v>
      </c>
      <c r="K360" s="33" t="n">
        <f>684.9</f>
        <v>684.9</v>
      </c>
      <c r="L360" s="34" t="s">
        <v>48</v>
      </c>
      <c r="M360" s="33" t="n">
        <f>687.7</f>
        <v>687.7</v>
      </c>
      <c r="N360" s="34" t="s">
        <v>79</v>
      </c>
      <c r="O360" s="33" t="n">
        <f>679.5</f>
        <v>679.5</v>
      </c>
      <c r="P360" s="34" t="s">
        <v>49</v>
      </c>
      <c r="Q360" s="33" t="n">
        <f>683.1</f>
        <v>683.1</v>
      </c>
      <c r="R360" s="34" t="s">
        <v>49</v>
      </c>
      <c r="S360" s="35" t="n">
        <f>683.66</f>
        <v>683.66</v>
      </c>
      <c r="T360" s="32" t="n">
        <f>694690</f>
        <v>694690.0</v>
      </c>
      <c r="U360" s="32" t="n">
        <f>76110</f>
        <v>76110.0</v>
      </c>
      <c r="V360" s="32" t="n">
        <f>474443213</f>
        <v>4.74443213E8</v>
      </c>
      <c r="W360" s="32" t="n">
        <f>52066297</f>
        <v>5.2066297E7</v>
      </c>
      <c r="X360" s="36" t="n">
        <f>22</f>
        <v>22.0</v>
      </c>
    </row>
    <row r="361">
      <c r="A361" s="27" t="s">
        <v>42</v>
      </c>
      <c r="B361" s="27" t="s">
        <v>1131</v>
      </c>
      <c r="C361" s="27" t="s">
        <v>1132</v>
      </c>
      <c r="D361" s="27" t="s">
        <v>1133</v>
      </c>
      <c r="E361" s="28" t="s">
        <v>46</v>
      </c>
      <c r="F361" s="29" t="s">
        <v>46</v>
      </c>
      <c r="G361" s="30" t="s">
        <v>46</v>
      </c>
      <c r="H361" s="31"/>
      <c r="I361" s="31" t="s">
        <v>47</v>
      </c>
      <c r="J361" s="32" t="n">
        <v>10.0</v>
      </c>
      <c r="K361" s="33" t="n">
        <f>652.5</f>
        <v>652.5</v>
      </c>
      <c r="L361" s="34" t="s">
        <v>48</v>
      </c>
      <c r="M361" s="33" t="n">
        <f>662.2</f>
        <v>662.2</v>
      </c>
      <c r="N361" s="34" t="s">
        <v>79</v>
      </c>
      <c r="O361" s="33" t="n">
        <f>649</f>
        <v>649.0</v>
      </c>
      <c r="P361" s="34" t="s">
        <v>229</v>
      </c>
      <c r="Q361" s="33" t="n">
        <f>652.7</f>
        <v>652.7</v>
      </c>
      <c r="R361" s="34" t="s">
        <v>49</v>
      </c>
      <c r="S361" s="35" t="n">
        <f>652.68</f>
        <v>652.68</v>
      </c>
      <c r="T361" s="32" t="n">
        <f>1853490</f>
        <v>1853490.0</v>
      </c>
      <c r="U361" s="32" t="n">
        <f>1433290</f>
        <v>1433290.0</v>
      </c>
      <c r="V361" s="32" t="n">
        <f>1212271791</f>
        <v>1.212271791E9</v>
      </c>
      <c r="W361" s="32" t="n">
        <f>938090727</f>
        <v>9.38090727E8</v>
      </c>
      <c r="X361" s="36" t="n">
        <f>21</f>
        <v>21.0</v>
      </c>
    </row>
    <row r="362">
      <c r="A362" s="27" t="s">
        <v>42</v>
      </c>
      <c r="B362" s="27" t="s">
        <v>1134</v>
      </c>
      <c r="C362" s="27" t="s">
        <v>1135</v>
      </c>
      <c r="D362" s="27" t="s">
        <v>1136</v>
      </c>
      <c r="E362" s="28" t="s">
        <v>46</v>
      </c>
      <c r="F362" s="29" t="s">
        <v>46</v>
      </c>
      <c r="G362" s="30" t="s">
        <v>46</v>
      </c>
      <c r="H362" s="31"/>
      <c r="I362" s="31" t="s">
        <v>47</v>
      </c>
      <c r="J362" s="32" t="n">
        <v>1.0</v>
      </c>
      <c r="K362" s="33" t="n">
        <f>1254</f>
        <v>1254.0</v>
      </c>
      <c r="L362" s="34" t="s">
        <v>48</v>
      </c>
      <c r="M362" s="33" t="n">
        <f>1500</f>
        <v>1500.0</v>
      </c>
      <c r="N362" s="34" t="s">
        <v>229</v>
      </c>
      <c r="O362" s="33" t="n">
        <f>1224</f>
        <v>1224.0</v>
      </c>
      <c r="P362" s="34" t="s">
        <v>156</v>
      </c>
      <c r="Q362" s="33" t="n">
        <f>1276</f>
        <v>1276.0</v>
      </c>
      <c r="R362" s="34" t="s">
        <v>49</v>
      </c>
      <c r="S362" s="35" t="n">
        <f>1265.55</f>
        <v>1265.55</v>
      </c>
      <c r="T362" s="32" t="n">
        <f>39142</f>
        <v>39142.0</v>
      </c>
      <c r="U362" s="32" t="str">
        <f>"－"</f>
        <v>－</v>
      </c>
      <c r="V362" s="32" t="n">
        <f>49587647</f>
        <v>4.9587647E7</v>
      </c>
      <c r="W362" s="32" t="str">
        <f>"－"</f>
        <v>－</v>
      </c>
      <c r="X362" s="36" t="n">
        <f>22</f>
        <v>22.0</v>
      </c>
    </row>
    <row r="363">
      <c r="A363" s="27" t="s">
        <v>42</v>
      </c>
      <c r="B363" s="27" t="s">
        <v>1137</v>
      </c>
      <c r="C363" s="27" t="s">
        <v>1138</v>
      </c>
      <c r="D363" s="27" t="s">
        <v>1139</v>
      </c>
      <c r="E363" s="28" t="s">
        <v>46</v>
      </c>
      <c r="F363" s="29" t="s">
        <v>46</v>
      </c>
      <c r="G363" s="30" t="s">
        <v>46</v>
      </c>
      <c r="H363" s="31"/>
      <c r="I363" s="31" t="s">
        <v>47</v>
      </c>
      <c r="J363" s="32" t="n">
        <v>1.0</v>
      </c>
      <c r="K363" s="33" t="n">
        <f>2814</f>
        <v>2814.0</v>
      </c>
      <c r="L363" s="34" t="s">
        <v>48</v>
      </c>
      <c r="M363" s="33" t="n">
        <f>2914</f>
        <v>2914.0</v>
      </c>
      <c r="N363" s="34" t="s">
        <v>60</v>
      </c>
      <c r="O363" s="33" t="n">
        <f>2800</f>
        <v>2800.0</v>
      </c>
      <c r="P363" s="34" t="s">
        <v>156</v>
      </c>
      <c r="Q363" s="33" t="n">
        <f>2883</f>
        <v>2883.0</v>
      </c>
      <c r="R363" s="34" t="s">
        <v>49</v>
      </c>
      <c r="S363" s="35" t="n">
        <f>2860.27</f>
        <v>2860.27</v>
      </c>
      <c r="T363" s="32" t="n">
        <f>238008</f>
        <v>238008.0</v>
      </c>
      <c r="U363" s="32" t="n">
        <f>3900</f>
        <v>3900.0</v>
      </c>
      <c r="V363" s="32" t="n">
        <f>679536246</f>
        <v>6.79536246E8</v>
      </c>
      <c r="W363" s="32" t="n">
        <f>11066525</f>
        <v>1.1066525E7</v>
      </c>
      <c r="X363" s="36" t="n">
        <f>22</f>
        <v>22.0</v>
      </c>
    </row>
    <row r="364">
      <c r="A364" s="27" t="s">
        <v>42</v>
      </c>
      <c r="B364" s="27" t="s">
        <v>1140</v>
      </c>
      <c r="C364" s="27" t="s">
        <v>1141</v>
      </c>
      <c r="D364" s="27" t="s">
        <v>1142</v>
      </c>
      <c r="E364" s="28" t="s">
        <v>46</v>
      </c>
      <c r="F364" s="29" t="s">
        <v>46</v>
      </c>
      <c r="G364" s="30" t="s">
        <v>46</v>
      </c>
      <c r="H364" s="31"/>
      <c r="I364" s="31" t="s">
        <v>47</v>
      </c>
      <c r="J364" s="32" t="n">
        <v>1.0</v>
      </c>
      <c r="K364" s="33" t="n">
        <f>3105</f>
        <v>3105.0</v>
      </c>
      <c r="L364" s="34" t="s">
        <v>48</v>
      </c>
      <c r="M364" s="33" t="n">
        <f>3211</f>
        <v>3211.0</v>
      </c>
      <c r="N364" s="34" t="s">
        <v>229</v>
      </c>
      <c r="O364" s="33" t="n">
        <f>3101</f>
        <v>3101.0</v>
      </c>
      <c r="P364" s="34" t="s">
        <v>48</v>
      </c>
      <c r="Q364" s="33" t="n">
        <f>3130</f>
        <v>3130.0</v>
      </c>
      <c r="R364" s="34" t="s">
        <v>49</v>
      </c>
      <c r="S364" s="35" t="n">
        <f>3154.86</f>
        <v>3154.86</v>
      </c>
      <c r="T364" s="32" t="n">
        <f>355539</f>
        <v>355539.0</v>
      </c>
      <c r="U364" s="32" t="n">
        <f>15976</f>
        <v>15976.0</v>
      </c>
      <c r="V364" s="32" t="n">
        <f>1124392415</f>
        <v>1.124392415E9</v>
      </c>
      <c r="W364" s="32" t="n">
        <f>49857313</f>
        <v>4.9857313E7</v>
      </c>
      <c r="X364" s="36" t="n">
        <f>22</f>
        <v>22.0</v>
      </c>
    </row>
    <row r="365">
      <c r="A365" s="27" t="s">
        <v>42</v>
      </c>
      <c r="B365" s="27" t="s">
        <v>1143</v>
      </c>
      <c r="C365" s="27" t="s">
        <v>1144</v>
      </c>
      <c r="D365" s="27" t="s">
        <v>1145</v>
      </c>
      <c r="E365" s="28" t="s">
        <v>46</v>
      </c>
      <c r="F365" s="29" t="s">
        <v>46</v>
      </c>
      <c r="G365" s="30" t="s">
        <v>46</v>
      </c>
      <c r="H365" s="31"/>
      <c r="I365" s="31" t="s">
        <v>47</v>
      </c>
      <c r="J365" s="32" t="n">
        <v>1.0</v>
      </c>
      <c r="K365" s="33" t="n">
        <f>5582</f>
        <v>5582.0</v>
      </c>
      <c r="L365" s="34" t="s">
        <v>48</v>
      </c>
      <c r="M365" s="33" t="n">
        <f>5849</f>
        <v>5849.0</v>
      </c>
      <c r="N365" s="34" t="s">
        <v>233</v>
      </c>
      <c r="O365" s="33" t="n">
        <f>5535</f>
        <v>5535.0</v>
      </c>
      <c r="P365" s="34" t="s">
        <v>69</v>
      </c>
      <c r="Q365" s="33" t="n">
        <f>5813</f>
        <v>5813.0</v>
      </c>
      <c r="R365" s="34" t="s">
        <v>49</v>
      </c>
      <c r="S365" s="35" t="n">
        <f>5700.73</f>
        <v>5700.73</v>
      </c>
      <c r="T365" s="32" t="n">
        <f>80297</f>
        <v>80297.0</v>
      </c>
      <c r="U365" s="32" t="n">
        <f>1000</f>
        <v>1000.0</v>
      </c>
      <c r="V365" s="32" t="n">
        <f>457814046</f>
        <v>4.57814046E8</v>
      </c>
      <c r="W365" s="32" t="n">
        <f>5713400</f>
        <v>5713400.0</v>
      </c>
      <c r="X365" s="36" t="n">
        <f>22</f>
        <v>22.0</v>
      </c>
    </row>
    <row r="366">
      <c r="A366" s="27" t="s">
        <v>42</v>
      </c>
      <c r="B366" s="27" t="s">
        <v>1146</v>
      </c>
      <c r="C366" s="27" t="s">
        <v>1147</v>
      </c>
      <c r="D366" s="27" t="s">
        <v>1148</v>
      </c>
      <c r="E366" s="28" t="s">
        <v>46</v>
      </c>
      <c r="F366" s="29" t="s">
        <v>46</v>
      </c>
      <c r="G366" s="30" t="s">
        <v>46</v>
      </c>
      <c r="H366" s="31"/>
      <c r="I366" s="31" t="s">
        <v>47</v>
      </c>
      <c r="J366" s="32" t="n">
        <v>1.0</v>
      </c>
      <c r="K366" s="33" t="n">
        <f>4049</f>
        <v>4049.0</v>
      </c>
      <c r="L366" s="34" t="s">
        <v>48</v>
      </c>
      <c r="M366" s="33" t="n">
        <f>4105</f>
        <v>4105.0</v>
      </c>
      <c r="N366" s="34" t="s">
        <v>203</v>
      </c>
      <c r="O366" s="33" t="n">
        <f>4031</f>
        <v>4031.0</v>
      </c>
      <c r="P366" s="34" t="s">
        <v>262</v>
      </c>
      <c r="Q366" s="33" t="n">
        <f>4088</f>
        <v>4088.0</v>
      </c>
      <c r="R366" s="34" t="s">
        <v>49</v>
      </c>
      <c r="S366" s="35" t="n">
        <f>4068.76</f>
        <v>4068.76</v>
      </c>
      <c r="T366" s="32" t="n">
        <f>35365</f>
        <v>35365.0</v>
      </c>
      <c r="U366" s="32" t="str">
        <f>"－"</f>
        <v>－</v>
      </c>
      <c r="V366" s="32" t="n">
        <f>144612841</f>
        <v>1.44612841E8</v>
      </c>
      <c r="W366" s="32" t="str">
        <f>"－"</f>
        <v>－</v>
      </c>
      <c r="X366" s="36" t="n">
        <f>17</f>
        <v>17.0</v>
      </c>
    </row>
    <row r="367">
      <c r="A367" s="27" t="s">
        <v>42</v>
      </c>
      <c r="B367" s="27" t="s">
        <v>1149</v>
      </c>
      <c r="C367" s="27" t="s">
        <v>1150</v>
      </c>
      <c r="D367" s="27" t="s">
        <v>1151</v>
      </c>
      <c r="E367" s="28" t="s">
        <v>46</v>
      </c>
      <c r="F367" s="29" t="s">
        <v>46</v>
      </c>
      <c r="G367" s="30" t="s">
        <v>46</v>
      </c>
      <c r="H367" s="31" t="s">
        <v>1019</v>
      </c>
      <c r="I367" s="31"/>
      <c r="J367" s="32" t="n">
        <v>10.0</v>
      </c>
      <c r="K367" s="33" t="n">
        <f>1927</f>
        <v>1927.0</v>
      </c>
      <c r="L367" s="34" t="s">
        <v>262</v>
      </c>
      <c r="M367" s="33" t="n">
        <f>1950</f>
        <v>1950.0</v>
      </c>
      <c r="N367" s="34" t="s">
        <v>233</v>
      </c>
      <c r="O367" s="33" t="n">
        <f>1887</f>
        <v>1887.0</v>
      </c>
      <c r="P367" s="34" t="s">
        <v>156</v>
      </c>
      <c r="Q367" s="33" t="n">
        <f>1942</f>
        <v>1942.0</v>
      </c>
      <c r="R367" s="34" t="s">
        <v>49</v>
      </c>
      <c r="S367" s="35" t="n">
        <f>1932.6</f>
        <v>1932.6</v>
      </c>
      <c r="T367" s="32" t="n">
        <f>5550</f>
        <v>5550.0</v>
      </c>
      <c r="U367" s="32" t="str">
        <f>"－"</f>
        <v>－</v>
      </c>
      <c r="V367" s="32" t="n">
        <f>10677175</f>
        <v>1.0677175E7</v>
      </c>
      <c r="W367" s="32" t="str">
        <f>"－"</f>
        <v>－</v>
      </c>
      <c r="X367" s="36" t="n">
        <f>10</f>
        <v>10.0</v>
      </c>
    </row>
    <row r="368">
      <c r="A368" s="27" t="s">
        <v>42</v>
      </c>
      <c r="B368" s="27" t="s">
        <v>1152</v>
      </c>
      <c r="C368" s="27" t="s">
        <v>1153</v>
      </c>
      <c r="D368" s="27" t="s">
        <v>1154</v>
      </c>
      <c r="E368" s="28" t="s">
        <v>46</v>
      </c>
      <c r="F368" s="29" t="s">
        <v>46</v>
      </c>
      <c r="G368" s="30" t="s">
        <v>46</v>
      </c>
      <c r="H368" s="31"/>
      <c r="I368" s="31" t="s">
        <v>47</v>
      </c>
      <c r="J368" s="32" t="n">
        <v>1.0</v>
      </c>
      <c r="K368" s="33" t="n">
        <f>1214</f>
        <v>1214.0</v>
      </c>
      <c r="L368" s="34" t="s">
        <v>48</v>
      </c>
      <c r="M368" s="33" t="n">
        <f>1313</f>
        <v>1313.0</v>
      </c>
      <c r="N368" s="34" t="s">
        <v>68</v>
      </c>
      <c r="O368" s="33" t="n">
        <f>1184</f>
        <v>1184.0</v>
      </c>
      <c r="P368" s="34" t="s">
        <v>48</v>
      </c>
      <c r="Q368" s="33" t="n">
        <f>1275</f>
        <v>1275.0</v>
      </c>
      <c r="R368" s="34" t="s">
        <v>49</v>
      </c>
      <c r="S368" s="35" t="n">
        <f>1252.36</f>
        <v>1252.36</v>
      </c>
      <c r="T368" s="32" t="n">
        <f>26207</f>
        <v>26207.0</v>
      </c>
      <c r="U368" s="32" t="str">
        <f>"－"</f>
        <v>－</v>
      </c>
      <c r="V368" s="32" t="n">
        <f>31819244</f>
        <v>3.1819244E7</v>
      </c>
      <c r="W368" s="32" t="str">
        <f>"－"</f>
        <v>－</v>
      </c>
      <c r="X368" s="36" t="n">
        <f>22</f>
        <v>22.0</v>
      </c>
    </row>
    <row r="369">
      <c r="A369" s="27" t="s">
        <v>42</v>
      </c>
      <c r="B369" s="27" t="s">
        <v>1155</v>
      </c>
      <c r="C369" s="27" t="s">
        <v>1156</v>
      </c>
      <c r="D369" s="27" t="s">
        <v>1157</v>
      </c>
      <c r="E369" s="28" t="s">
        <v>46</v>
      </c>
      <c r="F369" s="29" t="s">
        <v>46</v>
      </c>
      <c r="G369" s="30" t="s">
        <v>46</v>
      </c>
      <c r="H369" s="31"/>
      <c r="I369" s="31" t="s">
        <v>47</v>
      </c>
      <c r="J369" s="32" t="n">
        <v>1.0</v>
      </c>
      <c r="K369" s="33" t="n">
        <f>1112</f>
        <v>1112.0</v>
      </c>
      <c r="L369" s="34" t="s">
        <v>48</v>
      </c>
      <c r="M369" s="33" t="n">
        <f>1182</f>
        <v>1182.0</v>
      </c>
      <c r="N369" s="34" t="s">
        <v>49</v>
      </c>
      <c r="O369" s="33" t="n">
        <f>1105</f>
        <v>1105.0</v>
      </c>
      <c r="P369" s="34" t="s">
        <v>48</v>
      </c>
      <c r="Q369" s="33" t="n">
        <f>1179</f>
        <v>1179.0</v>
      </c>
      <c r="R369" s="34" t="s">
        <v>49</v>
      </c>
      <c r="S369" s="35" t="n">
        <f>1145.82</f>
        <v>1145.82</v>
      </c>
      <c r="T369" s="32" t="n">
        <f>7823006</f>
        <v>7823006.0</v>
      </c>
      <c r="U369" s="32" t="n">
        <f>4722</f>
        <v>4722.0</v>
      </c>
      <c r="V369" s="32" t="n">
        <f>8966435261</f>
        <v>8.966435261E9</v>
      </c>
      <c r="W369" s="32" t="n">
        <f>5422997</f>
        <v>5422997.0</v>
      </c>
      <c r="X369" s="36" t="n">
        <f>22</f>
        <v>22.0</v>
      </c>
    </row>
    <row r="370">
      <c r="A370" s="27" t="s">
        <v>42</v>
      </c>
      <c r="B370" s="27" t="s">
        <v>1158</v>
      </c>
      <c r="C370" s="27" t="s">
        <v>1159</v>
      </c>
      <c r="D370" s="27" t="s">
        <v>1160</v>
      </c>
      <c r="E370" s="28" t="s">
        <v>46</v>
      </c>
      <c r="F370" s="29" t="s">
        <v>46</v>
      </c>
      <c r="G370" s="30" t="s">
        <v>46</v>
      </c>
      <c r="H370" s="31"/>
      <c r="I370" s="31" t="s">
        <v>47</v>
      </c>
      <c r="J370" s="32" t="n">
        <v>1.0</v>
      </c>
      <c r="K370" s="33" t="n">
        <f>972</f>
        <v>972.0</v>
      </c>
      <c r="L370" s="34" t="s">
        <v>48</v>
      </c>
      <c r="M370" s="33" t="n">
        <f>1006</f>
        <v>1006.0</v>
      </c>
      <c r="N370" s="34" t="s">
        <v>202</v>
      </c>
      <c r="O370" s="33" t="n">
        <f>960</f>
        <v>960.0</v>
      </c>
      <c r="P370" s="34" t="s">
        <v>48</v>
      </c>
      <c r="Q370" s="33" t="n">
        <f>1000</f>
        <v>1000.0</v>
      </c>
      <c r="R370" s="34" t="s">
        <v>49</v>
      </c>
      <c r="S370" s="35" t="n">
        <f>988.68</f>
        <v>988.68</v>
      </c>
      <c r="T370" s="32" t="n">
        <f>1530384</f>
        <v>1530384.0</v>
      </c>
      <c r="U370" s="32" t="n">
        <f>3</f>
        <v>3.0</v>
      </c>
      <c r="V370" s="32" t="n">
        <f>1510494979</f>
        <v>1.510494979E9</v>
      </c>
      <c r="W370" s="32" t="n">
        <f>2913</f>
        <v>2913.0</v>
      </c>
      <c r="X370" s="36" t="n">
        <f>22</f>
        <v>22.0</v>
      </c>
    </row>
    <row r="371">
      <c r="A371" s="27" t="s">
        <v>42</v>
      </c>
      <c r="B371" s="27" t="s">
        <v>1161</v>
      </c>
      <c r="C371" s="27" t="s">
        <v>1162</v>
      </c>
      <c r="D371" s="27" t="s">
        <v>1163</v>
      </c>
      <c r="E371" s="28" t="s">
        <v>46</v>
      </c>
      <c r="F371" s="29" t="s">
        <v>46</v>
      </c>
      <c r="G371" s="30" t="s">
        <v>46</v>
      </c>
      <c r="H371" s="31"/>
      <c r="I371" s="31" t="s">
        <v>47</v>
      </c>
      <c r="J371" s="32" t="n">
        <v>1.0</v>
      </c>
      <c r="K371" s="33" t="n">
        <f>1325</f>
        <v>1325.0</v>
      </c>
      <c r="L371" s="34" t="s">
        <v>48</v>
      </c>
      <c r="M371" s="33" t="n">
        <f>1504</f>
        <v>1504.0</v>
      </c>
      <c r="N371" s="34" t="s">
        <v>79</v>
      </c>
      <c r="O371" s="33" t="n">
        <f>1298</f>
        <v>1298.0</v>
      </c>
      <c r="P371" s="34" t="s">
        <v>48</v>
      </c>
      <c r="Q371" s="33" t="n">
        <f>1473</f>
        <v>1473.0</v>
      </c>
      <c r="R371" s="34" t="s">
        <v>49</v>
      </c>
      <c r="S371" s="35" t="n">
        <f>1410.05</f>
        <v>1410.05</v>
      </c>
      <c r="T371" s="32" t="n">
        <f>41338</f>
        <v>41338.0</v>
      </c>
      <c r="U371" s="32" t="str">
        <f>"－"</f>
        <v>－</v>
      </c>
      <c r="V371" s="32" t="n">
        <f>57721740</f>
        <v>5.772174E7</v>
      </c>
      <c r="W371" s="32" t="str">
        <f>"－"</f>
        <v>－</v>
      </c>
      <c r="X371" s="36" t="n">
        <f>22</f>
        <v>22.0</v>
      </c>
    </row>
    <row r="372">
      <c r="A372" s="27" t="s">
        <v>42</v>
      </c>
      <c r="B372" s="27" t="s">
        <v>1164</v>
      </c>
      <c r="C372" s="27" t="s">
        <v>1165</v>
      </c>
      <c r="D372" s="27" t="s">
        <v>1166</v>
      </c>
      <c r="E372" s="28" t="s">
        <v>46</v>
      </c>
      <c r="F372" s="29" t="s">
        <v>46</v>
      </c>
      <c r="G372" s="30" t="s">
        <v>46</v>
      </c>
      <c r="H372" s="31"/>
      <c r="I372" s="31" t="s">
        <v>47</v>
      </c>
      <c r="J372" s="32" t="n">
        <v>1.0</v>
      </c>
      <c r="K372" s="33" t="n">
        <f>1009</f>
        <v>1009.0</v>
      </c>
      <c r="L372" s="34" t="s">
        <v>48</v>
      </c>
      <c r="M372" s="33" t="n">
        <f>1085</f>
        <v>1085.0</v>
      </c>
      <c r="N372" s="34" t="s">
        <v>216</v>
      </c>
      <c r="O372" s="33" t="n">
        <f>1001</f>
        <v>1001.0</v>
      </c>
      <c r="P372" s="34" t="s">
        <v>48</v>
      </c>
      <c r="Q372" s="33" t="n">
        <f>1065</f>
        <v>1065.0</v>
      </c>
      <c r="R372" s="34" t="s">
        <v>49</v>
      </c>
      <c r="S372" s="35" t="n">
        <f>1038.36</f>
        <v>1038.36</v>
      </c>
      <c r="T372" s="32" t="n">
        <f>1466052</f>
        <v>1466052.0</v>
      </c>
      <c r="U372" s="32" t="n">
        <f>10</f>
        <v>10.0</v>
      </c>
      <c r="V372" s="32" t="n">
        <f>1520554840</f>
        <v>1.52055484E9</v>
      </c>
      <c r="W372" s="32" t="n">
        <f>10328</f>
        <v>10328.0</v>
      </c>
      <c r="X372" s="36" t="n">
        <f>22</f>
        <v>22.0</v>
      </c>
    </row>
    <row r="373">
      <c r="A373" s="27" t="s">
        <v>42</v>
      </c>
      <c r="B373" s="27" t="s">
        <v>1167</v>
      </c>
      <c r="C373" s="27" t="s">
        <v>1168</v>
      </c>
      <c r="D373" s="27" t="s">
        <v>1169</v>
      </c>
      <c r="E373" s="28" t="s">
        <v>46</v>
      </c>
      <c r="F373" s="29" t="s">
        <v>46</v>
      </c>
      <c r="G373" s="30" t="s">
        <v>46</v>
      </c>
      <c r="H373" s="31"/>
      <c r="I373" s="31" t="s">
        <v>47</v>
      </c>
      <c r="J373" s="32" t="n">
        <v>1.0</v>
      </c>
      <c r="K373" s="33" t="n">
        <f>57490</f>
        <v>57490.0</v>
      </c>
      <c r="L373" s="34" t="s">
        <v>48</v>
      </c>
      <c r="M373" s="33" t="n">
        <f>64800</f>
        <v>64800.0</v>
      </c>
      <c r="N373" s="34" t="s">
        <v>79</v>
      </c>
      <c r="O373" s="33" t="n">
        <f>56430</f>
        <v>56430.0</v>
      </c>
      <c r="P373" s="34" t="s">
        <v>61</v>
      </c>
      <c r="Q373" s="33" t="n">
        <f>63760</f>
        <v>63760.0</v>
      </c>
      <c r="R373" s="34" t="s">
        <v>49</v>
      </c>
      <c r="S373" s="35" t="n">
        <f>59724.55</f>
        <v>59724.55</v>
      </c>
      <c r="T373" s="32" t="n">
        <f>375933</f>
        <v>375933.0</v>
      </c>
      <c r="U373" s="32" t="n">
        <f>1749</f>
        <v>1749.0</v>
      </c>
      <c r="V373" s="32" t="n">
        <f>22547149978</f>
        <v>2.2547149978E10</v>
      </c>
      <c r="W373" s="32" t="n">
        <f>105183188</f>
        <v>1.05183188E8</v>
      </c>
      <c r="X373" s="36" t="n">
        <f>22</f>
        <v>22.0</v>
      </c>
    </row>
    <row r="374">
      <c r="A374" s="27" t="s">
        <v>42</v>
      </c>
      <c r="B374" s="27" t="s">
        <v>1170</v>
      </c>
      <c r="C374" s="27" t="s">
        <v>1171</v>
      </c>
      <c r="D374" s="27" t="s">
        <v>1172</v>
      </c>
      <c r="E374" s="28" t="s">
        <v>46</v>
      </c>
      <c r="F374" s="29" t="s">
        <v>46</v>
      </c>
      <c r="G374" s="30" t="s">
        <v>46</v>
      </c>
      <c r="H374" s="31"/>
      <c r="I374" s="31" t="s">
        <v>47</v>
      </c>
      <c r="J374" s="32" t="n">
        <v>1.0</v>
      </c>
      <c r="K374" s="33" t="n">
        <f>11380</f>
        <v>11380.0</v>
      </c>
      <c r="L374" s="34" t="s">
        <v>48</v>
      </c>
      <c r="M374" s="33" t="n">
        <f>11580</f>
        <v>11580.0</v>
      </c>
      <c r="N374" s="34" t="s">
        <v>156</v>
      </c>
      <c r="O374" s="33" t="n">
        <f>9975</f>
        <v>9975.0</v>
      </c>
      <c r="P374" s="34" t="s">
        <v>79</v>
      </c>
      <c r="Q374" s="33" t="n">
        <f>10140</f>
        <v>10140.0</v>
      </c>
      <c r="R374" s="34" t="s">
        <v>49</v>
      </c>
      <c r="S374" s="35" t="n">
        <f>10925.45</f>
        <v>10925.45</v>
      </c>
      <c r="T374" s="32" t="n">
        <f>766359</f>
        <v>766359.0</v>
      </c>
      <c r="U374" s="32" t="n">
        <f>8253</f>
        <v>8253.0</v>
      </c>
      <c r="V374" s="32" t="n">
        <f>8399710365</f>
        <v>8.399710365E9</v>
      </c>
      <c r="W374" s="32" t="n">
        <f>90783246</f>
        <v>9.0783246E7</v>
      </c>
      <c r="X374" s="36" t="n">
        <f>22</f>
        <v>22.0</v>
      </c>
    </row>
    <row r="375">
      <c r="A375" s="27" t="s">
        <v>42</v>
      </c>
      <c r="B375" s="27" t="s">
        <v>1173</v>
      </c>
      <c r="C375" s="27" t="s">
        <v>1174</v>
      </c>
      <c r="D375" s="27" t="s">
        <v>1175</v>
      </c>
      <c r="E375" s="28" t="s">
        <v>46</v>
      </c>
      <c r="F375" s="29" t="s">
        <v>46</v>
      </c>
      <c r="G375" s="30" t="s">
        <v>46</v>
      </c>
      <c r="H375" s="31"/>
      <c r="I375" s="31" t="s">
        <v>47</v>
      </c>
      <c r="J375" s="32" t="n">
        <v>1.0</v>
      </c>
      <c r="K375" s="33" t="n">
        <f>2320</f>
        <v>2320.0</v>
      </c>
      <c r="L375" s="34" t="s">
        <v>50</v>
      </c>
      <c r="M375" s="33" t="n">
        <f>2568</f>
        <v>2568.0</v>
      </c>
      <c r="N375" s="34" t="s">
        <v>49</v>
      </c>
      <c r="O375" s="33" t="n">
        <f>2229</f>
        <v>2229.0</v>
      </c>
      <c r="P375" s="34" t="s">
        <v>50</v>
      </c>
      <c r="Q375" s="33" t="n">
        <f>2551</f>
        <v>2551.0</v>
      </c>
      <c r="R375" s="34" t="s">
        <v>49</v>
      </c>
      <c r="S375" s="35" t="n">
        <f>2422.27</f>
        <v>2422.27</v>
      </c>
      <c r="T375" s="32" t="n">
        <f>287</f>
        <v>287.0</v>
      </c>
      <c r="U375" s="32" t="str">
        <f>"－"</f>
        <v>－</v>
      </c>
      <c r="V375" s="32" t="n">
        <f>701405</f>
        <v>701405.0</v>
      </c>
      <c r="W375" s="32" t="str">
        <f>"－"</f>
        <v>－</v>
      </c>
      <c r="X375" s="36" t="n">
        <f>11</f>
        <v>11.0</v>
      </c>
    </row>
    <row r="376">
      <c r="A376" s="27" t="s">
        <v>42</v>
      </c>
      <c r="B376" s="27" t="s">
        <v>1176</v>
      </c>
      <c r="C376" s="27" t="s">
        <v>1177</v>
      </c>
      <c r="D376" s="27" t="s">
        <v>1178</v>
      </c>
      <c r="E376" s="28" t="s">
        <v>46</v>
      </c>
      <c r="F376" s="29" t="s">
        <v>46</v>
      </c>
      <c r="G376" s="30" t="s">
        <v>46</v>
      </c>
      <c r="H376" s="31"/>
      <c r="I376" s="31" t="s">
        <v>47</v>
      </c>
      <c r="J376" s="32" t="n">
        <v>1.0</v>
      </c>
      <c r="K376" s="33" t="n">
        <f>9802</f>
        <v>9802.0</v>
      </c>
      <c r="L376" s="34" t="s">
        <v>48</v>
      </c>
      <c r="M376" s="33" t="n">
        <f>10550</f>
        <v>10550.0</v>
      </c>
      <c r="N376" s="34" t="s">
        <v>229</v>
      </c>
      <c r="O376" s="33" t="n">
        <f>9466</f>
        <v>9466.0</v>
      </c>
      <c r="P376" s="34" t="s">
        <v>216</v>
      </c>
      <c r="Q376" s="33" t="n">
        <f>9870</f>
        <v>9870.0</v>
      </c>
      <c r="R376" s="34" t="s">
        <v>49</v>
      </c>
      <c r="S376" s="35" t="n">
        <f>9847.26</f>
        <v>9847.26</v>
      </c>
      <c r="T376" s="32" t="n">
        <f>2214</f>
        <v>2214.0</v>
      </c>
      <c r="U376" s="32" t="n">
        <f>2</f>
        <v>2.0</v>
      </c>
      <c r="V376" s="32" t="n">
        <f>22006181</f>
        <v>2.2006181E7</v>
      </c>
      <c r="W376" s="32" t="n">
        <f>20130</f>
        <v>20130.0</v>
      </c>
      <c r="X376" s="36" t="n">
        <f>19</f>
        <v>19.0</v>
      </c>
    </row>
    <row r="377">
      <c r="A377" s="27" t="s">
        <v>42</v>
      </c>
      <c r="B377" s="27" t="s">
        <v>1179</v>
      </c>
      <c r="C377" s="27" t="s">
        <v>1180</v>
      </c>
      <c r="D377" s="27" t="s">
        <v>1181</v>
      </c>
      <c r="E377" s="28" t="s">
        <v>46</v>
      </c>
      <c r="F377" s="29" t="s">
        <v>46</v>
      </c>
      <c r="G377" s="30" t="s">
        <v>46</v>
      </c>
      <c r="H377" s="31"/>
      <c r="I377" s="31" t="s">
        <v>47</v>
      </c>
      <c r="J377" s="32" t="n">
        <v>1.0</v>
      </c>
      <c r="K377" s="33" t="n">
        <f>123300</f>
        <v>123300.0</v>
      </c>
      <c r="L377" s="34" t="s">
        <v>48</v>
      </c>
      <c r="M377" s="33" t="n">
        <f>125800</f>
        <v>125800.0</v>
      </c>
      <c r="N377" s="34" t="s">
        <v>68</v>
      </c>
      <c r="O377" s="33" t="n">
        <f>120000</f>
        <v>120000.0</v>
      </c>
      <c r="P377" s="34" t="s">
        <v>50</v>
      </c>
      <c r="Q377" s="33" t="n">
        <f>123500</f>
        <v>123500.0</v>
      </c>
      <c r="R377" s="34" t="s">
        <v>49</v>
      </c>
      <c r="S377" s="35" t="n">
        <f>123236.36</f>
        <v>123236.36</v>
      </c>
      <c r="T377" s="32" t="n">
        <f>13575</f>
        <v>13575.0</v>
      </c>
      <c r="U377" s="32" t="n">
        <f>1709</f>
        <v>1709.0</v>
      </c>
      <c r="V377" s="32" t="n">
        <f>1671945472</f>
        <v>1.671945472E9</v>
      </c>
      <c r="W377" s="32" t="n">
        <f>210540672</f>
        <v>2.10540672E8</v>
      </c>
      <c r="X377" s="36" t="n">
        <f>22</f>
        <v>22.0</v>
      </c>
    </row>
    <row r="378">
      <c r="A378" s="27" t="s">
        <v>42</v>
      </c>
      <c r="B378" s="27" t="s">
        <v>1182</v>
      </c>
      <c r="C378" s="27" t="s">
        <v>1183</v>
      </c>
      <c r="D378" s="27" t="s">
        <v>1184</v>
      </c>
      <c r="E378" s="28" t="s">
        <v>46</v>
      </c>
      <c r="F378" s="29" t="s">
        <v>46</v>
      </c>
      <c r="G378" s="30" t="s">
        <v>46</v>
      </c>
      <c r="H378" s="31"/>
      <c r="I378" s="31" t="s">
        <v>416</v>
      </c>
      <c r="J378" s="32" t="n">
        <v>1.0</v>
      </c>
      <c r="K378" s="33" t="n">
        <f>100500</f>
        <v>100500.0</v>
      </c>
      <c r="L378" s="34" t="s">
        <v>48</v>
      </c>
      <c r="M378" s="33" t="n">
        <f>101500</f>
        <v>101500.0</v>
      </c>
      <c r="N378" s="34" t="s">
        <v>203</v>
      </c>
      <c r="O378" s="33" t="n">
        <f>96100</f>
        <v>96100.0</v>
      </c>
      <c r="P378" s="34" t="s">
        <v>48</v>
      </c>
      <c r="Q378" s="33" t="n">
        <f>98700</f>
        <v>98700.0</v>
      </c>
      <c r="R378" s="34" t="s">
        <v>49</v>
      </c>
      <c r="S378" s="35" t="n">
        <f>100018.18</f>
        <v>100018.18</v>
      </c>
      <c r="T378" s="32" t="n">
        <f>36779</f>
        <v>36779.0</v>
      </c>
      <c r="U378" s="32" t="n">
        <f>7806</f>
        <v>7806.0</v>
      </c>
      <c r="V378" s="32" t="n">
        <f>3662110645</f>
        <v>3.662110645E9</v>
      </c>
      <c r="W378" s="32" t="n">
        <f>779157945</f>
        <v>7.79157945E8</v>
      </c>
      <c r="X378" s="36" t="n">
        <f>22</f>
        <v>22.0</v>
      </c>
    </row>
    <row r="379">
      <c r="A379" s="27" t="s">
        <v>42</v>
      </c>
      <c r="B379" s="27" t="s">
        <v>1185</v>
      </c>
      <c r="C379" s="27" t="s">
        <v>1186</v>
      </c>
      <c r="D379" s="27" t="s">
        <v>1187</v>
      </c>
      <c r="E379" s="28" t="s">
        <v>46</v>
      </c>
      <c r="F379" s="29" t="s">
        <v>46</v>
      </c>
      <c r="G379" s="30" t="s">
        <v>46</v>
      </c>
      <c r="H379" s="31"/>
      <c r="I379" s="31" t="s">
        <v>47</v>
      </c>
      <c r="J379" s="32" t="n">
        <v>1.0</v>
      </c>
      <c r="K379" s="33" t="n">
        <f>119100</f>
        <v>119100.0</v>
      </c>
      <c r="L379" s="34" t="s">
        <v>48</v>
      </c>
      <c r="M379" s="33" t="n">
        <f>124700</f>
        <v>124700.0</v>
      </c>
      <c r="N379" s="34" t="s">
        <v>68</v>
      </c>
      <c r="O379" s="33" t="n">
        <f>116800</f>
        <v>116800.0</v>
      </c>
      <c r="P379" s="34" t="s">
        <v>48</v>
      </c>
      <c r="Q379" s="33" t="n">
        <f>123400</f>
        <v>123400.0</v>
      </c>
      <c r="R379" s="34" t="s">
        <v>49</v>
      </c>
      <c r="S379" s="35" t="n">
        <f>121168.18</f>
        <v>121168.18</v>
      </c>
      <c r="T379" s="32" t="n">
        <f>32951</f>
        <v>32951.0</v>
      </c>
      <c r="U379" s="32" t="n">
        <f>6448</f>
        <v>6448.0</v>
      </c>
      <c r="V379" s="32" t="n">
        <f>3995372615</f>
        <v>3.995372615E9</v>
      </c>
      <c r="W379" s="32" t="n">
        <f>783173115</f>
        <v>7.83173115E8</v>
      </c>
      <c r="X379" s="36" t="n">
        <f>22</f>
        <v>22.0</v>
      </c>
    </row>
    <row r="380">
      <c r="A380" s="27" t="s">
        <v>42</v>
      </c>
      <c r="B380" s="27" t="s">
        <v>1188</v>
      </c>
      <c r="C380" s="27" t="s">
        <v>1189</v>
      </c>
      <c r="D380" s="27" t="s">
        <v>1190</v>
      </c>
      <c r="E380" s="28" t="s">
        <v>46</v>
      </c>
      <c r="F380" s="29" t="s">
        <v>46</v>
      </c>
      <c r="G380" s="30" t="s">
        <v>46</v>
      </c>
      <c r="H380" s="31"/>
      <c r="I380" s="31" t="s">
        <v>416</v>
      </c>
      <c r="J380" s="32" t="n">
        <v>1.0</v>
      </c>
      <c r="K380" s="33" t="n">
        <f>113900</f>
        <v>113900.0</v>
      </c>
      <c r="L380" s="34" t="s">
        <v>48</v>
      </c>
      <c r="M380" s="33" t="n">
        <f>116400</f>
        <v>116400.0</v>
      </c>
      <c r="N380" s="34" t="s">
        <v>106</v>
      </c>
      <c r="O380" s="33" t="n">
        <f>112000</f>
        <v>112000.0</v>
      </c>
      <c r="P380" s="34" t="s">
        <v>48</v>
      </c>
      <c r="Q380" s="33" t="n">
        <f>113600</f>
        <v>113600.0</v>
      </c>
      <c r="R380" s="34" t="s">
        <v>49</v>
      </c>
      <c r="S380" s="35" t="n">
        <f>114390.91</f>
        <v>114390.91</v>
      </c>
      <c r="T380" s="32" t="n">
        <f>19177</f>
        <v>19177.0</v>
      </c>
      <c r="U380" s="32" t="n">
        <f>1790</f>
        <v>1790.0</v>
      </c>
      <c r="V380" s="32" t="n">
        <f>2191688797</f>
        <v>2.191688797E9</v>
      </c>
      <c r="W380" s="32" t="n">
        <f>204267897</f>
        <v>2.04267897E8</v>
      </c>
      <c r="X380" s="36" t="n">
        <f>22</f>
        <v>22.0</v>
      </c>
    </row>
    <row r="381">
      <c r="A381" s="27" t="s">
        <v>42</v>
      </c>
      <c r="B381" s="27" t="s">
        <v>1191</v>
      </c>
      <c r="C381" s="27" t="s">
        <v>1192</v>
      </c>
      <c r="D381" s="27" t="s">
        <v>1193</v>
      </c>
      <c r="E381" s="28" t="s">
        <v>46</v>
      </c>
      <c r="F381" s="29" t="s">
        <v>46</v>
      </c>
      <c r="G381" s="30" t="s">
        <v>46</v>
      </c>
      <c r="H381" s="31"/>
      <c r="I381" s="31" t="s">
        <v>47</v>
      </c>
      <c r="J381" s="32" t="n">
        <v>10.0</v>
      </c>
      <c r="K381" s="33" t="n">
        <f>221</f>
        <v>221.0</v>
      </c>
      <c r="L381" s="34" t="s">
        <v>48</v>
      </c>
      <c r="M381" s="33" t="n">
        <f>242.1</f>
        <v>242.1</v>
      </c>
      <c r="N381" s="34" t="s">
        <v>49</v>
      </c>
      <c r="O381" s="33" t="n">
        <f>219.6</f>
        <v>219.6</v>
      </c>
      <c r="P381" s="34" t="s">
        <v>48</v>
      </c>
      <c r="Q381" s="33" t="n">
        <f>242.1</f>
        <v>242.1</v>
      </c>
      <c r="R381" s="34" t="s">
        <v>49</v>
      </c>
      <c r="S381" s="35" t="n">
        <f>229.29</f>
        <v>229.29</v>
      </c>
      <c r="T381" s="32" t="n">
        <f>7269110</f>
        <v>7269110.0</v>
      </c>
      <c r="U381" s="32" t="str">
        <f>"－"</f>
        <v>－</v>
      </c>
      <c r="V381" s="32" t="n">
        <f>1654148538</f>
        <v>1.654148538E9</v>
      </c>
      <c r="W381" s="32" t="str">
        <f>"－"</f>
        <v>－</v>
      </c>
      <c r="X381" s="36" t="n">
        <f>22</f>
        <v>22.0</v>
      </c>
    </row>
    <row r="382">
      <c r="A382" s="27" t="s">
        <v>42</v>
      </c>
      <c r="B382" s="27" t="s">
        <v>1194</v>
      </c>
      <c r="C382" s="27" t="s">
        <v>1195</v>
      </c>
      <c r="D382" s="27" t="s">
        <v>1196</v>
      </c>
      <c r="E382" s="28" t="s">
        <v>46</v>
      </c>
      <c r="F382" s="29" t="s">
        <v>46</v>
      </c>
      <c r="G382" s="30" t="s">
        <v>46</v>
      </c>
      <c r="H382" s="31"/>
      <c r="I382" s="31" t="s">
        <v>47</v>
      </c>
      <c r="J382" s="32" t="n">
        <v>10.0</v>
      </c>
      <c r="K382" s="33" t="n">
        <f>272.3</f>
        <v>272.3</v>
      </c>
      <c r="L382" s="34" t="s">
        <v>48</v>
      </c>
      <c r="M382" s="33" t="n">
        <f>312.7</f>
        <v>312.7</v>
      </c>
      <c r="N382" s="34" t="s">
        <v>87</v>
      </c>
      <c r="O382" s="33" t="n">
        <f>269</f>
        <v>269.0</v>
      </c>
      <c r="P382" s="34" t="s">
        <v>69</v>
      </c>
      <c r="Q382" s="33" t="n">
        <f>293.2</f>
        <v>293.2</v>
      </c>
      <c r="R382" s="34" t="s">
        <v>49</v>
      </c>
      <c r="S382" s="35" t="n">
        <f>291.55</f>
        <v>291.55</v>
      </c>
      <c r="T382" s="32" t="n">
        <f>312297610</f>
        <v>3.1229761E8</v>
      </c>
      <c r="U382" s="32" t="n">
        <f>18828570</f>
        <v>1.882857E7</v>
      </c>
      <c r="V382" s="32" t="n">
        <f>92095808513</f>
        <v>9.2095808513E10</v>
      </c>
      <c r="W382" s="32" t="n">
        <f>5517668841</f>
        <v>5.517668841E9</v>
      </c>
      <c r="X382" s="36" t="n">
        <f>22</f>
        <v>22.0</v>
      </c>
    </row>
    <row r="383">
      <c r="A383" s="27" t="s">
        <v>42</v>
      </c>
      <c r="B383" s="27" t="s">
        <v>1197</v>
      </c>
      <c r="C383" s="27" t="s">
        <v>1198</v>
      </c>
      <c r="D383" s="27" t="s">
        <v>1199</v>
      </c>
      <c r="E383" s="28" t="s">
        <v>46</v>
      </c>
      <c r="F383" s="29" t="s">
        <v>46</v>
      </c>
      <c r="G383" s="30" t="s">
        <v>46</v>
      </c>
      <c r="H383" s="31"/>
      <c r="I383" s="31" t="s">
        <v>47</v>
      </c>
      <c r="J383" s="32" t="n">
        <v>1.0</v>
      </c>
      <c r="K383" s="33" t="n">
        <f>1220</f>
        <v>1220.0</v>
      </c>
      <c r="L383" s="34" t="s">
        <v>48</v>
      </c>
      <c r="M383" s="33" t="n">
        <f>1220</f>
        <v>1220.0</v>
      </c>
      <c r="N383" s="34" t="s">
        <v>48</v>
      </c>
      <c r="O383" s="33" t="n">
        <f>1126</f>
        <v>1126.0</v>
      </c>
      <c r="P383" s="34" t="s">
        <v>156</v>
      </c>
      <c r="Q383" s="33" t="n">
        <f>1189</f>
        <v>1189.0</v>
      </c>
      <c r="R383" s="34" t="s">
        <v>49</v>
      </c>
      <c r="S383" s="35" t="n">
        <f>1168</f>
        <v>1168.0</v>
      </c>
      <c r="T383" s="32" t="n">
        <f>1573258</f>
        <v>1573258.0</v>
      </c>
      <c r="U383" s="32" t="n">
        <f>394729</f>
        <v>394729.0</v>
      </c>
      <c r="V383" s="32" t="n">
        <f>1827367974</f>
        <v>1.827367974E9</v>
      </c>
      <c r="W383" s="32" t="n">
        <f>454955199</f>
        <v>4.54955199E8</v>
      </c>
      <c r="X383" s="36" t="n">
        <f>22</f>
        <v>22.0</v>
      </c>
    </row>
    <row r="384">
      <c r="A384" s="27" t="s">
        <v>42</v>
      </c>
      <c r="B384" s="27" t="s">
        <v>1200</v>
      </c>
      <c r="C384" s="27" t="s">
        <v>1201</v>
      </c>
      <c r="D384" s="27" t="s">
        <v>1202</v>
      </c>
      <c r="E384" s="28" t="s">
        <v>46</v>
      </c>
      <c r="F384" s="29" t="s">
        <v>46</v>
      </c>
      <c r="G384" s="30" t="s">
        <v>46</v>
      </c>
      <c r="H384" s="31"/>
      <c r="I384" s="31" t="s">
        <v>47</v>
      </c>
      <c r="J384" s="32" t="n">
        <v>1.0</v>
      </c>
      <c r="K384" s="33" t="n">
        <f>2212</f>
        <v>2212.0</v>
      </c>
      <c r="L384" s="34" t="s">
        <v>48</v>
      </c>
      <c r="M384" s="33" t="n">
        <f>2459</f>
        <v>2459.0</v>
      </c>
      <c r="N384" s="34" t="s">
        <v>49</v>
      </c>
      <c r="O384" s="33" t="n">
        <f>2192</f>
        <v>2192.0</v>
      </c>
      <c r="P384" s="34" t="s">
        <v>48</v>
      </c>
      <c r="Q384" s="33" t="n">
        <f>2459</f>
        <v>2459.0</v>
      </c>
      <c r="R384" s="34" t="s">
        <v>49</v>
      </c>
      <c r="S384" s="35" t="n">
        <f>2301.05</f>
        <v>2301.05</v>
      </c>
      <c r="T384" s="32" t="n">
        <f>17317141</f>
        <v>1.7317141E7</v>
      </c>
      <c r="U384" s="32" t="n">
        <f>4954</f>
        <v>4954.0</v>
      </c>
      <c r="V384" s="32" t="n">
        <f>40194306386</f>
        <v>4.0194306386E10</v>
      </c>
      <c r="W384" s="32" t="n">
        <f>11816854</f>
        <v>1.1816854E7</v>
      </c>
      <c r="X384" s="36" t="n">
        <f>22</f>
        <v>22.0</v>
      </c>
    </row>
    <row r="385">
      <c r="A385" s="27" t="s">
        <v>42</v>
      </c>
      <c r="B385" s="27" t="s">
        <v>1203</v>
      </c>
      <c r="C385" s="27" t="s">
        <v>1204</v>
      </c>
      <c r="D385" s="27" t="s">
        <v>1205</v>
      </c>
      <c r="E385" s="28" t="s">
        <v>46</v>
      </c>
      <c r="F385" s="29" t="s">
        <v>46</v>
      </c>
      <c r="G385" s="30" t="s">
        <v>46</v>
      </c>
      <c r="H385" s="31"/>
      <c r="I385" s="31" t="s">
        <v>47</v>
      </c>
      <c r="J385" s="32" t="n">
        <v>10.0</v>
      </c>
      <c r="K385" s="33" t="n">
        <f>633.3</f>
        <v>633.3</v>
      </c>
      <c r="L385" s="34" t="s">
        <v>48</v>
      </c>
      <c r="M385" s="33" t="n">
        <f>798.8</f>
        <v>798.8</v>
      </c>
      <c r="N385" s="34" t="s">
        <v>61</v>
      </c>
      <c r="O385" s="33" t="n">
        <f>622.1</f>
        <v>622.1</v>
      </c>
      <c r="P385" s="34" t="s">
        <v>106</v>
      </c>
      <c r="Q385" s="33" t="n">
        <f>662.3</f>
        <v>662.3</v>
      </c>
      <c r="R385" s="34" t="s">
        <v>49</v>
      </c>
      <c r="S385" s="35" t="n">
        <f>664.9</f>
        <v>664.9</v>
      </c>
      <c r="T385" s="32" t="n">
        <f>42431830</f>
        <v>4.243183E7</v>
      </c>
      <c r="U385" s="32" t="n">
        <f>20310</f>
        <v>20310.0</v>
      </c>
      <c r="V385" s="32" t="n">
        <f>28702062860</f>
        <v>2.870206286E10</v>
      </c>
      <c r="W385" s="32" t="n">
        <f>13323826</f>
        <v>1.3323826E7</v>
      </c>
      <c r="X385" s="36" t="n">
        <f>22</f>
        <v>22.0</v>
      </c>
    </row>
    <row r="386">
      <c r="A386" s="27" t="s">
        <v>42</v>
      </c>
      <c r="B386" s="27" t="s">
        <v>1206</v>
      </c>
      <c r="C386" s="27" t="s">
        <v>1207</v>
      </c>
      <c r="D386" s="27" t="s">
        <v>1208</v>
      </c>
      <c r="E386" s="28" t="s">
        <v>46</v>
      </c>
      <c r="F386" s="29" t="s">
        <v>46</v>
      </c>
      <c r="G386" s="30" t="s">
        <v>46</v>
      </c>
      <c r="H386" s="31"/>
      <c r="I386" s="31" t="s">
        <v>47</v>
      </c>
      <c r="J386" s="32" t="n">
        <v>1.0</v>
      </c>
      <c r="K386" s="33" t="n">
        <f>131700</f>
        <v>131700.0</v>
      </c>
      <c r="L386" s="34" t="s">
        <v>48</v>
      </c>
      <c r="M386" s="33" t="n">
        <f>134100</f>
        <v>134100.0</v>
      </c>
      <c r="N386" s="34" t="s">
        <v>233</v>
      </c>
      <c r="O386" s="33" t="n">
        <f>128000</f>
        <v>128000.0</v>
      </c>
      <c r="P386" s="34" t="s">
        <v>79</v>
      </c>
      <c r="Q386" s="33" t="n">
        <f>129800</f>
        <v>129800.0</v>
      </c>
      <c r="R386" s="34" t="s">
        <v>49</v>
      </c>
      <c r="S386" s="35" t="n">
        <f>130827.27</f>
        <v>130827.27</v>
      </c>
      <c r="T386" s="32" t="n">
        <f>170116</f>
        <v>170116.0</v>
      </c>
      <c r="U386" s="32" t="n">
        <f>43461</f>
        <v>43461.0</v>
      </c>
      <c r="V386" s="32" t="n">
        <f>22275402122</f>
        <v>2.2275402122E10</v>
      </c>
      <c r="W386" s="32" t="n">
        <f>5695332622</f>
        <v>5.695332622E9</v>
      </c>
      <c r="X386" s="36" t="n">
        <f>22</f>
        <v>22.0</v>
      </c>
    </row>
    <row r="387">
      <c r="A387" s="27" t="s">
        <v>42</v>
      </c>
      <c r="B387" s="27" t="s">
        <v>1209</v>
      </c>
      <c r="C387" s="27" t="s">
        <v>1210</v>
      </c>
      <c r="D387" s="27" t="s">
        <v>1211</v>
      </c>
      <c r="E387" s="28" t="s">
        <v>46</v>
      </c>
      <c r="F387" s="29" t="s">
        <v>46</v>
      </c>
      <c r="G387" s="30" t="s">
        <v>46</v>
      </c>
      <c r="H387" s="31"/>
      <c r="I387" s="31" t="s">
        <v>47</v>
      </c>
      <c r="J387" s="32" t="n">
        <v>1.0</v>
      </c>
      <c r="K387" s="33" t="n">
        <f>143500</f>
        <v>143500.0</v>
      </c>
      <c r="L387" s="34" t="s">
        <v>48</v>
      </c>
      <c r="M387" s="33" t="n">
        <f>148000</f>
        <v>148000.0</v>
      </c>
      <c r="N387" s="34" t="s">
        <v>106</v>
      </c>
      <c r="O387" s="33" t="n">
        <f>141600</f>
        <v>141600.0</v>
      </c>
      <c r="P387" s="34" t="s">
        <v>50</v>
      </c>
      <c r="Q387" s="33" t="n">
        <f>146200</f>
        <v>146200.0</v>
      </c>
      <c r="R387" s="34" t="s">
        <v>49</v>
      </c>
      <c r="S387" s="35" t="n">
        <f>144768.18</f>
        <v>144768.18</v>
      </c>
      <c r="T387" s="32" t="n">
        <f>102492</f>
        <v>102492.0</v>
      </c>
      <c r="U387" s="32" t="n">
        <f>29307</f>
        <v>29307.0</v>
      </c>
      <c r="V387" s="32" t="n">
        <f>14848912679</f>
        <v>1.4848912679E10</v>
      </c>
      <c r="W387" s="32" t="n">
        <f>4246787879</f>
        <v>4.246787879E9</v>
      </c>
      <c r="X387" s="36" t="n">
        <f>22</f>
        <v>22.0</v>
      </c>
    </row>
    <row r="388">
      <c r="A388" s="27" t="s">
        <v>42</v>
      </c>
      <c r="B388" s="27" t="s">
        <v>1212</v>
      </c>
      <c r="C388" s="27" t="s">
        <v>1213</v>
      </c>
      <c r="D388" s="27" t="s">
        <v>1214</v>
      </c>
      <c r="E388" s="28" t="s">
        <v>46</v>
      </c>
      <c r="F388" s="29" t="s">
        <v>46</v>
      </c>
      <c r="G388" s="30" t="s">
        <v>46</v>
      </c>
      <c r="H388" s="31"/>
      <c r="I388" s="31" t="s">
        <v>47</v>
      </c>
      <c r="J388" s="32" t="n">
        <v>1.0</v>
      </c>
      <c r="K388" s="33" t="n">
        <f>136000</f>
        <v>136000.0</v>
      </c>
      <c r="L388" s="34" t="s">
        <v>48</v>
      </c>
      <c r="M388" s="33" t="n">
        <f>144700</f>
        <v>144700.0</v>
      </c>
      <c r="N388" s="34" t="s">
        <v>233</v>
      </c>
      <c r="O388" s="33" t="n">
        <f>133300</f>
        <v>133300.0</v>
      </c>
      <c r="P388" s="34" t="s">
        <v>48</v>
      </c>
      <c r="Q388" s="33" t="n">
        <f>143200</f>
        <v>143200.0</v>
      </c>
      <c r="R388" s="34" t="s">
        <v>49</v>
      </c>
      <c r="S388" s="35" t="n">
        <f>141340.91</f>
        <v>141340.91</v>
      </c>
      <c r="T388" s="32" t="n">
        <f>243504</f>
        <v>243504.0</v>
      </c>
      <c r="U388" s="32" t="n">
        <f>48956</f>
        <v>48956.0</v>
      </c>
      <c r="V388" s="32" t="n">
        <f>34282723865</f>
        <v>3.4282723865E10</v>
      </c>
      <c r="W388" s="32" t="n">
        <f>6896764165</f>
        <v>6.896764165E9</v>
      </c>
      <c r="X388" s="36" t="n">
        <f>22</f>
        <v>22.0</v>
      </c>
    </row>
    <row r="389">
      <c r="A389" s="27" t="s">
        <v>42</v>
      </c>
      <c r="B389" s="27" t="s">
        <v>1215</v>
      </c>
      <c r="C389" s="27" t="s">
        <v>1216</v>
      </c>
      <c r="D389" s="27" t="s">
        <v>1217</v>
      </c>
      <c r="E389" s="28" t="s">
        <v>46</v>
      </c>
      <c r="F389" s="29" t="s">
        <v>46</v>
      </c>
      <c r="G389" s="30" t="s">
        <v>46</v>
      </c>
      <c r="H389" s="31"/>
      <c r="I389" s="31" t="s">
        <v>47</v>
      </c>
      <c r="J389" s="32" t="n">
        <v>1.0</v>
      </c>
      <c r="K389" s="33" t="n">
        <f>166100</f>
        <v>166100.0</v>
      </c>
      <c r="L389" s="34" t="s">
        <v>48</v>
      </c>
      <c r="M389" s="33" t="n">
        <f>170300</f>
        <v>170300.0</v>
      </c>
      <c r="N389" s="34" t="s">
        <v>233</v>
      </c>
      <c r="O389" s="33" t="n">
        <f>161800</f>
        <v>161800.0</v>
      </c>
      <c r="P389" s="34" t="s">
        <v>69</v>
      </c>
      <c r="Q389" s="33" t="n">
        <f>166800</f>
        <v>166800.0</v>
      </c>
      <c r="R389" s="34" t="s">
        <v>49</v>
      </c>
      <c r="S389" s="35" t="n">
        <f>166104.55</f>
        <v>166104.55</v>
      </c>
      <c r="T389" s="32" t="n">
        <f>138229</f>
        <v>138229.0</v>
      </c>
      <c r="U389" s="32" t="n">
        <f>28098</f>
        <v>28098.0</v>
      </c>
      <c r="V389" s="32" t="n">
        <f>22935278511</f>
        <v>2.2935278511E10</v>
      </c>
      <c r="W389" s="32" t="n">
        <f>4654285811</f>
        <v>4.654285811E9</v>
      </c>
      <c r="X389" s="36" t="n">
        <f>22</f>
        <v>22.0</v>
      </c>
    </row>
    <row r="390">
      <c r="A390" s="27" t="s">
        <v>42</v>
      </c>
      <c r="B390" s="27" t="s">
        <v>1218</v>
      </c>
      <c r="C390" s="27" t="s">
        <v>1219</v>
      </c>
      <c r="D390" s="27" t="s">
        <v>1220</v>
      </c>
      <c r="E390" s="28" t="s">
        <v>46</v>
      </c>
      <c r="F390" s="29" t="s">
        <v>46</v>
      </c>
      <c r="G390" s="30" t="s">
        <v>46</v>
      </c>
      <c r="H390" s="31"/>
      <c r="I390" s="31" t="s">
        <v>47</v>
      </c>
      <c r="J390" s="32" t="n">
        <v>1.0</v>
      </c>
      <c r="K390" s="33" t="n">
        <f>135100</f>
        <v>135100.0</v>
      </c>
      <c r="L390" s="34" t="s">
        <v>48</v>
      </c>
      <c r="M390" s="33" t="n">
        <f>142200</f>
        <v>142200.0</v>
      </c>
      <c r="N390" s="34" t="s">
        <v>49</v>
      </c>
      <c r="O390" s="33" t="n">
        <f>132200</f>
        <v>132200.0</v>
      </c>
      <c r="P390" s="34" t="s">
        <v>48</v>
      </c>
      <c r="Q390" s="33" t="n">
        <f>141000</f>
        <v>141000.0</v>
      </c>
      <c r="R390" s="34" t="s">
        <v>49</v>
      </c>
      <c r="S390" s="35" t="n">
        <f>137190.91</f>
        <v>137190.91</v>
      </c>
      <c r="T390" s="32" t="n">
        <f>130838</f>
        <v>130838.0</v>
      </c>
      <c r="U390" s="32" t="n">
        <f>30421</f>
        <v>30421.0</v>
      </c>
      <c r="V390" s="32" t="n">
        <f>18019757895</f>
        <v>1.8019757895E10</v>
      </c>
      <c r="W390" s="32" t="n">
        <f>4197512195</f>
        <v>4.197512195E9</v>
      </c>
      <c r="X390" s="36" t="n">
        <f>22</f>
        <v>22.0</v>
      </c>
    </row>
    <row r="391">
      <c r="A391" s="27" t="s">
        <v>42</v>
      </c>
      <c r="B391" s="27" t="s">
        <v>1221</v>
      </c>
      <c r="C391" s="27" t="s">
        <v>1222</v>
      </c>
      <c r="D391" s="27" t="s">
        <v>1223</v>
      </c>
      <c r="E391" s="28" t="s">
        <v>46</v>
      </c>
      <c r="F391" s="29" t="s">
        <v>46</v>
      </c>
      <c r="G391" s="30" t="s">
        <v>46</v>
      </c>
      <c r="H391" s="31"/>
      <c r="I391" s="31" t="s">
        <v>47</v>
      </c>
      <c r="J391" s="32" t="n">
        <v>1.0</v>
      </c>
      <c r="K391" s="33" t="n">
        <f>137000</f>
        <v>137000.0</v>
      </c>
      <c r="L391" s="34" t="s">
        <v>48</v>
      </c>
      <c r="M391" s="33" t="n">
        <f>141500</f>
        <v>141500.0</v>
      </c>
      <c r="N391" s="34" t="s">
        <v>202</v>
      </c>
      <c r="O391" s="33" t="n">
        <f>134700</f>
        <v>134700.0</v>
      </c>
      <c r="P391" s="34" t="s">
        <v>586</v>
      </c>
      <c r="Q391" s="33" t="n">
        <f>139700</f>
        <v>139700.0</v>
      </c>
      <c r="R391" s="34" t="s">
        <v>49</v>
      </c>
      <c r="S391" s="35" t="n">
        <f>139159.09</f>
        <v>139159.09</v>
      </c>
      <c r="T391" s="32" t="n">
        <f>354520</f>
        <v>354520.0</v>
      </c>
      <c r="U391" s="32" t="n">
        <f>91078</f>
        <v>91078.0</v>
      </c>
      <c r="V391" s="32" t="n">
        <f>49212223871</f>
        <v>4.9212223871E10</v>
      </c>
      <c r="W391" s="32" t="n">
        <f>12640425271</f>
        <v>1.2640425271E10</v>
      </c>
      <c r="X391" s="36" t="n">
        <f>22</f>
        <v>22.0</v>
      </c>
    </row>
    <row r="392">
      <c r="A392" s="27" t="s">
        <v>42</v>
      </c>
      <c r="B392" s="27" t="s">
        <v>1224</v>
      </c>
      <c r="C392" s="27" t="s">
        <v>1225</v>
      </c>
      <c r="D392" s="27" t="s">
        <v>1226</v>
      </c>
      <c r="E392" s="28" t="s">
        <v>46</v>
      </c>
      <c r="F392" s="29" t="s">
        <v>46</v>
      </c>
      <c r="G392" s="30" t="s">
        <v>46</v>
      </c>
      <c r="H392" s="31"/>
      <c r="I392" s="31" t="s">
        <v>47</v>
      </c>
      <c r="J392" s="32" t="n">
        <v>1.0</v>
      </c>
      <c r="K392" s="33" t="n">
        <f>326000</f>
        <v>326000.0</v>
      </c>
      <c r="L392" s="34" t="s">
        <v>48</v>
      </c>
      <c r="M392" s="33" t="n">
        <f>330500</f>
        <v>330500.0</v>
      </c>
      <c r="N392" s="34" t="s">
        <v>233</v>
      </c>
      <c r="O392" s="33" t="n">
        <f>315500</f>
        <v>315500.0</v>
      </c>
      <c r="P392" s="34" t="s">
        <v>156</v>
      </c>
      <c r="Q392" s="33" t="n">
        <f>325000</f>
        <v>325000.0</v>
      </c>
      <c r="R392" s="34" t="s">
        <v>49</v>
      </c>
      <c r="S392" s="35" t="n">
        <f>324113.64</f>
        <v>324113.64</v>
      </c>
      <c r="T392" s="32" t="n">
        <f>54297</f>
        <v>54297.0</v>
      </c>
      <c r="U392" s="32" t="n">
        <f>18584</f>
        <v>18584.0</v>
      </c>
      <c r="V392" s="32" t="n">
        <f>17555676670</f>
        <v>1.755567667E10</v>
      </c>
      <c r="W392" s="32" t="n">
        <f>6000678670</f>
        <v>6.00067867E9</v>
      </c>
      <c r="X392" s="36" t="n">
        <f>22</f>
        <v>22.0</v>
      </c>
    </row>
    <row r="393">
      <c r="A393" s="27" t="s">
        <v>42</v>
      </c>
      <c r="B393" s="27" t="s">
        <v>1227</v>
      </c>
      <c r="C393" s="27" t="s">
        <v>1228</v>
      </c>
      <c r="D393" s="27" t="s">
        <v>1229</v>
      </c>
      <c r="E393" s="28" t="s">
        <v>46</v>
      </c>
      <c r="F393" s="29" t="s">
        <v>46</v>
      </c>
      <c r="G393" s="30" t="s">
        <v>46</v>
      </c>
      <c r="H393" s="31"/>
      <c r="I393" s="31" t="s">
        <v>47</v>
      </c>
      <c r="J393" s="32" t="n">
        <v>1.0</v>
      </c>
      <c r="K393" s="33" t="n">
        <f>86300</f>
        <v>86300.0</v>
      </c>
      <c r="L393" s="34" t="s">
        <v>48</v>
      </c>
      <c r="M393" s="33" t="n">
        <f>90300</f>
        <v>90300.0</v>
      </c>
      <c r="N393" s="34" t="s">
        <v>68</v>
      </c>
      <c r="O393" s="33" t="n">
        <f>85300</f>
        <v>85300.0</v>
      </c>
      <c r="P393" s="34" t="s">
        <v>69</v>
      </c>
      <c r="Q393" s="33" t="n">
        <f>89600</f>
        <v>89600.0</v>
      </c>
      <c r="R393" s="34" t="s">
        <v>49</v>
      </c>
      <c r="S393" s="35" t="n">
        <f>87940.91</f>
        <v>87940.91</v>
      </c>
      <c r="T393" s="32" t="n">
        <f>386755</f>
        <v>386755.0</v>
      </c>
      <c r="U393" s="32" t="n">
        <f>122125</f>
        <v>122125.0</v>
      </c>
      <c r="V393" s="32" t="n">
        <f>33996269513</f>
        <v>3.3996269513E10</v>
      </c>
      <c r="W393" s="32" t="n">
        <f>10707603113</f>
        <v>1.0707603113E10</v>
      </c>
      <c r="X393" s="36" t="n">
        <f>22</f>
        <v>22.0</v>
      </c>
    </row>
    <row r="394">
      <c r="A394" s="27" t="s">
        <v>42</v>
      </c>
      <c r="B394" s="27" t="s">
        <v>1230</v>
      </c>
      <c r="C394" s="27" t="s">
        <v>1231</v>
      </c>
      <c r="D394" s="27" t="s">
        <v>1232</v>
      </c>
      <c r="E394" s="28" t="s">
        <v>46</v>
      </c>
      <c r="F394" s="29" t="s">
        <v>46</v>
      </c>
      <c r="G394" s="30" t="s">
        <v>46</v>
      </c>
      <c r="H394" s="31"/>
      <c r="I394" s="31" t="s">
        <v>47</v>
      </c>
      <c r="J394" s="32" t="n">
        <v>1.0</v>
      </c>
      <c r="K394" s="33" t="n">
        <f>271000</f>
        <v>271000.0</v>
      </c>
      <c r="L394" s="34" t="s">
        <v>48</v>
      </c>
      <c r="M394" s="33" t="n">
        <f>271000</f>
        <v>271000.0</v>
      </c>
      <c r="N394" s="34" t="s">
        <v>48</v>
      </c>
      <c r="O394" s="33" t="n">
        <f>255000</f>
        <v>255000.0</v>
      </c>
      <c r="P394" s="34" t="s">
        <v>79</v>
      </c>
      <c r="Q394" s="33" t="n">
        <f>257400</f>
        <v>257400.0</v>
      </c>
      <c r="R394" s="34" t="s">
        <v>49</v>
      </c>
      <c r="S394" s="35" t="n">
        <f>264059.09</f>
        <v>264059.09</v>
      </c>
      <c r="T394" s="32" t="n">
        <f>46500</f>
        <v>46500.0</v>
      </c>
      <c r="U394" s="32" t="n">
        <f>9172</f>
        <v>9172.0</v>
      </c>
      <c r="V394" s="32" t="n">
        <f>12283153097</f>
        <v>1.2283153097E10</v>
      </c>
      <c r="W394" s="32" t="n">
        <f>2421959797</f>
        <v>2.421959797E9</v>
      </c>
      <c r="X394" s="36" t="n">
        <f>22</f>
        <v>22.0</v>
      </c>
    </row>
    <row r="395">
      <c r="A395" s="27" t="s">
        <v>42</v>
      </c>
      <c r="B395" s="27" t="s">
        <v>1233</v>
      </c>
      <c r="C395" s="27" t="s">
        <v>1234</v>
      </c>
      <c r="D395" s="27" t="s">
        <v>1235</v>
      </c>
      <c r="E395" s="28" t="s">
        <v>46</v>
      </c>
      <c r="F395" s="29" t="s">
        <v>46</v>
      </c>
      <c r="G395" s="30" t="s">
        <v>46</v>
      </c>
      <c r="H395" s="31"/>
      <c r="I395" s="31" t="s">
        <v>47</v>
      </c>
      <c r="J395" s="32" t="n">
        <v>1.0</v>
      </c>
      <c r="K395" s="33" t="n">
        <f>1143</f>
        <v>1143.0</v>
      </c>
      <c r="L395" s="34" t="s">
        <v>48</v>
      </c>
      <c r="M395" s="33" t="n">
        <f>1217</f>
        <v>1217.0</v>
      </c>
      <c r="N395" s="34" t="s">
        <v>49</v>
      </c>
      <c r="O395" s="33" t="n">
        <f>1117</f>
        <v>1117.0</v>
      </c>
      <c r="P395" s="34" t="s">
        <v>50</v>
      </c>
      <c r="Q395" s="33" t="n">
        <f>1211</f>
        <v>1211.0</v>
      </c>
      <c r="R395" s="34" t="s">
        <v>49</v>
      </c>
      <c r="S395" s="35" t="n">
        <f>1164.5</f>
        <v>1164.5</v>
      </c>
      <c r="T395" s="32" t="n">
        <f>39986</f>
        <v>39986.0</v>
      </c>
      <c r="U395" s="32" t="str">
        <f>"－"</f>
        <v>－</v>
      </c>
      <c r="V395" s="32" t="n">
        <f>46941881</f>
        <v>4.6941881E7</v>
      </c>
      <c r="W395" s="32" t="str">
        <f>"－"</f>
        <v>－</v>
      </c>
      <c r="X395" s="36" t="n">
        <f>22</f>
        <v>22.0</v>
      </c>
    </row>
    <row r="396">
      <c r="A396" s="27" t="s">
        <v>42</v>
      </c>
      <c r="B396" s="27" t="s">
        <v>1236</v>
      </c>
      <c r="C396" s="27" t="s">
        <v>1237</v>
      </c>
      <c r="D396" s="27" t="s">
        <v>1238</v>
      </c>
      <c r="E396" s="28" t="s">
        <v>46</v>
      </c>
      <c r="F396" s="29" t="s">
        <v>46</v>
      </c>
      <c r="G396" s="30" t="s">
        <v>46</v>
      </c>
      <c r="H396" s="31"/>
      <c r="I396" s="31" t="s">
        <v>47</v>
      </c>
      <c r="J396" s="32" t="n">
        <v>1.0</v>
      </c>
      <c r="K396" s="33" t="n">
        <f>89100</f>
        <v>89100.0</v>
      </c>
      <c r="L396" s="34" t="s">
        <v>48</v>
      </c>
      <c r="M396" s="33" t="n">
        <f>90500</f>
        <v>90500.0</v>
      </c>
      <c r="N396" s="34" t="s">
        <v>49</v>
      </c>
      <c r="O396" s="33" t="n">
        <f>86300</f>
        <v>86300.0</v>
      </c>
      <c r="P396" s="34" t="s">
        <v>156</v>
      </c>
      <c r="Q396" s="33" t="n">
        <f>89300</f>
        <v>89300.0</v>
      </c>
      <c r="R396" s="34" t="s">
        <v>49</v>
      </c>
      <c r="S396" s="35" t="n">
        <f>88640.91</f>
        <v>88640.91</v>
      </c>
      <c r="T396" s="32" t="n">
        <f>49164</f>
        <v>49164.0</v>
      </c>
      <c r="U396" s="32" t="n">
        <f>11271</f>
        <v>11271.0</v>
      </c>
      <c r="V396" s="32" t="n">
        <f>4363833343</f>
        <v>4.363833343E9</v>
      </c>
      <c r="W396" s="32" t="n">
        <f>1002721243</f>
        <v>1.002721243E9</v>
      </c>
      <c r="X396" s="36" t="n">
        <f>22</f>
        <v>22.0</v>
      </c>
    </row>
    <row r="397">
      <c r="A397" s="27" t="s">
        <v>42</v>
      </c>
      <c r="B397" s="27" t="s">
        <v>1239</v>
      </c>
      <c r="C397" s="27" t="s">
        <v>1240</v>
      </c>
      <c r="D397" s="27" t="s">
        <v>1241</v>
      </c>
      <c r="E397" s="28" t="s">
        <v>46</v>
      </c>
      <c r="F397" s="29" t="s">
        <v>46</v>
      </c>
      <c r="G397" s="30" t="s">
        <v>46</v>
      </c>
      <c r="H397" s="31"/>
      <c r="I397" s="31" t="s">
        <v>47</v>
      </c>
      <c r="J397" s="32" t="n">
        <v>1.0</v>
      </c>
      <c r="K397" s="33" t="n">
        <f>129500</f>
        <v>129500.0</v>
      </c>
      <c r="L397" s="34" t="s">
        <v>48</v>
      </c>
      <c r="M397" s="33" t="n">
        <f>132500</f>
        <v>132500.0</v>
      </c>
      <c r="N397" s="34" t="s">
        <v>233</v>
      </c>
      <c r="O397" s="33" t="n">
        <f>127300</f>
        <v>127300.0</v>
      </c>
      <c r="P397" s="34" t="s">
        <v>156</v>
      </c>
      <c r="Q397" s="33" t="n">
        <f>130400</f>
        <v>130400.0</v>
      </c>
      <c r="R397" s="34" t="s">
        <v>49</v>
      </c>
      <c r="S397" s="35" t="n">
        <f>129972.73</f>
        <v>129972.73</v>
      </c>
      <c r="T397" s="32" t="n">
        <f>106890</f>
        <v>106890.0</v>
      </c>
      <c r="U397" s="32" t="n">
        <f>26208</f>
        <v>26208.0</v>
      </c>
      <c r="V397" s="32" t="n">
        <f>13888131351</f>
        <v>1.3888131351E10</v>
      </c>
      <c r="W397" s="32" t="n">
        <f>3412155751</f>
        <v>3.412155751E9</v>
      </c>
      <c r="X397" s="36" t="n">
        <f>22</f>
        <v>22.0</v>
      </c>
    </row>
    <row r="398">
      <c r="A398" s="27" t="s">
        <v>42</v>
      </c>
      <c r="B398" s="27" t="s">
        <v>1242</v>
      </c>
      <c r="C398" s="27" t="s">
        <v>1243</v>
      </c>
      <c r="D398" s="27" t="s">
        <v>1244</v>
      </c>
      <c r="E398" s="28" t="s">
        <v>46</v>
      </c>
      <c r="F398" s="29" t="s">
        <v>46</v>
      </c>
      <c r="G398" s="30" t="s">
        <v>46</v>
      </c>
      <c r="H398" s="31"/>
      <c r="I398" s="31" t="s">
        <v>47</v>
      </c>
      <c r="J398" s="32" t="n">
        <v>1.0</v>
      </c>
      <c r="K398" s="33" t="n">
        <f>169500</f>
        <v>169500.0</v>
      </c>
      <c r="L398" s="34" t="s">
        <v>48</v>
      </c>
      <c r="M398" s="33" t="n">
        <f>172700</f>
        <v>172700.0</v>
      </c>
      <c r="N398" s="34" t="s">
        <v>49</v>
      </c>
      <c r="O398" s="33" t="n">
        <f>164700</f>
        <v>164700.0</v>
      </c>
      <c r="P398" s="34" t="s">
        <v>156</v>
      </c>
      <c r="Q398" s="33" t="n">
        <f>171500</f>
        <v>171500.0</v>
      </c>
      <c r="R398" s="34" t="s">
        <v>49</v>
      </c>
      <c r="S398" s="35" t="n">
        <f>169104.55</f>
        <v>169104.55</v>
      </c>
      <c r="T398" s="32" t="n">
        <f>76328</f>
        <v>76328.0</v>
      </c>
      <c r="U398" s="32" t="n">
        <f>16484</f>
        <v>16484.0</v>
      </c>
      <c r="V398" s="32" t="n">
        <f>12897437318</f>
        <v>1.2897437318E10</v>
      </c>
      <c r="W398" s="32" t="n">
        <f>2784869818</f>
        <v>2.784869818E9</v>
      </c>
      <c r="X398" s="36" t="n">
        <f>22</f>
        <v>22.0</v>
      </c>
    </row>
    <row r="399">
      <c r="A399" s="27" t="s">
        <v>42</v>
      </c>
      <c r="B399" s="27" t="s">
        <v>1245</v>
      </c>
      <c r="C399" s="27" t="s">
        <v>1246</v>
      </c>
      <c r="D399" s="27" t="s">
        <v>1247</v>
      </c>
      <c r="E399" s="28" t="s">
        <v>46</v>
      </c>
      <c r="F399" s="29" t="s">
        <v>46</v>
      </c>
      <c r="G399" s="30" t="s">
        <v>46</v>
      </c>
      <c r="H399" s="31"/>
      <c r="I399" s="31" t="s">
        <v>47</v>
      </c>
      <c r="J399" s="32" t="n">
        <v>1.0</v>
      </c>
      <c r="K399" s="33" t="n">
        <f>97300</f>
        <v>97300.0</v>
      </c>
      <c r="L399" s="34" t="s">
        <v>48</v>
      </c>
      <c r="M399" s="33" t="n">
        <f>99600</f>
        <v>99600.0</v>
      </c>
      <c r="N399" s="34" t="s">
        <v>233</v>
      </c>
      <c r="O399" s="33" t="n">
        <f>95200</f>
        <v>95200.0</v>
      </c>
      <c r="P399" s="34" t="s">
        <v>156</v>
      </c>
      <c r="Q399" s="33" t="n">
        <f>97300</f>
        <v>97300.0</v>
      </c>
      <c r="R399" s="34" t="s">
        <v>49</v>
      </c>
      <c r="S399" s="35" t="n">
        <f>97527.27</f>
        <v>97527.27</v>
      </c>
      <c r="T399" s="32" t="n">
        <f>94755</f>
        <v>94755.0</v>
      </c>
      <c r="U399" s="32" t="n">
        <f>20886</f>
        <v>20886.0</v>
      </c>
      <c r="V399" s="32" t="n">
        <f>9238596279</f>
        <v>9.238596279E9</v>
      </c>
      <c r="W399" s="32" t="n">
        <f>2036452579</f>
        <v>2.036452579E9</v>
      </c>
      <c r="X399" s="36" t="n">
        <f>22</f>
        <v>22.0</v>
      </c>
    </row>
    <row r="400">
      <c r="A400" s="27" t="s">
        <v>42</v>
      </c>
      <c r="B400" s="27" t="s">
        <v>1248</v>
      </c>
      <c r="C400" s="27" t="s">
        <v>1249</v>
      </c>
      <c r="D400" s="27" t="s">
        <v>1250</v>
      </c>
      <c r="E400" s="28" t="s">
        <v>46</v>
      </c>
      <c r="F400" s="29" t="s">
        <v>46</v>
      </c>
      <c r="G400" s="30" t="s">
        <v>46</v>
      </c>
      <c r="H400" s="31"/>
      <c r="I400" s="31" t="s">
        <v>47</v>
      </c>
      <c r="J400" s="32" t="n">
        <v>1.0</v>
      </c>
      <c r="K400" s="33" t="n">
        <f>79800</f>
        <v>79800.0</v>
      </c>
      <c r="L400" s="34" t="s">
        <v>48</v>
      </c>
      <c r="M400" s="33" t="n">
        <f>82900</f>
        <v>82900.0</v>
      </c>
      <c r="N400" s="34" t="s">
        <v>106</v>
      </c>
      <c r="O400" s="33" t="n">
        <f>78300</f>
        <v>78300.0</v>
      </c>
      <c r="P400" s="34" t="s">
        <v>79</v>
      </c>
      <c r="Q400" s="33" t="n">
        <f>79300</f>
        <v>79300.0</v>
      </c>
      <c r="R400" s="34" t="s">
        <v>49</v>
      </c>
      <c r="S400" s="35" t="n">
        <f>80309.09</f>
        <v>80309.09</v>
      </c>
      <c r="T400" s="32" t="n">
        <f>362703</f>
        <v>362703.0</v>
      </c>
      <c r="U400" s="32" t="n">
        <f>85472</f>
        <v>85472.0</v>
      </c>
      <c r="V400" s="32" t="n">
        <f>29137432899</f>
        <v>2.9137432899E10</v>
      </c>
      <c r="W400" s="32" t="n">
        <f>6858660199</f>
        <v>6.858660199E9</v>
      </c>
      <c r="X400" s="36" t="n">
        <f>22</f>
        <v>22.0</v>
      </c>
    </row>
    <row r="401">
      <c r="A401" s="27" t="s">
        <v>42</v>
      </c>
      <c r="B401" s="27" t="s">
        <v>1251</v>
      </c>
      <c r="C401" s="27" t="s">
        <v>1252</v>
      </c>
      <c r="D401" s="27" t="s">
        <v>1253</v>
      </c>
      <c r="E401" s="28" t="s">
        <v>46</v>
      </c>
      <c r="F401" s="29" t="s">
        <v>46</v>
      </c>
      <c r="G401" s="30" t="s">
        <v>46</v>
      </c>
      <c r="H401" s="31"/>
      <c r="I401" s="31" t="s">
        <v>416</v>
      </c>
      <c r="J401" s="32" t="n">
        <v>1.0</v>
      </c>
      <c r="K401" s="33" t="n">
        <f>149100</f>
        <v>149100.0</v>
      </c>
      <c r="L401" s="34" t="s">
        <v>48</v>
      </c>
      <c r="M401" s="33" t="n">
        <f>151700</f>
        <v>151700.0</v>
      </c>
      <c r="N401" s="34" t="s">
        <v>68</v>
      </c>
      <c r="O401" s="33" t="n">
        <f>145100</f>
        <v>145100.0</v>
      </c>
      <c r="P401" s="34" t="s">
        <v>79</v>
      </c>
      <c r="Q401" s="33" t="n">
        <f>146200</f>
        <v>146200.0</v>
      </c>
      <c r="R401" s="34" t="s">
        <v>49</v>
      </c>
      <c r="S401" s="35" t="n">
        <f>148931.82</f>
        <v>148931.82</v>
      </c>
      <c r="T401" s="32" t="n">
        <f>31394</f>
        <v>31394.0</v>
      </c>
      <c r="U401" s="32" t="n">
        <f>3810</f>
        <v>3810.0</v>
      </c>
      <c r="V401" s="32" t="n">
        <f>4672264839</f>
        <v>4.672264839E9</v>
      </c>
      <c r="W401" s="32" t="n">
        <f>566502339</f>
        <v>5.66502339E8</v>
      </c>
      <c r="X401" s="36" t="n">
        <f>22</f>
        <v>22.0</v>
      </c>
    </row>
    <row r="402">
      <c r="A402" s="27" t="s">
        <v>42</v>
      </c>
      <c r="B402" s="27" t="s">
        <v>1254</v>
      </c>
      <c r="C402" s="27" t="s">
        <v>1255</v>
      </c>
      <c r="D402" s="27" t="s">
        <v>1256</v>
      </c>
      <c r="E402" s="28" t="s">
        <v>46</v>
      </c>
      <c r="F402" s="29" t="s">
        <v>46</v>
      </c>
      <c r="G402" s="30" t="s">
        <v>46</v>
      </c>
      <c r="H402" s="31"/>
      <c r="I402" s="31" t="s">
        <v>47</v>
      </c>
      <c r="J402" s="32" t="n">
        <v>1.0</v>
      </c>
      <c r="K402" s="33" t="n">
        <f>116400</f>
        <v>116400.0</v>
      </c>
      <c r="L402" s="34" t="s">
        <v>48</v>
      </c>
      <c r="M402" s="33" t="n">
        <f>118400</f>
        <v>118400.0</v>
      </c>
      <c r="N402" s="34" t="s">
        <v>233</v>
      </c>
      <c r="O402" s="33" t="n">
        <f>113900</f>
        <v>113900.0</v>
      </c>
      <c r="P402" s="34" t="s">
        <v>50</v>
      </c>
      <c r="Q402" s="33" t="n">
        <f>115200</f>
        <v>115200.0</v>
      </c>
      <c r="R402" s="34" t="s">
        <v>49</v>
      </c>
      <c r="S402" s="35" t="n">
        <f>116204.55</f>
        <v>116204.55</v>
      </c>
      <c r="T402" s="32" t="n">
        <f>18298</f>
        <v>18298.0</v>
      </c>
      <c r="U402" s="32" t="n">
        <f>2437</f>
        <v>2437.0</v>
      </c>
      <c r="V402" s="32" t="n">
        <f>2126670231</f>
        <v>2.126670231E9</v>
      </c>
      <c r="W402" s="32" t="n">
        <f>283113131</f>
        <v>2.83113131E8</v>
      </c>
      <c r="X402" s="36" t="n">
        <f>22</f>
        <v>22.0</v>
      </c>
    </row>
    <row r="403">
      <c r="A403" s="27" t="s">
        <v>42</v>
      </c>
      <c r="B403" s="27" t="s">
        <v>1257</v>
      </c>
      <c r="C403" s="27" t="s">
        <v>1258</v>
      </c>
      <c r="D403" s="27" t="s">
        <v>1259</v>
      </c>
      <c r="E403" s="28" t="s">
        <v>46</v>
      </c>
      <c r="F403" s="29" t="s">
        <v>46</v>
      </c>
      <c r="G403" s="30" t="s">
        <v>46</v>
      </c>
      <c r="H403" s="31"/>
      <c r="I403" s="31" t="s">
        <v>47</v>
      </c>
      <c r="J403" s="32" t="n">
        <v>1.0</v>
      </c>
      <c r="K403" s="33" t="n">
        <f>114500</f>
        <v>114500.0</v>
      </c>
      <c r="L403" s="34" t="s">
        <v>48</v>
      </c>
      <c r="M403" s="33" t="n">
        <f>116100</f>
        <v>116100.0</v>
      </c>
      <c r="N403" s="34" t="s">
        <v>233</v>
      </c>
      <c r="O403" s="33" t="n">
        <f>110000</f>
        <v>110000.0</v>
      </c>
      <c r="P403" s="34" t="s">
        <v>156</v>
      </c>
      <c r="Q403" s="33" t="n">
        <f>112800</f>
        <v>112800.0</v>
      </c>
      <c r="R403" s="34" t="s">
        <v>49</v>
      </c>
      <c r="S403" s="35" t="n">
        <f>113609.09</f>
        <v>113609.09</v>
      </c>
      <c r="T403" s="32" t="n">
        <f>29920</f>
        <v>29920.0</v>
      </c>
      <c r="U403" s="32" t="n">
        <f>3979</f>
        <v>3979.0</v>
      </c>
      <c r="V403" s="32" t="n">
        <f>3394058693</f>
        <v>3.394058693E9</v>
      </c>
      <c r="W403" s="32" t="n">
        <f>451146193</f>
        <v>4.51146193E8</v>
      </c>
      <c r="X403" s="36" t="n">
        <f>22</f>
        <v>22.0</v>
      </c>
    </row>
    <row r="404">
      <c r="A404" s="27" t="s">
        <v>42</v>
      </c>
      <c r="B404" s="27" t="s">
        <v>1260</v>
      </c>
      <c r="C404" s="27" t="s">
        <v>1261</v>
      </c>
      <c r="D404" s="27" t="s">
        <v>1262</v>
      </c>
      <c r="E404" s="28" t="s">
        <v>46</v>
      </c>
      <c r="F404" s="29" t="s">
        <v>46</v>
      </c>
      <c r="G404" s="30" t="s">
        <v>46</v>
      </c>
      <c r="H404" s="31"/>
      <c r="I404" s="31" t="s">
        <v>416</v>
      </c>
      <c r="J404" s="32" t="n">
        <v>1.0</v>
      </c>
      <c r="K404" s="33" t="n">
        <f>11805</f>
        <v>11805.0</v>
      </c>
      <c r="L404" s="34" t="s">
        <v>48</v>
      </c>
      <c r="M404" s="33" t="n">
        <f>12305</f>
        <v>12305.0</v>
      </c>
      <c r="N404" s="34" t="s">
        <v>106</v>
      </c>
      <c r="O404" s="33" t="n">
        <f>11560</f>
        <v>11560.0</v>
      </c>
      <c r="P404" s="34" t="s">
        <v>50</v>
      </c>
      <c r="Q404" s="33" t="n">
        <f>11980</f>
        <v>11980.0</v>
      </c>
      <c r="R404" s="34" t="s">
        <v>49</v>
      </c>
      <c r="S404" s="35" t="n">
        <f>11910.23</f>
        <v>11910.23</v>
      </c>
      <c r="T404" s="32" t="n">
        <f>46491</f>
        <v>46491.0</v>
      </c>
      <c r="U404" s="32" t="n">
        <f>3700</f>
        <v>3700.0</v>
      </c>
      <c r="V404" s="32" t="n">
        <f>554416730</f>
        <v>5.5441673E8</v>
      </c>
      <c r="W404" s="32" t="n">
        <f>44832900</f>
        <v>4.48329E7</v>
      </c>
      <c r="X404" s="36" t="n">
        <f>22</f>
        <v>22.0</v>
      </c>
    </row>
    <row r="405">
      <c r="A405" s="27" t="s">
        <v>42</v>
      </c>
      <c r="B405" s="27" t="s">
        <v>1263</v>
      </c>
      <c r="C405" s="27" t="s">
        <v>1264</v>
      </c>
      <c r="D405" s="27" t="s">
        <v>1265</v>
      </c>
      <c r="E405" s="28" t="s">
        <v>46</v>
      </c>
      <c r="F405" s="29" t="s">
        <v>46</v>
      </c>
      <c r="G405" s="30" t="s">
        <v>46</v>
      </c>
      <c r="H405" s="31"/>
      <c r="I405" s="31" t="s">
        <v>47</v>
      </c>
      <c r="J405" s="32" t="n">
        <v>1.0</v>
      </c>
      <c r="K405" s="33" t="n">
        <f>160900</f>
        <v>160900.0</v>
      </c>
      <c r="L405" s="34" t="s">
        <v>48</v>
      </c>
      <c r="M405" s="33" t="n">
        <f>166900</f>
        <v>166900.0</v>
      </c>
      <c r="N405" s="34" t="s">
        <v>106</v>
      </c>
      <c r="O405" s="33" t="n">
        <f>158300</f>
        <v>158300.0</v>
      </c>
      <c r="P405" s="34" t="s">
        <v>48</v>
      </c>
      <c r="Q405" s="33" t="n">
        <f>164400</f>
        <v>164400.0</v>
      </c>
      <c r="R405" s="34" t="s">
        <v>49</v>
      </c>
      <c r="S405" s="35" t="n">
        <f>163177.27</f>
        <v>163177.27</v>
      </c>
      <c r="T405" s="32" t="n">
        <f>189621</f>
        <v>189621.0</v>
      </c>
      <c r="U405" s="32" t="n">
        <f>38492</f>
        <v>38492.0</v>
      </c>
      <c r="V405" s="32" t="n">
        <f>30928730585</f>
        <v>3.0928730585E10</v>
      </c>
      <c r="W405" s="32" t="n">
        <f>6278211185</f>
        <v>6.278211185E9</v>
      </c>
      <c r="X405" s="36" t="n">
        <f>22</f>
        <v>22.0</v>
      </c>
    </row>
    <row r="406">
      <c r="A406" s="27" t="s">
        <v>42</v>
      </c>
      <c r="B406" s="27" t="s">
        <v>1266</v>
      </c>
      <c r="C406" s="27" t="s">
        <v>1267</v>
      </c>
      <c r="D406" s="27" t="s">
        <v>1268</v>
      </c>
      <c r="E406" s="28" t="s">
        <v>46</v>
      </c>
      <c r="F406" s="29" t="s">
        <v>46</v>
      </c>
      <c r="G406" s="30" t="s">
        <v>46</v>
      </c>
      <c r="H406" s="31"/>
      <c r="I406" s="31" t="s">
        <v>416</v>
      </c>
      <c r="J406" s="32" t="n">
        <v>1.0</v>
      </c>
      <c r="K406" s="33" t="n">
        <f>128900</f>
        <v>128900.0</v>
      </c>
      <c r="L406" s="34" t="s">
        <v>48</v>
      </c>
      <c r="M406" s="33" t="n">
        <f>133000</f>
        <v>133000.0</v>
      </c>
      <c r="N406" s="34" t="s">
        <v>68</v>
      </c>
      <c r="O406" s="33" t="n">
        <f>125600</f>
        <v>125600.0</v>
      </c>
      <c r="P406" s="34" t="s">
        <v>156</v>
      </c>
      <c r="Q406" s="33" t="n">
        <f>131700</f>
        <v>131700.0</v>
      </c>
      <c r="R406" s="34" t="s">
        <v>49</v>
      </c>
      <c r="S406" s="35" t="n">
        <f>129572.73</f>
        <v>129572.73</v>
      </c>
      <c r="T406" s="32" t="n">
        <f>29456</f>
        <v>29456.0</v>
      </c>
      <c r="U406" s="32" t="n">
        <f>2307</f>
        <v>2307.0</v>
      </c>
      <c r="V406" s="32" t="n">
        <f>3808503383</f>
        <v>3.808503383E9</v>
      </c>
      <c r="W406" s="32" t="n">
        <f>298766483</f>
        <v>2.98766483E8</v>
      </c>
      <c r="X406" s="36" t="n">
        <f>22</f>
        <v>22.0</v>
      </c>
    </row>
    <row r="407">
      <c r="A407" s="27" t="s">
        <v>42</v>
      </c>
      <c r="B407" s="27" t="s">
        <v>1269</v>
      </c>
      <c r="C407" s="27" t="s">
        <v>1270</v>
      </c>
      <c r="D407" s="27" t="s">
        <v>1271</v>
      </c>
      <c r="E407" s="28" t="s">
        <v>46</v>
      </c>
      <c r="F407" s="29" t="s">
        <v>46</v>
      </c>
      <c r="G407" s="30" t="s">
        <v>46</v>
      </c>
      <c r="H407" s="31"/>
      <c r="I407" s="31" t="s">
        <v>47</v>
      </c>
      <c r="J407" s="32" t="n">
        <v>1.0</v>
      </c>
      <c r="K407" s="33" t="n">
        <f>143300</f>
        <v>143300.0</v>
      </c>
      <c r="L407" s="34" t="s">
        <v>48</v>
      </c>
      <c r="M407" s="33" t="n">
        <f>151300</f>
        <v>151300.0</v>
      </c>
      <c r="N407" s="34" t="s">
        <v>203</v>
      </c>
      <c r="O407" s="33" t="n">
        <f>141700</f>
        <v>141700.0</v>
      </c>
      <c r="P407" s="34" t="s">
        <v>48</v>
      </c>
      <c r="Q407" s="33" t="n">
        <f>149100</f>
        <v>149100.0</v>
      </c>
      <c r="R407" s="34" t="s">
        <v>49</v>
      </c>
      <c r="S407" s="35" t="n">
        <f>146550</f>
        <v>146550.0</v>
      </c>
      <c r="T407" s="32" t="n">
        <f>144951</f>
        <v>144951.0</v>
      </c>
      <c r="U407" s="32" t="n">
        <f>36707</f>
        <v>36707.0</v>
      </c>
      <c r="V407" s="32" t="n">
        <f>21342715678</f>
        <v>2.1342715678E10</v>
      </c>
      <c r="W407" s="32" t="n">
        <f>5385721678</f>
        <v>5.385721678E9</v>
      </c>
      <c r="X407" s="36" t="n">
        <f>22</f>
        <v>22.0</v>
      </c>
    </row>
    <row r="408">
      <c r="A408" s="27" t="s">
        <v>42</v>
      </c>
      <c r="B408" s="27" t="s">
        <v>1272</v>
      </c>
      <c r="C408" s="27" t="s">
        <v>1273</v>
      </c>
      <c r="D408" s="27" t="s">
        <v>1274</v>
      </c>
      <c r="E408" s="28" t="s">
        <v>46</v>
      </c>
      <c r="F408" s="29" t="s">
        <v>46</v>
      </c>
      <c r="G408" s="30" t="s">
        <v>46</v>
      </c>
      <c r="H408" s="31"/>
      <c r="I408" s="31" t="s">
        <v>47</v>
      </c>
      <c r="J408" s="32" t="n">
        <v>1.0</v>
      </c>
      <c r="K408" s="33" t="n">
        <f>60200</f>
        <v>60200.0</v>
      </c>
      <c r="L408" s="34" t="s">
        <v>48</v>
      </c>
      <c r="M408" s="33" t="n">
        <f>62000</f>
        <v>62000.0</v>
      </c>
      <c r="N408" s="34" t="s">
        <v>49</v>
      </c>
      <c r="O408" s="33" t="n">
        <f>58700</f>
        <v>58700.0</v>
      </c>
      <c r="P408" s="34" t="s">
        <v>48</v>
      </c>
      <c r="Q408" s="33" t="n">
        <f>61300</f>
        <v>61300.0</v>
      </c>
      <c r="R408" s="34" t="s">
        <v>49</v>
      </c>
      <c r="S408" s="35" t="n">
        <f>60609.09</f>
        <v>60609.09</v>
      </c>
      <c r="T408" s="32" t="n">
        <f>186584</f>
        <v>186584.0</v>
      </c>
      <c r="U408" s="32" t="n">
        <f>56986</f>
        <v>56986.0</v>
      </c>
      <c r="V408" s="32" t="n">
        <f>11314160366</f>
        <v>1.1314160366E10</v>
      </c>
      <c r="W408" s="32" t="n">
        <f>3460417766</f>
        <v>3.460417766E9</v>
      </c>
      <c r="X408" s="36" t="n">
        <f>22</f>
        <v>22.0</v>
      </c>
    </row>
    <row r="409">
      <c r="A409" s="27" t="s">
        <v>42</v>
      </c>
      <c r="B409" s="27" t="s">
        <v>1275</v>
      </c>
      <c r="C409" s="27" t="s">
        <v>1276</v>
      </c>
      <c r="D409" s="27" t="s">
        <v>1277</v>
      </c>
      <c r="E409" s="28" t="s">
        <v>46</v>
      </c>
      <c r="F409" s="29" t="s">
        <v>46</v>
      </c>
      <c r="G409" s="30" t="s">
        <v>46</v>
      </c>
      <c r="H409" s="31"/>
      <c r="I409" s="31" t="s">
        <v>47</v>
      </c>
      <c r="J409" s="32" t="n">
        <v>1.0</v>
      </c>
      <c r="K409" s="33" t="n">
        <f>2951</f>
        <v>2951.0</v>
      </c>
      <c r="L409" s="34" t="s">
        <v>48</v>
      </c>
      <c r="M409" s="33" t="n">
        <f>3561</f>
        <v>3561.0</v>
      </c>
      <c r="N409" s="34" t="s">
        <v>79</v>
      </c>
      <c r="O409" s="33" t="n">
        <f>2924</f>
        <v>2924.0</v>
      </c>
      <c r="P409" s="34" t="s">
        <v>48</v>
      </c>
      <c r="Q409" s="33" t="n">
        <f>3507</f>
        <v>3507.0</v>
      </c>
      <c r="R409" s="34" t="s">
        <v>49</v>
      </c>
      <c r="S409" s="35" t="n">
        <f>3207.41</f>
        <v>3207.41</v>
      </c>
      <c r="T409" s="32" t="n">
        <f>470218</f>
        <v>470218.0</v>
      </c>
      <c r="U409" s="32" t="str">
        <f>"－"</f>
        <v>－</v>
      </c>
      <c r="V409" s="32" t="n">
        <f>1519123954</f>
        <v>1.519123954E9</v>
      </c>
      <c r="W409" s="32" t="str">
        <f>"－"</f>
        <v>－</v>
      </c>
      <c r="X409" s="36" t="n">
        <f>22</f>
        <v>22.0</v>
      </c>
    </row>
    <row r="410">
      <c r="A410" s="27" t="s">
        <v>42</v>
      </c>
      <c r="B410" s="27" t="s">
        <v>1278</v>
      </c>
      <c r="C410" s="27" t="s">
        <v>1279</v>
      </c>
      <c r="D410" s="27" t="s">
        <v>1280</v>
      </c>
      <c r="E410" s="28" t="s">
        <v>46</v>
      </c>
      <c r="F410" s="29" t="s">
        <v>46</v>
      </c>
      <c r="G410" s="30" t="s">
        <v>46</v>
      </c>
      <c r="H410" s="31"/>
      <c r="I410" s="31" t="s">
        <v>416</v>
      </c>
      <c r="J410" s="32" t="n">
        <v>1.0</v>
      </c>
      <c r="K410" s="33" t="n">
        <f>111600</f>
        <v>111600.0</v>
      </c>
      <c r="L410" s="34" t="s">
        <v>48</v>
      </c>
      <c r="M410" s="33" t="n">
        <f>111600</f>
        <v>111600.0</v>
      </c>
      <c r="N410" s="34" t="s">
        <v>48</v>
      </c>
      <c r="O410" s="33" t="n">
        <f>107500</f>
        <v>107500.0</v>
      </c>
      <c r="P410" s="34" t="s">
        <v>156</v>
      </c>
      <c r="Q410" s="33" t="n">
        <f>110400</f>
        <v>110400.0</v>
      </c>
      <c r="R410" s="34" t="s">
        <v>49</v>
      </c>
      <c r="S410" s="35" t="n">
        <f>110000</f>
        <v>110000.0</v>
      </c>
      <c r="T410" s="32" t="n">
        <f>17142</f>
        <v>17142.0</v>
      </c>
      <c r="U410" s="32" t="n">
        <f>1632</f>
        <v>1632.0</v>
      </c>
      <c r="V410" s="32" t="n">
        <f>1884890934</f>
        <v>1.884890934E9</v>
      </c>
      <c r="W410" s="32" t="n">
        <f>179452234</f>
        <v>1.79452234E8</v>
      </c>
      <c r="X410" s="36" t="n">
        <f>22</f>
        <v>22.0</v>
      </c>
    </row>
    <row r="411">
      <c r="A411" s="27" t="s">
        <v>42</v>
      </c>
      <c r="B411" s="27" t="s">
        <v>1281</v>
      </c>
      <c r="C411" s="27" t="s">
        <v>1282</v>
      </c>
      <c r="D411" s="27" t="s">
        <v>1283</v>
      </c>
      <c r="E411" s="28" t="s">
        <v>46</v>
      </c>
      <c r="F411" s="29" t="s">
        <v>46</v>
      </c>
      <c r="G411" s="30" t="s">
        <v>46</v>
      </c>
      <c r="H411" s="31"/>
      <c r="I411" s="31" t="s">
        <v>47</v>
      </c>
      <c r="J411" s="32" t="n">
        <v>1.0</v>
      </c>
      <c r="K411" s="33" t="n">
        <f>106400</f>
        <v>106400.0</v>
      </c>
      <c r="L411" s="34" t="s">
        <v>48</v>
      </c>
      <c r="M411" s="33" t="n">
        <f>113100</f>
        <v>113100.0</v>
      </c>
      <c r="N411" s="34" t="s">
        <v>233</v>
      </c>
      <c r="O411" s="33" t="n">
        <f>105000</f>
        <v>105000.0</v>
      </c>
      <c r="P411" s="34" t="s">
        <v>48</v>
      </c>
      <c r="Q411" s="33" t="n">
        <f>111700</f>
        <v>111700.0</v>
      </c>
      <c r="R411" s="34" t="s">
        <v>49</v>
      </c>
      <c r="S411" s="35" t="n">
        <f>109459.09</f>
        <v>109459.09</v>
      </c>
      <c r="T411" s="32" t="n">
        <f>276981</f>
        <v>276981.0</v>
      </c>
      <c r="U411" s="32" t="n">
        <f>56981</f>
        <v>56981.0</v>
      </c>
      <c r="V411" s="32" t="n">
        <f>30220043167</f>
        <v>3.0220043167E10</v>
      </c>
      <c r="W411" s="32" t="n">
        <f>6216101267</f>
        <v>6.216101267E9</v>
      </c>
      <c r="X411" s="36" t="n">
        <f>22</f>
        <v>22.0</v>
      </c>
    </row>
    <row r="412">
      <c r="A412" s="27" t="s">
        <v>42</v>
      </c>
      <c r="B412" s="27" t="s">
        <v>1284</v>
      </c>
      <c r="C412" s="27" t="s">
        <v>1285</v>
      </c>
      <c r="D412" s="27" t="s">
        <v>1286</v>
      </c>
      <c r="E412" s="28" t="s">
        <v>46</v>
      </c>
      <c r="F412" s="29" t="s">
        <v>46</v>
      </c>
      <c r="G412" s="30" t="s">
        <v>46</v>
      </c>
      <c r="H412" s="31"/>
      <c r="I412" s="31" t="s">
        <v>416</v>
      </c>
      <c r="J412" s="32" t="n">
        <v>1.0</v>
      </c>
      <c r="K412" s="33" t="n">
        <f>80100</f>
        <v>80100.0</v>
      </c>
      <c r="L412" s="34" t="s">
        <v>48</v>
      </c>
      <c r="M412" s="33" t="n">
        <f>83000</f>
        <v>83000.0</v>
      </c>
      <c r="N412" s="34" t="s">
        <v>586</v>
      </c>
      <c r="O412" s="33" t="n">
        <f>78700</f>
        <v>78700.0</v>
      </c>
      <c r="P412" s="34" t="s">
        <v>48</v>
      </c>
      <c r="Q412" s="33" t="n">
        <f>81500</f>
        <v>81500.0</v>
      </c>
      <c r="R412" s="34" t="s">
        <v>49</v>
      </c>
      <c r="S412" s="35" t="n">
        <f>81481.82</f>
        <v>81481.82</v>
      </c>
      <c r="T412" s="32" t="n">
        <f>25757</f>
        <v>25757.0</v>
      </c>
      <c r="U412" s="32" t="n">
        <f>1966</f>
        <v>1966.0</v>
      </c>
      <c r="V412" s="32" t="n">
        <f>2092509265</f>
        <v>2.092509265E9</v>
      </c>
      <c r="W412" s="32" t="n">
        <f>159983065</f>
        <v>1.59983065E8</v>
      </c>
      <c r="X412" s="36" t="n">
        <f>22</f>
        <v>22.0</v>
      </c>
    </row>
    <row r="413">
      <c r="A413" s="27" t="s">
        <v>42</v>
      </c>
      <c r="B413" s="27" t="s">
        <v>1287</v>
      </c>
      <c r="C413" s="27" t="s">
        <v>1288</v>
      </c>
      <c r="D413" s="27" t="s">
        <v>1289</v>
      </c>
      <c r="E413" s="28" t="s">
        <v>46</v>
      </c>
      <c r="F413" s="29" t="s">
        <v>46</v>
      </c>
      <c r="G413" s="30" t="s">
        <v>46</v>
      </c>
      <c r="H413" s="31"/>
      <c r="I413" s="31" t="s">
        <v>47</v>
      </c>
      <c r="J413" s="32" t="n">
        <v>1.0</v>
      </c>
      <c r="K413" s="33" t="n">
        <f>48700</f>
        <v>48700.0</v>
      </c>
      <c r="L413" s="34" t="s">
        <v>48</v>
      </c>
      <c r="M413" s="33" t="n">
        <f>50500</f>
        <v>50500.0</v>
      </c>
      <c r="N413" s="34" t="s">
        <v>68</v>
      </c>
      <c r="O413" s="33" t="n">
        <f>47650</f>
        <v>47650.0</v>
      </c>
      <c r="P413" s="34" t="s">
        <v>48</v>
      </c>
      <c r="Q413" s="33" t="n">
        <f>48250</f>
        <v>48250.0</v>
      </c>
      <c r="R413" s="34" t="s">
        <v>49</v>
      </c>
      <c r="S413" s="35" t="n">
        <f>48852.27</f>
        <v>48852.27</v>
      </c>
      <c r="T413" s="32" t="n">
        <f>174020</f>
        <v>174020.0</v>
      </c>
      <c r="U413" s="32" t="n">
        <f>21859</f>
        <v>21859.0</v>
      </c>
      <c r="V413" s="32" t="n">
        <f>8516707907</f>
        <v>8.516707907E9</v>
      </c>
      <c r="W413" s="32" t="n">
        <f>1069852807</f>
        <v>1.069852807E9</v>
      </c>
      <c r="X413" s="36" t="n">
        <f>22</f>
        <v>22.0</v>
      </c>
    </row>
    <row r="414">
      <c r="A414" s="27" t="s">
        <v>42</v>
      </c>
      <c r="B414" s="27" t="s">
        <v>1290</v>
      </c>
      <c r="C414" s="27" t="s">
        <v>1291</v>
      </c>
      <c r="D414" s="27" t="s">
        <v>1292</v>
      </c>
      <c r="E414" s="28" t="s">
        <v>46</v>
      </c>
      <c r="F414" s="29" t="s">
        <v>46</v>
      </c>
      <c r="G414" s="30" t="s">
        <v>46</v>
      </c>
      <c r="H414" s="31"/>
      <c r="I414" s="31" t="s">
        <v>47</v>
      </c>
      <c r="J414" s="32" t="n">
        <v>1.0</v>
      </c>
      <c r="K414" s="33" t="n">
        <f>121800</f>
        <v>121800.0</v>
      </c>
      <c r="L414" s="34" t="s">
        <v>48</v>
      </c>
      <c r="M414" s="33" t="n">
        <f>124600</f>
        <v>124600.0</v>
      </c>
      <c r="N414" s="34" t="s">
        <v>49</v>
      </c>
      <c r="O414" s="33" t="n">
        <f>119800</f>
        <v>119800.0</v>
      </c>
      <c r="P414" s="34" t="s">
        <v>48</v>
      </c>
      <c r="Q414" s="33" t="n">
        <f>123400</f>
        <v>123400.0</v>
      </c>
      <c r="R414" s="34" t="s">
        <v>49</v>
      </c>
      <c r="S414" s="35" t="n">
        <f>122395.45</f>
        <v>122395.45</v>
      </c>
      <c r="T414" s="32" t="n">
        <f>110148</f>
        <v>110148.0</v>
      </c>
      <c r="U414" s="32" t="n">
        <f>24366</f>
        <v>24366.0</v>
      </c>
      <c r="V414" s="32" t="n">
        <f>13455690234</f>
        <v>1.3455690234E10</v>
      </c>
      <c r="W414" s="32" t="n">
        <f>2970778634</f>
        <v>2.970778634E9</v>
      </c>
      <c r="X414" s="36" t="n">
        <f>22</f>
        <v>22.0</v>
      </c>
    </row>
    <row r="415">
      <c r="A415" s="27" t="s">
        <v>42</v>
      </c>
      <c r="B415" s="27" t="s">
        <v>1293</v>
      </c>
      <c r="C415" s="27" t="s">
        <v>1294</v>
      </c>
      <c r="D415" s="27" t="s">
        <v>1295</v>
      </c>
      <c r="E415" s="28" t="s">
        <v>46</v>
      </c>
      <c r="F415" s="29" t="s">
        <v>46</v>
      </c>
      <c r="G415" s="30" t="s">
        <v>46</v>
      </c>
      <c r="H415" s="31"/>
      <c r="I415" s="31" t="s">
        <v>47</v>
      </c>
      <c r="J415" s="32" t="n">
        <v>1.0</v>
      </c>
      <c r="K415" s="33" t="n">
        <f>152800</f>
        <v>152800.0</v>
      </c>
      <c r="L415" s="34" t="s">
        <v>48</v>
      </c>
      <c r="M415" s="33" t="n">
        <f>158600</f>
        <v>158600.0</v>
      </c>
      <c r="N415" s="34" t="s">
        <v>49</v>
      </c>
      <c r="O415" s="33" t="n">
        <f>150600</f>
        <v>150600.0</v>
      </c>
      <c r="P415" s="34" t="s">
        <v>48</v>
      </c>
      <c r="Q415" s="33" t="n">
        <f>157000</f>
        <v>157000.0</v>
      </c>
      <c r="R415" s="34" t="s">
        <v>49</v>
      </c>
      <c r="S415" s="35" t="n">
        <f>155122.73</f>
        <v>155122.73</v>
      </c>
      <c r="T415" s="32" t="n">
        <f>41212</f>
        <v>41212.0</v>
      </c>
      <c r="U415" s="32" t="n">
        <f>9346</f>
        <v>9346.0</v>
      </c>
      <c r="V415" s="32" t="n">
        <f>6383107884</f>
        <v>6.383107884E9</v>
      </c>
      <c r="W415" s="32" t="n">
        <f>1448488184</f>
        <v>1.448488184E9</v>
      </c>
      <c r="X415" s="36" t="n">
        <f>22</f>
        <v>22.0</v>
      </c>
    </row>
    <row r="416">
      <c r="A416" s="27" t="s">
        <v>42</v>
      </c>
      <c r="B416" s="27" t="s">
        <v>1296</v>
      </c>
      <c r="C416" s="27" t="s">
        <v>1297</v>
      </c>
      <c r="D416" s="27" t="s">
        <v>1298</v>
      </c>
      <c r="E416" s="28" t="s">
        <v>46</v>
      </c>
      <c r="F416" s="29" t="s">
        <v>46</v>
      </c>
      <c r="G416" s="30" t="s">
        <v>46</v>
      </c>
      <c r="H416" s="31"/>
      <c r="I416" s="31" t="s">
        <v>416</v>
      </c>
      <c r="J416" s="32" t="n">
        <v>1.0</v>
      </c>
      <c r="K416" s="33" t="n">
        <f>120400</f>
        <v>120400.0</v>
      </c>
      <c r="L416" s="34" t="s">
        <v>48</v>
      </c>
      <c r="M416" s="33" t="n">
        <f>120900</f>
        <v>120900.0</v>
      </c>
      <c r="N416" s="34" t="s">
        <v>48</v>
      </c>
      <c r="O416" s="33" t="n">
        <f>117600</f>
        <v>117600.0</v>
      </c>
      <c r="P416" s="34" t="s">
        <v>156</v>
      </c>
      <c r="Q416" s="33" t="n">
        <f>117700</f>
        <v>117700.0</v>
      </c>
      <c r="R416" s="34" t="s">
        <v>49</v>
      </c>
      <c r="S416" s="35" t="n">
        <f>119363.64</f>
        <v>119363.64</v>
      </c>
      <c r="T416" s="32" t="n">
        <f>13875</f>
        <v>13875.0</v>
      </c>
      <c r="U416" s="32" t="n">
        <f>1379</f>
        <v>1379.0</v>
      </c>
      <c r="V416" s="32" t="n">
        <f>1655406297</f>
        <v>1.655406297E9</v>
      </c>
      <c r="W416" s="32" t="n">
        <f>164356197</f>
        <v>1.64356197E8</v>
      </c>
      <c r="X416" s="36" t="n">
        <f>22</f>
        <v>22.0</v>
      </c>
    </row>
    <row r="417">
      <c r="A417" s="27" t="s">
        <v>42</v>
      </c>
      <c r="B417" s="27" t="s">
        <v>1299</v>
      </c>
      <c r="C417" s="27" t="s">
        <v>1300</v>
      </c>
      <c r="D417" s="27" t="s">
        <v>1301</v>
      </c>
      <c r="E417" s="28" t="s">
        <v>46</v>
      </c>
      <c r="F417" s="29" t="s">
        <v>46</v>
      </c>
      <c r="G417" s="30" t="s">
        <v>46</v>
      </c>
      <c r="H417" s="31"/>
      <c r="I417" s="31" t="s">
        <v>47</v>
      </c>
      <c r="J417" s="32" t="n">
        <v>10.0</v>
      </c>
      <c r="K417" s="33" t="n">
        <f>231.2</f>
        <v>231.2</v>
      </c>
      <c r="L417" s="34" t="s">
        <v>48</v>
      </c>
      <c r="M417" s="33" t="n">
        <f>240</f>
        <v>240.0</v>
      </c>
      <c r="N417" s="34" t="s">
        <v>106</v>
      </c>
      <c r="O417" s="33" t="n">
        <f>224</f>
        <v>224.0</v>
      </c>
      <c r="P417" s="34" t="s">
        <v>50</v>
      </c>
      <c r="Q417" s="33" t="n">
        <f>238.8</f>
        <v>238.8</v>
      </c>
      <c r="R417" s="34" t="s">
        <v>49</v>
      </c>
      <c r="S417" s="35" t="n">
        <f>232.7</f>
        <v>232.7</v>
      </c>
      <c r="T417" s="32" t="n">
        <f>835240</f>
        <v>835240.0</v>
      </c>
      <c r="U417" s="32" t="n">
        <f>460</f>
        <v>460.0</v>
      </c>
      <c r="V417" s="32" t="n">
        <f>194681799</f>
        <v>1.94681799E8</v>
      </c>
      <c r="W417" s="32" t="n">
        <f>101936</f>
        <v>101936.0</v>
      </c>
      <c r="X417" s="36" t="n">
        <f>22</f>
        <v>22.0</v>
      </c>
    </row>
    <row r="418">
      <c r="A418" s="27" t="s">
        <v>42</v>
      </c>
      <c r="B418" s="27" t="s">
        <v>1302</v>
      </c>
      <c r="C418" s="27" t="s">
        <v>1303</v>
      </c>
      <c r="D418" s="27" t="s">
        <v>1304</v>
      </c>
      <c r="E418" s="28" t="s">
        <v>46</v>
      </c>
      <c r="F418" s="29" t="s">
        <v>46</v>
      </c>
      <c r="G418" s="30" t="s">
        <v>46</v>
      </c>
      <c r="H418" s="31"/>
      <c r="I418" s="31" t="s">
        <v>47</v>
      </c>
      <c r="J418" s="32" t="n">
        <v>1.0</v>
      </c>
      <c r="K418" s="33" t="n">
        <f>94200</f>
        <v>94200.0</v>
      </c>
      <c r="L418" s="34" t="s">
        <v>48</v>
      </c>
      <c r="M418" s="33" t="n">
        <f>96800</f>
        <v>96800.0</v>
      </c>
      <c r="N418" s="34" t="s">
        <v>474</v>
      </c>
      <c r="O418" s="33" t="n">
        <f>92800</f>
        <v>92800.0</v>
      </c>
      <c r="P418" s="34" t="s">
        <v>49</v>
      </c>
      <c r="Q418" s="33" t="n">
        <f>93000</f>
        <v>93000.0</v>
      </c>
      <c r="R418" s="34" t="s">
        <v>49</v>
      </c>
      <c r="S418" s="35" t="n">
        <f>94718.18</f>
        <v>94718.18</v>
      </c>
      <c r="T418" s="32" t="n">
        <f>74927</f>
        <v>74927.0</v>
      </c>
      <c r="U418" s="32" t="n">
        <f>9295</f>
        <v>9295.0</v>
      </c>
      <c r="V418" s="32" t="n">
        <f>7090629206</f>
        <v>7.090629206E9</v>
      </c>
      <c r="W418" s="32" t="n">
        <f>878456406</f>
        <v>8.78456406E8</v>
      </c>
      <c r="X418" s="36" t="n">
        <f>22</f>
        <v>22.0</v>
      </c>
    </row>
    <row r="419">
      <c r="A419" s="27" t="s">
        <v>42</v>
      </c>
      <c r="B419" s="27" t="s">
        <v>1305</v>
      </c>
      <c r="C419" s="27" t="s">
        <v>1306</v>
      </c>
      <c r="D419" s="27" t="s">
        <v>1307</v>
      </c>
      <c r="E419" s="28" t="s">
        <v>46</v>
      </c>
      <c r="F419" s="29" t="s">
        <v>46</v>
      </c>
      <c r="G419" s="30" t="s">
        <v>46</v>
      </c>
      <c r="H419" s="31"/>
      <c r="I419" s="31" t="s">
        <v>47</v>
      </c>
      <c r="J419" s="32" t="n">
        <v>10.0</v>
      </c>
      <c r="K419" s="33" t="n">
        <f>588.9</f>
        <v>588.9</v>
      </c>
      <c r="L419" s="34" t="s">
        <v>48</v>
      </c>
      <c r="M419" s="33" t="n">
        <f>649</f>
        <v>649.0</v>
      </c>
      <c r="N419" s="34" t="s">
        <v>49</v>
      </c>
      <c r="O419" s="33" t="n">
        <f>581.6</f>
        <v>581.6</v>
      </c>
      <c r="P419" s="34" t="s">
        <v>69</v>
      </c>
      <c r="Q419" s="33" t="n">
        <f>647.5</f>
        <v>647.5</v>
      </c>
      <c r="R419" s="34" t="s">
        <v>49</v>
      </c>
      <c r="S419" s="35" t="n">
        <f>617.87</f>
        <v>617.87</v>
      </c>
      <c r="T419" s="32" t="n">
        <f>359710</f>
        <v>359710.0</v>
      </c>
      <c r="U419" s="32" t="str">
        <f>"－"</f>
        <v>－</v>
      </c>
      <c r="V419" s="32" t="n">
        <f>220213311</f>
        <v>2.20213311E8</v>
      </c>
      <c r="W419" s="32" t="str">
        <f>"－"</f>
        <v>－</v>
      </c>
      <c r="X419" s="36" t="n">
        <f>22</f>
        <v>22.0</v>
      </c>
    </row>
    <row r="420">
      <c r="A420" s="27" t="s">
        <v>42</v>
      </c>
      <c r="B420" s="27" t="s">
        <v>1308</v>
      </c>
      <c r="C420" s="27" t="s">
        <v>1309</v>
      </c>
      <c r="D420" s="27" t="s">
        <v>1310</v>
      </c>
      <c r="E420" s="28" t="s">
        <v>46</v>
      </c>
      <c r="F420" s="29" t="s">
        <v>46</v>
      </c>
      <c r="G420" s="30" t="s">
        <v>46</v>
      </c>
      <c r="H420" s="31"/>
      <c r="I420" s="31" t="s">
        <v>47</v>
      </c>
      <c r="J420" s="32" t="n">
        <v>1.0</v>
      </c>
      <c r="K420" s="33" t="n">
        <f>2507</f>
        <v>2507.0</v>
      </c>
      <c r="L420" s="34" t="s">
        <v>48</v>
      </c>
      <c r="M420" s="33" t="n">
        <f>2721</f>
        <v>2721.0</v>
      </c>
      <c r="N420" s="34" t="s">
        <v>216</v>
      </c>
      <c r="O420" s="33" t="n">
        <f>2386</f>
        <v>2386.0</v>
      </c>
      <c r="P420" s="34" t="s">
        <v>156</v>
      </c>
      <c r="Q420" s="33" t="n">
        <f>2475</f>
        <v>2475.0</v>
      </c>
      <c r="R420" s="34" t="s">
        <v>49</v>
      </c>
      <c r="S420" s="35" t="n">
        <f>2465.91</f>
        <v>2465.91</v>
      </c>
      <c r="T420" s="32" t="n">
        <f>716197</f>
        <v>716197.0</v>
      </c>
      <c r="U420" s="32" t="n">
        <f>121060</f>
        <v>121060.0</v>
      </c>
      <c r="V420" s="32" t="n">
        <f>1762797706</f>
        <v>1.762797706E9</v>
      </c>
      <c r="W420" s="32" t="n">
        <f>296061831</f>
        <v>2.96061831E8</v>
      </c>
      <c r="X420" s="36" t="n">
        <f>22</f>
        <v>22.0</v>
      </c>
    </row>
    <row r="421">
      <c r="A421" s="27" t="s">
        <v>42</v>
      </c>
      <c r="B421" s="27" t="s">
        <v>1311</v>
      </c>
      <c r="C421" s="27" t="s">
        <v>1312</v>
      </c>
      <c r="D421" s="27" t="s">
        <v>1313</v>
      </c>
      <c r="E421" s="28" t="s">
        <v>46</v>
      </c>
      <c r="F421" s="29" t="s">
        <v>46</v>
      </c>
      <c r="G421" s="30" t="s">
        <v>46</v>
      </c>
      <c r="H421" s="31"/>
      <c r="I421" s="31" t="s">
        <v>47</v>
      </c>
      <c r="J421" s="32" t="n">
        <v>1.0</v>
      </c>
      <c r="K421" s="33" t="n">
        <f>1289</f>
        <v>1289.0</v>
      </c>
      <c r="L421" s="34" t="s">
        <v>48</v>
      </c>
      <c r="M421" s="33" t="n">
        <f>1362</f>
        <v>1362.0</v>
      </c>
      <c r="N421" s="34" t="s">
        <v>60</v>
      </c>
      <c r="O421" s="33" t="n">
        <f>1268</f>
        <v>1268.0</v>
      </c>
      <c r="P421" s="34" t="s">
        <v>48</v>
      </c>
      <c r="Q421" s="33" t="n">
        <f>1356</f>
        <v>1356.0</v>
      </c>
      <c r="R421" s="34" t="s">
        <v>49</v>
      </c>
      <c r="S421" s="35" t="n">
        <f>1321</f>
        <v>1321.0</v>
      </c>
      <c r="T421" s="32" t="n">
        <f>48760626</f>
        <v>4.8760626E7</v>
      </c>
      <c r="U421" s="32" t="n">
        <f>43680005</f>
        <v>4.3680005E7</v>
      </c>
      <c r="V421" s="32" t="n">
        <f>64026625051</f>
        <v>6.4026625051E10</v>
      </c>
      <c r="W421" s="32" t="n">
        <f>57368670525</f>
        <v>5.7368670525E10</v>
      </c>
      <c r="X421" s="36" t="n">
        <f>22</f>
        <v>22.0</v>
      </c>
    </row>
    <row r="422">
      <c r="A422" s="27" t="s">
        <v>42</v>
      </c>
      <c r="B422" s="27" t="s">
        <v>1314</v>
      </c>
      <c r="C422" s="27" t="s">
        <v>1315</v>
      </c>
      <c r="D422" s="27" t="s">
        <v>1316</v>
      </c>
      <c r="E422" s="28" t="s">
        <v>46</v>
      </c>
      <c r="F422" s="29" t="s">
        <v>46</v>
      </c>
      <c r="G422" s="30" t="s">
        <v>46</v>
      </c>
      <c r="H422" s="31"/>
      <c r="I422" s="31" t="s">
        <v>47</v>
      </c>
      <c r="J422" s="32" t="n">
        <v>10.0</v>
      </c>
      <c r="K422" s="33" t="n">
        <f>1145</f>
        <v>1145.0</v>
      </c>
      <c r="L422" s="34" t="s">
        <v>50</v>
      </c>
      <c r="M422" s="33" t="n">
        <f>1193.5</f>
        <v>1193.5</v>
      </c>
      <c r="N422" s="34" t="s">
        <v>203</v>
      </c>
      <c r="O422" s="33" t="n">
        <f>1136.5</f>
        <v>1136.5</v>
      </c>
      <c r="P422" s="34" t="s">
        <v>69</v>
      </c>
      <c r="Q422" s="33" t="n">
        <f>1181</f>
        <v>1181.0</v>
      </c>
      <c r="R422" s="34" t="s">
        <v>49</v>
      </c>
      <c r="S422" s="35" t="n">
        <f>1159.13</f>
        <v>1159.13</v>
      </c>
      <c r="T422" s="32" t="n">
        <f>87650</f>
        <v>87650.0</v>
      </c>
      <c r="U422" s="32" t="n">
        <f>86520</f>
        <v>86520.0</v>
      </c>
      <c r="V422" s="32" t="n">
        <f>101304706</f>
        <v>1.01304706E8</v>
      </c>
      <c r="W422" s="32" t="n">
        <f>99999816</f>
        <v>9.9999816E7</v>
      </c>
      <c r="X422" s="36" t="n">
        <f>15</f>
        <v>15.0</v>
      </c>
    </row>
    <row r="423">
      <c r="A423" s="27" t="s">
        <v>42</v>
      </c>
      <c r="B423" s="27" t="s">
        <v>1317</v>
      </c>
      <c r="C423" s="27" t="s">
        <v>1318</v>
      </c>
      <c r="D423" s="27" t="s">
        <v>1319</v>
      </c>
      <c r="E423" s="28" t="s">
        <v>46</v>
      </c>
      <c r="F423" s="29" t="s">
        <v>46</v>
      </c>
      <c r="G423" s="30" t="s">
        <v>46</v>
      </c>
      <c r="H423" s="31"/>
      <c r="I423" s="31" t="s">
        <v>47</v>
      </c>
      <c r="J423" s="32" t="n">
        <v>1.0</v>
      </c>
      <c r="K423" s="33" t="n">
        <f>2200</f>
        <v>2200.0</v>
      </c>
      <c r="L423" s="34" t="s">
        <v>48</v>
      </c>
      <c r="M423" s="33" t="n">
        <f>2329</f>
        <v>2329.0</v>
      </c>
      <c r="N423" s="34" t="s">
        <v>106</v>
      </c>
      <c r="O423" s="33" t="n">
        <f>2193</f>
        <v>2193.0</v>
      </c>
      <c r="P423" s="34" t="s">
        <v>48</v>
      </c>
      <c r="Q423" s="33" t="n">
        <f>2324</f>
        <v>2324.0</v>
      </c>
      <c r="R423" s="34" t="s">
        <v>49</v>
      </c>
      <c r="S423" s="35" t="n">
        <f>2269.18</f>
        <v>2269.18</v>
      </c>
      <c r="T423" s="32" t="n">
        <f>31386</f>
        <v>31386.0</v>
      </c>
      <c r="U423" s="32" t="n">
        <f>8900</f>
        <v>8900.0</v>
      </c>
      <c r="V423" s="32" t="n">
        <f>70844604</f>
        <v>7.0844604E7</v>
      </c>
      <c r="W423" s="32" t="n">
        <f>19917233</f>
        <v>1.9917233E7</v>
      </c>
      <c r="X423" s="36" t="n">
        <f>22</f>
        <v>22.0</v>
      </c>
    </row>
    <row r="424">
      <c r="A424" s="27" t="s">
        <v>42</v>
      </c>
      <c r="B424" s="27" t="s">
        <v>1320</v>
      </c>
      <c r="C424" s="27" t="s">
        <v>1321</v>
      </c>
      <c r="D424" s="27" t="s">
        <v>1322</v>
      </c>
      <c r="E424" s="28" t="s">
        <v>46</v>
      </c>
      <c r="F424" s="29" t="s">
        <v>46</v>
      </c>
      <c r="G424" s="30" t="s">
        <v>46</v>
      </c>
      <c r="H424" s="31"/>
      <c r="I424" s="31" t="s">
        <v>47</v>
      </c>
      <c r="J424" s="32" t="n">
        <v>1.0</v>
      </c>
      <c r="K424" s="33" t="n">
        <f>2116</f>
        <v>2116.0</v>
      </c>
      <c r="L424" s="34" t="s">
        <v>48</v>
      </c>
      <c r="M424" s="33" t="n">
        <f>2200</f>
        <v>2200.0</v>
      </c>
      <c r="N424" s="34" t="s">
        <v>106</v>
      </c>
      <c r="O424" s="33" t="n">
        <f>2082</f>
        <v>2082.0</v>
      </c>
      <c r="P424" s="34" t="s">
        <v>50</v>
      </c>
      <c r="Q424" s="33" t="n">
        <f>2149</f>
        <v>2149.0</v>
      </c>
      <c r="R424" s="34" t="s">
        <v>49</v>
      </c>
      <c r="S424" s="35" t="n">
        <f>2142.36</f>
        <v>2142.36</v>
      </c>
      <c r="T424" s="32" t="n">
        <f>127064</f>
        <v>127064.0</v>
      </c>
      <c r="U424" s="32" t="str">
        <f>"－"</f>
        <v>－</v>
      </c>
      <c r="V424" s="32" t="n">
        <f>272171697</f>
        <v>2.72171697E8</v>
      </c>
      <c r="W424" s="32" t="str">
        <f>"－"</f>
        <v>－</v>
      </c>
      <c r="X424" s="36" t="n">
        <f>22</f>
        <v>22.0</v>
      </c>
    </row>
    <row r="425">
      <c r="A425" s="27" t="s">
        <v>42</v>
      </c>
      <c r="B425" s="27" t="s">
        <v>1323</v>
      </c>
      <c r="C425" s="27" t="s">
        <v>1324</v>
      </c>
      <c r="D425" s="27" t="s">
        <v>1325</v>
      </c>
      <c r="E425" s="28" t="s">
        <v>46</v>
      </c>
      <c r="F425" s="29" t="s">
        <v>46</v>
      </c>
      <c r="G425" s="30" t="s">
        <v>46</v>
      </c>
      <c r="H425" s="31"/>
      <c r="I425" s="31" t="s">
        <v>47</v>
      </c>
      <c r="J425" s="32" t="n">
        <v>1.0</v>
      </c>
      <c r="K425" s="33" t="n">
        <f>5080</f>
        <v>5080.0</v>
      </c>
      <c r="L425" s="34" t="s">
        <v>48</v>
      </c>
      <c r="M425" s="33" t="n">
        <f>5334</f>
        <v>5334.0</v>
      </c>
      <c r="N425" s="34" t="s">
        <v>156</v>
      </c>
      <c r="O425" s="33" t="n">
        <f>5080</f>
        <v>5080.0</v>
      </c>
      <c r="P425" s="34" t="s">
        <v>48</v>
      </c>
      <c r="Q425" s="33" t="n">
        <f>5156</f>
        <v>5156.0</v>
      </c>
      <c r="R425" s="34" t="s">
        <v>79</v>
      </c>
      <c r="S425" s="35" t="n">
        <f>5150.19</f>
        <v>5150.19</v>
      </c>
      <c r="T425" s="32" t="n">
        <f>3758</f>
        <v>3758.0</v>
      </c>
      <c r="U425" s="32" t="str">
        <f>"－"</f>
        <v>－</v>
      </c>
      <c r="V425" s="32" t="n">
        <f>19417110</f>
        <v>1.941711E7</v>
      </c>
      <c r="W425" s="32" t="str">
        <f>"－"</f>
        <v>－</v>
      </c>
      <c r="X425" s="36" t="n">
        <f>16</f>
        <v>16.0</v>
      </c>
    </row>
    <row r="426">
      <c r="A426" s="27" t="s">
        <v>42</v>
      </c>
      <c r="B426" s="27" t="s">
        <v>1326</v>
      </c>
      <c r="C426" s="27" t="s">
        <v>1327</v>
      </c>
      <c r="D426" s="27" t="s">
        <v>1328</v>
      </c>
      <c r="E426" s="28" t="s">
        <v>46</v>
      </c>
      <c r="F426" s="29" t="s">
        <v>46</v>
      </c>
      <c r="G426" s="30" t="s">
        <v>46</v>
      </c>
      <c r="H426" s="31"/>
      <c r="I426" s="31" t="s">
        <v>47</v>
      </c>
      <c r="J426" s="32" t="n">
        <v>1.0</v>
      </c>
      <c r="K426" s="33" t="n">
        <f>1124</f>
        <v>1124.0</v>
      </c>
      <c r="L426" s="34" t="s">
        <v>48</v>
      </c>
      <c r="M426" s="33" t="n">
        <f>1235</f>
        <v>1235.0</v>
      </c>
      <c r="N426" s="34" t="s">
        <v>49</v>
      </c>
      <c r="O426" s="33" t="n">
        <f>1084</f>
        <v>1084.0</v>
      </c>
      <c r="P426" s="34" t="s">
        <v>586</v>
      </c>
      <c r="Q426" s="33" t="n">
        <f>1207</f>
        <v>1207.0</v>
      </c>
      <c r="R426" s="34" t="s">
        <v>49</v>
      </c>
      <c r="S426" s="35" t="n">
        <f>1165.45</f>
        <v>1165.45</v>
      </c>
      <c r="T426" s="32" t="n">
        <f>42722</f>
        <v>42722.0</v>
      </c>
      <c r="U426" s="32" t="str">
        <f>"－"</f>
        <v>－</v>
      </c>
      <c r="V426" s="32" t="n">
        <f>49954164</f>
        <v>4.9954164E7</v>
      </c>
      <c r="W426" s="32" t="str">
        <f>"－"</f>
        <v>－</v>
      </c>
      <c r="X426" s="36" t="n">
        <f>22</f>
        <v>22.0</v>
      </c>
    </row>
    <row r="427">
      <c r="A427" s="27" t="s">
        <v>42</v>
      </c>
      <c r="B427" s="27" t="s">
        <v>1329</v>
      </c>
      <c r="C427" s="27" t="s">
        <v>1330</v>
      </c>
      <c r="D427" s="27" t="s">
        <v>1331</v>
      </c>
      <c r="E427" s="28" t="s">
        <v>46</v>
      </c>
      <c r="F427" s="29" t="s">
        <v>46</v>
      </c>
      <c r="G427" s="30" t="s">
        <v>46</v>
      </c>
      <c r="H427" s="31"/>
      <c r="I427" s="31" t="s">
        <v>47</v>
      </c>
      <c r="J427" s="32" t="n">
        <v>1.0</v>
      </c>
      <c r="K427" s="33" t="n">
        <f>1272</f>
        <v>1272.0</v>
      </c>
      <c r="L427" s="34" t="s">
        <v>48</v>
      </c>
      <c r="M427" s="33" t="n">
        <f>1359</f>
        <v>1359.0</v>
      </c>
      <c r="N427" s="34" t="s">
        <v>116</v>
      </c>
      <c r="O427" s="33" t="n">
        <f>1166</f>
        <v>1166.0</v>
      </c>
      <c r="P427" s="34" t="s">
        <v>61</v>
      </c>
      <c r="Q427" s="33" t="n">
        <f>1226</f>
        <v>1226.0</v>
      </c>
      <c r="R427" s="34" t="s">
        <v>49</v>
      </c>
      <c r="S427" s="35" t="n">
        <f>1255.41</f>
        <v>1255.41</v>
      </c>
      <c r="T427" s="32" t="n">
        <f>4444639</f>
        <v>4444639.0</v>
      </c>
      <c r="U427" s="32" t="n">
        <f>13000</f>
        <v>13000.0</v>
      </c>
      <c r="V427" s="32" t="n">
        <f>5648983401</f>
        <v>5.648983401E9</v>
      </c>
      <c r="W427" s="32" t="n">
        <f>16003000</f>
        <v>1.6003E7</v>
      </c>
      <c r="X427" s="36" t="n">
        <f>22</f>
        <v>22.0</v>
      </c>
    </row>
    <row r="428">
      <c r="A428" s="27" t="s">
        <v>42</v>
      </c>
      <c r="B428" s="27" t="s">
        <v>1332</v>
      </c>
      <c r="C428" s="27" t="s">
        <v>1333</v>
      </c>
      <c r="D428" s="27" t="s">
        <v>1334</v>
      </c>
      <c r="E428" s="28" t="s">
        <v>46</v>
      </c>
      <c r="F428" s="29" t="s">
        <v>46</v>
      </c>
      <c r="G428" s="30" t="s">
        <v>46</v>
      </c>
      <c r="H428" s="31"/>
      <c r="I428" s="31" t="s">
        <v>47</v>
      </c>
      <c r="J428" s="32" t="n">
        <v>1.0</v>
      </c>
      <c r="K428" s="33" t="n">
        <f>2081</f>
        <v>2081.0</v>
      </c>
      <c r="L428" s="34" t="s">
        <v>48</v>
      </c>
      <c r="M428" s="33" t="n">
        <f>2188</f>
        <v>2188.0</v>
      </c>
      <c r="N428" s="34" t="s">
        <v>49</v>
      </c>
      <c r="O428" s="33" t="n">
        <f>2061</f>
        <v>2061.0</v>
      </c>
      <c r="P428" s="34" t="s">
        <v>48</v>
      </c>
      <c r="Q428" s="33" t="n">
        <f>2188</f>
        <v>2188.0</v>
      </c>
      <c r="R428" s="34" t="s">
        <v>49</v>
      </c>
      <c r="S428" s="35" t="n">
        <f>2124.91</f>
        <v>2124.91</v>
      </c>
      <c r="T428" s="32" t="n">
        <f>6893993</f>
        <v>6893993.0</v>
      </c>
      <c r="U428" s="32" t="n">
        <f>6075500</f>
        <v>6075500.0</v>
      </c>
      <c r="V428" s="32" t="n">
        <f>14744813637</f>
        <v>1.4744813637E10</v>
      </c>
      <c r="W428" s="32" t="n">
        <f>12992754927</f>
        <v>1.2992754927E10</v>
      </c>
      <c r="X428" s="36" t="n">
        <f>22</f>
        <v>22.0</v>
      </c>
    </row>
    <row r="429">
      <c r="A429" s="27" t="s">
        <v>42</v>
      </c>
      <c r="B429" s="27" t="s">
        <v>1335</v>
      </c>
      <c r="C429" s="27" t="s">
        <v>1336</v>
      </c>
      <c r="D429" s="27" t="s">
        <v>1337</v>
      </c>
      <c r="E429" s="28" t="s">
        <v>46</v>
      </c>
      <c r="F429" s="29" t="s">
        <v>46</v>
      </c>
      <c r="G429" s="30" t="s">
        <v>46</v>
      </c>
      <c r="H429" s="31"/>
      <c r="I429" s="31" t="s">
        <v>47</v>
      </c>
      <c r="J429" s="32" t="n">
        <v>1.0</v>
      </c>
      <c r="K429" s="33" t="n">
        <f>2024</f>
        <v>2024.0</v>
      </c>
      <c r="L429" s="34" t="s">
        <v>69</v>
      </c>
      <c r="M429" s="33" t="n">
        <f>2064</f>
        <v>2064.0</v>
      </c>
      <c r="N429" s="34" t="s">
        <v>156</v>
      </c>
      <c r="O429" s="33" t="n">
        <f>2014</f>
        <v>2014.0</v>
      </c>
      <c r="P429" s="34" t="s">
        <v>229</v>
      </c>
      <c r="Q429" s="33" t="n">
        <f>2018</f>
        <v>2018.0</v>
      </c>
      <c r="R429" s="34" t="s">
        <v>49</v>
      </c>
      <c r="S429" s="35" t="n">
        <f>2022.38</f>
        <v>2022.38</v>
      </c>
      <c r="T429" s="32" t="n">
        <f>3265599</f>
        <v>3265599.0</v>
      </c>
      <c r="U429" s="32" t="n">
        <f>2970000</f>
        <v>2970000.0</v>
      </c>
      <c r="V429" s="32" t="n">
        <f>6600953941</f>
        <v>6.600953941E9</v>
      </c>
      <c r="W429" s="32" t="n">
        <f>6003558000</f>
        <v>6.003558E9</v>
      </c>
      <c r="X429" s="36" t="n">
        <f>16</f>
        <v>16.0</v>
      </c>
    </row>
    <row r="430">
      <c r="A430" s="27" t="s">
        <v>42</v>
      </c>
      <c r="B430" s="27" t="s">
        <v>1338</v>
      </c>
      <c r="C430" s="27" t="s">
        <v>1339</v>
      </c>
      <c r="D430" s="27" t="s">
        <v>1340</v>
      </c>
      <c r="E430" s="28" t="s">
        <v>46</v>
      </c>
      <c r="F430" s="29" t="s">
        <v>46</v>
      </c>
      <c r="G430" s="30" t="s">
        <v>46</v>
      </c>
      <c r="H430" s="31"/>
      <c r="I430" s="31" t="s">
        <v>47</v>
      </c>
      <c r="J430" s="32" t="n">
        <v>1.0</v>
      </c>
      <c r="K430" s="33" t="n">
        <f>2160</f>
        <v>2160.0</v>
      </c>
      <c r="L430" s="34" t="s">
        <v>48</v>
      </c>
      <c r="M430" s="33" t="n">
        <f>2309</f>
        <v>2309.0</v>
      </c>
      <c r="N430" s="34" t="s">
        <v>216</v>
      </c>
      <c r="O430" s="33" t="n">
        <f>2136</f>
        <v>2136.0</v>
      </c>
      <c r="P430" s="34" t="s">
        <v>48</v>
      </c>
      <c r="Q430" s="33" t="n">
        <f>2209</f>
        <v>2209.0</v>
      </c>
      <c r="R430" s="34" t="s">
        <v>49</v>
      </c>
      <c r="S430" s="35" t="n">
        <f>2200.55</f>
        <v>2200.55</v>
      </c>
      <c r="T430" s="32" t="n">
        <f>85737</f>
        <v>85737.0</v>
      </c>
      <c r="U430" s="32" t="str">
        <f>"－"</f>
        <v>－</v>
      </c>
      <c r="V430" s="32" t="n">
        <f>191180064</f>
        <v>1.91180064E8</v>
      </c>
      <c r="W430" s="32" t="str">
        <f>"－"</f>
        <v>－</v>
      </c>
      <c r="X430" s="36" t="n">
        <f>22</f>
        <v>22.0</v>
      </c>
    </row>
    <row r="431">
      <c r="A431" s="27" t="s">
        <v>42</v>
      </c>
      <c r="B431" s="27" t="s">
        <v>1341</v>
      </c>
      <c r="C431" s="27" t="s">
        <v>1342</v>
      </c>
      <c r="D431" s="27" t="s">
        <v>1343</v>
      </c>
      <c r="E431" s="28" t="s">
        <v>46</v>
      </c>
      <c r="F431" s="29" t="s">
        <v>46</v>
      </c>
      <c r="G431" s="30" t="s">
        <v>46</v>
      </c>
      <c r="H431" s="31"/>
      <c r="I431" s="31" t="s">
        <v>416</v>
      </c>
      <c r="J431" s="32" t="n">
        <v>10.0</v>
      </c>
      <c r="K431" s="33" t="n">
        <f>213.5</f>
        <v>213.5</v>
      </c>
      <c r="L431" s="34" t="s">
        <v>48</v>
      </c>
      <c r="M431" s="33" t="n">
        <f>237</f>
        <v>237.0</v>
      </c>
      <c r="N431" s="34" t="s">
        <v>49</v>
      </c>
      <c r="O431" s="33" t="n">
        <f>211</f>
        <v>211.0</v>
      </c>
      <c r="P431" s="34" t="s">
        <v>48</v>
      </c>
      <c r="Q431" s="33" t="n">
        <f>237</f>
        <v>237.0</v>
      </c>
      <c r="R431" s="34" t="s">
        <v>49</v>
      </c>
      <c r="S431" s="35" t="n">
        <f>222.96</f>
        <v>222.96</v>
      </c>
      <c r="T431" s="32" t="n">
        <f>6103980</f>
        <v>6103980.0</v>
      </c>
      <c r="U431" s="32" t="n">
        <f>130</f>
        <v>130.0</v>
      </c>
      <c r="V431" s="32" t="n">
        <f>1351920734</f>
        <v>1.351920734E9</v>
      </c>
      <c r="W431" s="32" t="n">
        <f>26597</f>
        <v>26597.0</v>
      </c>
      <c r="X431" s="36" t="n">
        <f>22</f>
        <v>22.0</v>
      </c>
    </row>
    <row r="432">
      <c r="A432" s="27" t="s">
        <v>42</v>
      </c>
      <c r="B432" s="27" t="s">
        <v>1344</v>
      </c>
      <c r="C432" s="27" t="s">
        <v>1345</v>
      </c>
      <c r="D432" s="27" t="s">
        <v>1346</v>
      </c>
      <c r="E432" s="28" t="s">
        <v>46</v>
      </c>
      <c r="F432" s="29" t="s">
        <v>46</v>
      </c>
      <c r="G432" s="30" t="s">
        <v>46</v>
      </c>
      <c r="H432" s="31"/>
      <c r="I432" s="31" t="s">
        <v>416</v>
      </c>
      <c r="J432" s="32" t="n">
        <v>10.0</v>
      </c>
      <c r="K432" s="33" t="n">
        <f>563.9</f>
        <v>563.9</v>
      </c>
      <c r="L432" s="34" t="s">
        <v>48</v>
      </c>
      <c r="M432" s="33" t="n">
        <f>563.9</f>
        <v>563.9</v>
      </c>
      <c r="N432" s="34" t="s">
        <v>48</v>
      </c>
      <c r="O432" s="33" t="n">
        <f>520</f>
        <v>520.0</v>
      </c>
      <c r="P432" s="34" t="s">
        <v>61</v>
      </c>
      <c r="Q432" s="33" t="n">
        <f>532.8</f>
        <v>532.8</v>
      </c>
      <c r="R432" s="34" t="s">
        <v>49</v>
      </c>
      <c r="S432" s="35" t="n">
        <f>539.51</f>
        <v>539.51</v>
      </c>
      <c r="T432" s="32" t="n">
        <f>40120</f>
        <v>40120.0</v>
      </c>
      <c r="U432" s="32" t="str">
        <f>"－"</f>
        <v>－</v>
      </c>
      <c r="V432" s="32" t="n">
        <f>21563239</f>
        <v>2.1563239E7</v>
      </c>
      <c r="W432" s="32" t="str">
        <f>"－"</f>
        <v>－</v>
      </c>
      <c r="X432" s="36" t="n">
        <f>22</f>
        <v>22.0</v>
      </c>
    </row>
    <row r="433">
      <c r="A433" s="27" t="s">
        <v>42</v>
      </c>
      <c r="B433" s="27" t="s">
        <v>1347</v>
      </c>
      <c r="C433" s="27" t="s">
        <v>1348</v>
      </c>
      <c r="D433" s="27" t="s">
        <v>1349</v>
      </c>
      <c r="E433" s="28" t="s">
        <v>46</v>
      </c>
      <c r="F433" s="29" t="s">
        <v>46</v>
      </c>
      <c r="G433" s="30" t="s">
        <v>46</v>
      </c>
      <c r="H433" s="31"/>
      <c r="I433" s="31" t="s">
        <v>416</v>
      </c>
      <c r="J433" s="32" t="n">
        <v>10.0</v>
      </c>
      <c r="K433" s="33" t="n">
        <f>608</f>
        <v>608.0</v>
      </c>
      <c r="L433" s="34" t="s">
        <v>48</v>
      </c>
      <c r="M433" s="33" t="n">
        <f>610.9</f>
        <v>610.9</v>
      </c>
      <c r="N433" s="34" t="s">
        <v>68</v>
      </c>
      <c r="O433" s="33" t="n">
        <f>556</f>
        <v>556.0</v>
      </c>
      <c r="P433" s="34" t="s">
        <v>156</v>
      </c>
      <c r="Q433" s="33" t="n">
        <f>603</f>
        <v>603.0</v>
      </c>
      <c r="R433" s="34" t="s">
        <v>49</v>
      </c>
      <c r="S433" s="35" t="n">
        <f>590.81</f>
        <v>590.81</v>
      </c>
      <c r="T433" s="32" t="n">
        <f>635800</f>
        <v>635800.0</v>
      </c>
      <c r="U433" s="32" t="n">
        <f>176000</f>
        <v>176000.0</v>
      </c>
      <c r="V433" s="32" t="n">
        <f>371780621</f>
        <v>3.71780621E8</v>
      </c>
      <c r="W433" s="32" t="n">
        <f>100283920</f>
        <v>1.0028392E8</v>
      </c>
      <c r="X433" s="36" t="n">
        <f>22</f>
        <v>22.0</v>
      </c>
    </row>
    <row r="434">
      <c r="A434" s="27" t="s">
        <v>42</v>
      </c>
      <c r="B434" s="27" t="s">
        <v>1350</v>
      </c>
      <c r="C434" s="27" t="s">
        <v>1351</v>
      </c>
      <c r="D434" s="27" t="s">
        <v>1352</v>
      </c>
      <c r="E434" s="28" t="s">
        <v>46</v>
      </c>
      <c r="F434" s="29" t="s">
        <v>46</v>
      </c>
      <c r="G434" s="30" t="s">
        <v>46</v>
      </c>
      <c r="H434" s="31"/>
      <c r="I434" s="31" t="s">
        <v>416</v>
      </c>
      <c r="J434" s="32" t="n">
        <v>10.0</v>
      </c>
      <c r="K434" s="33" t="n">
        <f>519.9</f>
        <v>519.9</v>
      </c>
      <c r="L434" s="34" t="s">
        <v>48</v>
      </c>
      <c r="M434" s="33" t="n">
        <f>552.2</f>
        <v>552.2</v>
      </c>
      <c r="N434" s="34" t="s">
        <v>106</v>
      </c>
      <c r="O434" s="33" t="n">
        <f>510.1</f>
        <v>510.1</v>
      </c>
      <c r="P434" s="34" t="s">
        <v>156</v>
      </c>
      <c r="Q434" s="33" t="n">
        <f>531.1</f>
        <v>531.1</v>
      </c>
      <c r="R434" s="34" t="s">
        <v>49</v>
      </c>
      <c r="S434" s="35" t="n">
        <f>524.91</f>
        <v>524.91</v>
      </c>
      <c r="T434" s="32" t="n">
        <f>19840</f>
        <v>19840.0</v>
      </c>
      <c r="U434" s="32" t="str">
        <f>"－"</f>
        <v>－</v>
      </c>
      <c r="V434" s="32" t="n">
        <f>10384213</f>
        <v>1.0384213E7</v>
      </c>
      <c r="W434" s="32" t="str">
        <f>"－"</f>
        <v>－</v>
      </c>
      <c r="X434" s="36" t="n">
        <f>22</f>
        <v>22.0</v>
      </c>
    </row>
    <row r="435">
      <c r="A435" s="27" t="s">
        <v>42</v>
      </c>
      <c r="B435" s="27" t="s">
        <v>1353</v>
      </c>
      <c r="C435" s="27" t="s">
        <v>1354</v>
      </c>
      <c r="D435" s="27" t="s">
        <v>1355</v>
      </c>
      <c r="E435" s="28" t="s">
        <v>46</v>
      </c>
      <c r="F435" s="29" t="s">
        <v>46</v>
      </c>
      <c r="G435" s="30" t="s">
        <v>46</v>
      </c>
      <c r="H435" s="31"/>
      <c r="I435" s="31" t="s">
        <v>416</v>
      </c>
      <c r="J435" s="32" t="n">
        <v>1.0</v>
      </c>
      <c r="K435" s="33" t="n">
        <f>1730</f>
        <v>1730.0</v>
      </c>
      <c r="L435" s="34" t="s">
        <v>48</v>
      </c>
      <c r="M435" s="33" t="n">
        <f>1732</f>
        <v>1732.0</v>
      </c>
      <c r="N435" s="34" t="s">
        <v>106</v>
      </c>
      <c r="O435" s="33" t="n">
        <f>1629</f>
        <v>1629.0</v>
      </c>
      <c r="P435" s="34" t="s">
        <v>156</v>
      </c>
      <c r="Q435" s="33" t="n">
        <f>1715</f>
        <v>1715.0</v>
      </c>
      <c r="R435" s="34" t="s">
        <v>49</v>
      </c>
      <c r="S435" s="35" t="n">
        <f>1685.36</f>
        <v>1685.36</v>
      </c>
      <c r="T435" s="32" t="n">
        <f>2361265</f>
        <v>2361265.0</v>
      </c>
      <c r="U435" s="32" t="n">
        <f>741106</f>
        <v>741106.0</v>
      </c>
      <c r="V435" s="32" t="n">
        <f>3984825903</f>
        <v>3.984825903E9</v>
      </c>
      <c r="W435" s="32" t="n">
        <f>1256779283</f>
        <v>1.256779283E9</v>
      </c>
      <c r="X435" s="36" t="n">
        <f>22</f>
        <v>22.0</v>
      </c>
    </row>
    <row r="436">
      <c r="A436" s="27" t="s">
        <v>42</v>
      </c>
      <c r="B436" s="27" t="s">
        <v>1356</v>
      </c>
      <c r="C436" s="27" t="s">
        <v>1357</v>
      </c>
      <c r="D436" s="27" t="s">
        <v>1358</v>
      </c>
      <c r="E436" s="28" t="s">
        <v>46</v>
      </c>
      <c r="F436" s="29" t="s">
        <v>46</v>
      </c>
      <c r="G436" s="30" t="s">
        <v>46</v>
      </c>
      <c r="H436" s="31"/>
      <c r="I436" s="31" t="s">
        <v>416</v>
      </c>
      <c r="J436" s="32" t="n">
        <v>1.0</v>
      </c>
      <c r="K436" s="33" t="n">
        <f>108000</f>
        <v>108000.0</v>
      </c>
      <c r="L436" s="34" t="s">
        <v>48</v>
      </c>
      <c r="M436" s="33" t="n">
        <f>108600</f>
        <v>108600.0</v>
      </c>
      <c r="N436" s="34" t="s">
        <v>50</v>
      </c>
      <c r="O436" s="33" t="n">
        <f>102700</f>
        <v>102700.0</v>
      </c>
      <c r="P436" s="34" t="s">
        <v>156</v>
      </c>
      <c r="Q436" s="33" t="n">
        <f>105200</f>
        <v>105200.0</v>
      </c>
      <c r="R436" s="34" t="s">
        <v>49</v>
      </c>
      <c r="S436" s="35" t="n">
        <f>105595.45</f>
        <v>105595.45</v>
      </c>
      <c r="T436" s="32" t="n">
        <f>51670</f>
        <v>51670.0</v>
      </c>
      <c r="U436" s="32" t="n">
        <f>4839</f>
        <v>4839.0</v>
      </c>
      <c r="V436" s="32" t="n">
        <f>5464284611</f>
        <v>5.464284611E9</v>
      </c>
      <c r="W436" s="32" t="n">
        <f>516506411</f>
        <v>5.16506411E8</v>
      </c>
      <c r="X436" s="36" t="n">
        <f>22</f>
        <v>22.0</v>
      </c>
    </row>
    <row r="437">
      <c r="A437" s="27" t="s">
        <v>42</v>
      </c>
      <c r="B437" s="27" t="s">
        <v>1359</v>
      </c>
      <c r="C437" s="27" t="s">
        <v>1360</v>
      </c>
      <c r="D437" s="27" t="s">
        <v>1361</v>
      </c>
      <c r="E437" s="28" t="s">
        <v>46</v>
      </c>
      <c r="F437" s="29" t="s">
        <v>46</v>
      </c>
      <c r="G437" s="30" t="s">
        <v>46</v>
      </c>
      <c r="H437" s="31"/>
      <c r="I437" s="31" t="s">
        <v>416</v>
      </c>
      <c r="J437" s="32" t="n">
        <v>1.0</v>
      </c>
      <c r="K437" s="33" t="n">
        <f>1315</f>
        <v>1315.0</v>
      </c>
      <c r="L437" s="34" t="s">
        <v>48</v>
      </c>
      <c r="M437" s="33" t="n">
        <f>1435</f>
        <v>1435.0</v>
      </c>
      <c r="N437" s="34" t="s">
        <v>48</v>
      </c>
      <c r="O437" s="33" t="n">
        <f>1150</f>
        <v>1150.0</v>
      </c>
      <c r="P437" s="34" t="s">
        <v>61</v>
      </c>
      <c r="Q437" s="33" t="n">
        <f>1222</f>
        <v>1222.0</v>
      </c>
      <c r="R437" s="34" t="s">
        <v>49</v>
      </c>
      <c r="S437" s="35" t="n">
        <f>1249.18</f>
        <v>1249.18</v>
      </c>
      <c r="T437" s="32" t="n">
        <f>3613850</f>
        <v>3613850.0</v>
      </c>
      <c r="U437" s="32" t="str">
        <f>"－"</f>
        <v>－</v>
      </c>
      <c r="V437" s="32" t="n">
        <f>4558393732</f>
        <v>4.558393732E9</v>
      </c>
      <c r="W437" s="32" t="str">
        <f>"－"</f>
        <v>－</v>
      </c>
      <c r="X437" s="36" t="n">
        <f>22</f>
        <v>22.0</v>
      </c>
    </row>
    <row r="438">
      <c r="A438" s="27" t="s">
        <v>42</v>
      </c>
      <c r="B438" s="27" t="s">
        <v>1362</v>
      </c>
      <c r="C438" s="27" t="s">
        <v>1363</v>
      </c>
      <c r="D438" s="27" t="s">
        <v>1364</v>
      </c>
      <c r="E438" s="28" t="s">
        <v>46</v>
      </c>
      <c r="F438" s="29" t="s">
        <v>46</v>
      </c>
      <c r="G438" s="30" t="s">
        <v>46</v>
      </c>
      <c r="H438" s="31"/>
      <c r="I438" s="31" t="s">
        <v>416</v>
      </c>
      <c r="J438" s="32" t="n">
        <v>10.0</v>
      </c>
      <c r="K438" s="33" t="n">
        <f>208.1</f>
        <v>208.1</v>
      </c>
      <c r="L438" s="34" t="s">
        <v>48</v>
      </c>
      <c r="M438" s="33" t="n">
        <f>240</f>
        <v>240.0</v>
      </c>
      <c r="N438" s="34" t="s">
        <v>79</v>
      </c>
      <c r="O438" s="33" t="n">
        <f>206.2</f>
        <v>206.2</v>
      </c>
      <c r="P438" s="34" t="s">
        <v>48</v>
      </c>
      <c r="Q438" s="33" t="n">
        <f>237.1</f>
        <v>237.1</v>
      </c>
      <c r="R438" s="34" t="s">
        <v>49</v>
      </c>
      <c r="S438" s="35" t="n">
        <f>221.21</f>
        <v>221.21</v>
      </c>
      <c r="T438" s="32" t="n">
        <f>17163070</f>
        <v>1.716307E7</v>
      </c>
      <c r="U438" s="32" t="n">
        <f>700100</f>
        <v>700100.0</v>
      </c>
      <c r="V438" s="32" t="n">
        <f>3815218243</f>
        <v>3.815218243E9</v>
      </c>
      <c r="W438" s="32" t="n">
        <f>165971740</f>
        <v>1.6597174E8</v>
      </c>
      <c r="X438" s="36" t="n">
        <f>22</f>
        <v>22.0</v>
      </c>
    </row>
    <row r="439">
      <c r="A439" s="27" t="s">
        <v>42</v>
      </c>
      <c r="B439" s="27" t="s">
        <v>1365</v>
      </c>
      <c r="C439" s="27" t="s">
        <v>1366</v>
      </c>
      <c r="D439" s="27" t="s">
        <v>1367</v>
      </c>
      <c r="E439" s="28" t="s">
        <v>46</v>
      </c>
      <c r="F439" s="29" t="s">
        <v>46</v>
      </c>
      <c r="G439" s="30" t="s">
        <v>46</v>
      </c>
      <c r="H439" s="31"/>
      <c r="I439" s="31" t="s">
        <v>416</v>
      </c>
      <c r="J439" s="32" t="n">
        <v>1.0</v>
      </c>
      <c r="K439" s="33" t="n">
        <f>1991</f>
        <v>1991.0</v>
      </c>
      <c r="L439" s="34" t="s">
        <v>48</v>
      </c>
      <c r="M439" s="33" t="n">
        <f>2290</f>
        <v>2290.0</v>
      </c>
      <c r="N439" s="34" t="s">
        <v>79</v>
      </c>
      <c r="O439" s="33" t="n">
        <f>1990</f>
        <v>1990.0</v>
      </c>
      <c r="P439" s="34" t="s">
        <v>48</v>
      </c>
      <c r="Q439" s="33" t="n">
        <f>2290</f>
        <v>2290.0</v>
      </c>
      <c r="R439" s="34" t="s">
        <v>49</v>
      </c>
      <c r="S439" s="35" t="n">
        <f>2155.09</f>
        <v>2155.09</v>
      </c>
      <c r="T439" s="32" t="n">
        <f>298764</f>
        <v>298764.0</v>
      </c>
      <c r="U439" s="32" t="str">
        <f>"－"</f>
        <v>－</v>
      </c>
      <c r="V439" s="32" t="n">
        <f>634712746</f>
        <v>6.34712746E8</v>
      </c>
      <c r="W439" s="32" t="str">
        <f>"－"</f>
        <v>－</v>
      </c>
      <c r="X439" s="36" t="n">
        <f>22</f>
        <v>22.0</v>
      </c>
    </row>
    <row r="440">
      <c r="A440" s="27" t="s">
        <v>42</v>
      </c>
      <c r="B440" s="27" t="s">
        <v>1368</v>
      </c>
      <c r="C440" s="27" t="s">
        <v>1369</v>
      </c>
      <c r="D440" s="27" t="s">
        <v>1370</v>
      </c>
      <c r="E440" s="28" t="s">
        <v>46</v>
      </c>
      <c r="F440" s="29" t="s">
        <v>46</v>
      </c>
      <c r="G440" s="30" t="s">
        <v>46</v>
      </c>
      <c r="H440" s="31"/>
      <c r="I440" s="31" t="s">
        <v>416</v>
      </c>
      <c r="J440" s="32" t="n">
        <v>1.0</v>
      </c>
      <c r="K440" s="33" t="n">
        <f>2050</f>
        <v>2050.0</v>
      </c>
      <c r="L440" s="34" t="s">
        <v>48</v>
      </c>
      <c r="M440" s="33" t="n">
        <f>2399</f>
        <v>2399.0</v>
      </c>
      <c r="N440" s="34" t="s">
        <v>79</v>
      </c>
      <c r="O440" s="33" t="n">
        <f>2044</f>
        <v>2044.0</v>
      </c>
      <c r="P440" s="34" t="s">
        <v>48</v>
      </c>
      <c r="Q440" s="33" t="n">
        <f>2368</f>
        <v>2368.0</v>
      </c>
      <c r="R440" s="34" t="s">
        <v>49</v>
      </c>
      <c r="S440" s="35" t="n">
        <f>2216.91</f>
        <v>2216.91</v>
      </c>
      <c r="T440" s="32" t="n">
        <f>135450</f>
        <v>135450.0</v>
      </c>
      <c r="U440" s="32" t="str">
        <f>"－"</f>
        <v>－</v>
      </c>
      <c r="V440" s="32" t="n">
        <f>300349181</f>
        <v>3.00349181E8</v>
      </c>
      <c r="W440" s="32" t="str">
        <f>"－"</f>
        <v>－</v>
      </c>
      <c r="X440" s="36" t="n">
        <f>22</f>
        <v>22.0</v>
      </c>
    </row>
    <row r="441">
      <c r="A441" s="27" t="s">
        <v>42</v>
      </c>
      <c r="B441" s="27" t="s">
        <v>1371</v>
      </c>
      <c r="C441" s="27" t="s">
        <v>1372</v>
      </c>
      <c r="D441" s="27" t="s">
        <v>1373</v>
      </c>
      <c r="E441" s="28" t="s">
        <v>46</v>
      </c>
      <c r="F441" s="29" t="s">
        <v>46</v>
      </c>
      <c r="G441" s="30" t="s">
        <v>46</v>
      </c>
      <c r="H441" s="31"/>
      <c r="I441" s="31" t="s">
        <v>416</v>
      </c>
      <c r="J441" s="32" t="n">
        <v>10.0</v>
      </c>
      <c r="K441" s="33" t="n">
        <f>307.8</f>
        <v>307.8</v>
      </c>
      <c r="L441" s="34" t="s">
        <v>48</v>
      </c>
      <c r="M441" s="33" t="n">
        <f>351.1</f>
        <v>351.1</v>
      </c>
      <c r="N441" s="34" t="s">
        <v>61</v>
      </c>
      <c r="O441" s="33" t="n">
        <f>305.6</f>
        <v>305.6</v>
      </c>
      <c r="P441" s="34" t="s">
        <v>69</v>
      </c>
      <c r="Q441" s="33" t="n">
        <f>318.6</f>
        <v>318.6</v>
      </c>
      <c r="R441" s="34" t="s">
        <v>49</v>
      </c>
      <c r="S441" s="35" t="n">
        <f>323.29</f>
        <v>323.29</v>
      </c>
      <c r="T441" s="32" t="n">
        <f>12268620</f>
        <v>1.226862E7</v>
      </c>
      <c r="U441" s="32" t="n">
        <f>3870</f>
        <v>3870.0</v>
      </c>
      <c r="V441" s="32" t="n">
        <f>4031080781</f>
        <v>4.031080781E9</v>
      </c>
      <c r="W441" s="32" t="n">
        <f>1227666</f>
        <v>1227666.0</v>
      </c>
      <c r="X441" s="36" t="n">
        <f>22</f>
        <v>22.0</v>
      </c>
    </row>
    <row r="442">
      <c r="A442" s="27" t="s">
        <v>42</v>
      </c>
      <c r="B442" s="27" t="s">
        <v>1374</v>
      </c>
      <c r="C442" s="27" t="s">
        <v>1375</v>
      </c>
      <c r="D442" s="27" t="s">
        <v>1376</v>
      </c>
      <c r="E442" s="28" t="s">
        <v>46</v>
      </c>
      <c r="F442" s="29" t="s">
        <v>46</v>
      </c>
      <c r="G442" s="30" t="s">
        <v>46</v>
      </c>
      <c r="H442" s="31"/>
      <c r="I442" s="31" t="s">
        <v>416</v>
      </c>
      <c r="J442" s="32" t="n">
        <v>10.0</v>
      </c>
      <c r="K442" s="33" t="n">
        <f>306.9</f>
        <v>306.9</v>
      </c>
      <c r="L442" s="34" t="s">
        <v>48</v>
      </c>
      <c r="M442" s="33" t="n">
        <f>361</f>
        <v>361.0</v>
      </c>
      <c r="N442" s="34" t="s">
        <v>61</v>
      </c>
      <c r="O442" s="33" t="n">
        <f>304.1</f>
        <v>304.1</v>
      </c>
      <c r="P442" s="34" t="s">
        <v>69</v>
      </c>
      <c r="Q442" s="33" t="n">
        <f>331.5</f>
        <v>331.5</v>
      </c>
      <c r="R442" s="34" t="s">
        <v>49</v>
      </c>
      <c r="S442" s="35" t="n">
        <f>330</f>
        <v>330.0</v>
      </c>
      <c r="T442" s="32" t="n">
        <f>38757750</f>
        <v>3.875775E7</v>
      </c>
      <c r="U442" s="32" t="n">
        <f>1618720</f>
        <v>1618720.0</v>
      </c>
      <c r="V442" s="32" t="n">
        <f>13001068688</f>
        <v>1.3001068688E10</v>
      </c>
      <c r="W442" s="32" t="n">
        <f>525416441</f>
        <v>5.25416441E8</v>
      </c>
      <c r="X442" s="36" t="n">
        <f>22</f>
        <v>22.0</v>
      </c>
    </row>
    <row r="443">
      <c r="A443" s="27" t="s">
        <v>42</v>
      </c>
      <c r="B443" s="27" t="s">
        <v>1377</v>
      </c>
      <c r="C443" s="27" t="s">
        <v>1378</v>
      </c>
      <c r="D443" s="27" t="s">
        <v>1379</v>
      </c>
      <c r="E443" s="28" t="s">
        <v>1380</v>
      </c>
      <c r="F443" s="29" t="s">
        <v>1381</v>
      </c>
      <c r="G443" s="30" t="s">
        <v>1382</v>
      </c>
      <c r="H443" s="31"/>
      <c r="I443" s="31" t="s">
        <v>416</v>
      </c>
      <c r="J443" s="32" t="n">
        <v>1.0</v>
      </c>
      <c r="K443" s="33" t="n">
        <f>1011</f>
        <v>1011.0</v>
      </c>
      <c r="L443" s="34" t="s">
        <v>48</v>
      </c>
      <c r="M443" s="33" t="n">
        <f>1053</f>
        <v>1053.0</v>
      </c>
      <c r="N443" s="34" t="s">
        <v>233</v>
      </c>
      <c r="O443" s="33" t="n">
        <f>988</f>
        <v>988.0</v>
      </c>
      <c r="P443" s="34" t="s">
        <v>50</v>
      </c>
      <c r="Q443" s="33" t="n">
        <f>1035</f>
        <v>1035.0</v>
      </c>
      <c r="R443" s="34" t="s">
        <v>49</v>
      </c>
      <c r="S443" s="35" t="n">
        <f>1023.41</f>
        <v>1023.41</v>
      </c>
      <c r="T443" s="32" t="n">
        <f>10120279</f>
        <v>1.0120279E7</v>
      </c>
      <c r="U443" s="32" t="n">
        <f>9898000</f>
        <v>9898000.0</v>
      </c>
      <c r="V443" s="32" t="n">
        <f>10322925387</f>
        <v>1.0322925387E10</v>
      </c>
      <c r="W443" s="32" t="n">
        <f>10097518494</f>
        <v>1.0097518494E10</v>
      </c>
      <c r="X443" s="36" t="n">
        <f>22</f>
        <v>22.0</v>
      </c>
    </row>
    <row r="444">
      <c r="A444" s="27" t="s">
        <v>42</v>
      </c>
      <c r="B444" s="27" t="s">
        <v>1383</v>
      </c>
      <c r="C444" s="27" t="s">
        <v>1384</v>
      </c>
      <c r="D444" s="27" t="s">
        <v>1385</v>
      </c>
      <c r="E444" s="28" t="s">
        <v>1380</v>
      </c>
      <c r="F444" s="29" t="s">
        <v>1381</v>
      </c>
      <c r="G444" s="30" t="s">
        <v>1386</v>
      </c>
      <c r="H444" s="31"/>
      <c r="I444" s="31" t="s">
        <v>416</v>
      </c>
      <c r="J444" s="32" t="n">
        <v>1.0</v>
      </c>
      <c r="K444" s="33" t="n">
        <f>2068</f>
        <v>2068.0</v>
      </c>
      <c r="L444" s="34" t="s">
        <v>262</v>
      </c>
      <c r="M444" s="33" t="n">
        <f>2100</f>
        <v>2100.0</v>
      </c>
      <c r="N444" s="34" t="s">
        <v>233</v>
      </c>
      <c r="O444" s="33" t="n">
        <f>1973</f>
        <v>1973.0</v>
      </c>
      <c r="P444" s="34" t="s">
        <v>156</v>
      </c>
      <c r="Q444" s="33" t="n">
        <f>2047</f>
        <v>2047.0</v>
      </c>
      <c r="R444" s="34" t="s">
        <v>49</v>
      </c>
      <c r="S444" s="35" t="n">
        <f>2049.11</f>
        <v>2049.11</v>
      </c>
      <c r="T444" s="32" t="n">
        <f>1924957</f>
        <v>1924957.0</v>
      </c>
      <c r="U444" s="32" t="n">
        <f>1870</f>
        <v>1870.0</v>
      </c>
      <c r="V444" s="32" t="n">
        <f>3916249863</f>
        <v>3.916249863E9</v>
      </c>
      <c r="W444" s="32" t="n">
        <f>3801245</f>
        <v>3801245.0</v>
      </c>
      <c r="X444" s="36" t="n">
        <f>18</f>
        <v>18.0</v>
      </c>
    </row>
    <row r="445">
      <c r="A445" s="27" t="s">
        <v>42</v>
      </c>
      <c r="B445" s="27" t="s">
        <v>1387</v>
      </c>
      <c r="C445" s="27" t="s">
        <v>1388</v>
      </c>
      <c r="D445" s="27" t="s">
        <v>1389</v>
      </c>
      <c r="E445" s="28" t="s">
        <v>46</v>
      </c>
      <c r="F445" s="29" t="s">
        <v>46</v>
      </c>
      <c r="G445" s="30" t="s">
        <v>46</v>
      </c>
      <c r="H445" s="31"/>
      <c r="I445" s="31" t="s">
        <v>47</v>
      </c>
      <c r="J445" s="32" t="n">
        <v>1.0</v>
      </c>
      <c r="K445" s="33" t="n">
        <f>140100</f>
        <v>140100.0</v>
      </c>
      <c r="L445" s="34" t="s">
        <v>48</v>
      </c>
      <c r="M445" s="33" t="n">
        <f>143900</f>
        <v>143900.0</v>
      </c>
      <c r="N445" s="34" t="s">
        <v>49</v>
      </c>
      <c r="O445" s="33" t="n">
        <f>136700</f>
        <v>136700.0</v>
      </c>
      <c r="P445" s="34" t="s">
        <v>156</v>
      </c>
      <c r="Q445" s="33" t="n">
        <f>142200</f>
        <v>142200.0</v>
      </c>
      <c r="R445" s="34" t="s">
        <v>49</v>
      </c>
      <c r="S445" s="35" t="n">
        <f>140054.55</f>
        <v>140054.55</v>
      </c>
      <c r="T445" s="32" t="n">
        <f>439463</f>
        <v>439463.0</v>
      </c>
      <c r="U445" s="32" t="n">
        <f>84302</f>
        <v>84302.0</v>
      </c>
      <c r="V445" s="32" t="n">
        <f>61602014667</f>
        <v>6.1602014667E10</v>
      </c>
      <c r="W445" s="32" t="n">
        <f>11807409267</f>
        <v>1.1807409267E10</v>
      </c>
      <c r="X445" s="36" t="n">
        <f>22</f>
        <v>22.0</v>
      </c>
    </row>
    <row r="446">
      <c r="A446" s="27" t="s">
        <v>42</v>
      </c>
      <c r="B446" s="27" t="s">
        <v>1390</v>
      </c>
      <c r="C446" s="27" t="s">
        <v>1391</v>
      </c>
      <c r="D446" s="27" t="s">
        <v>1392</v>
      </c>
      <c r="E446" s="28" t="s">
        <v>46</v>
      </c>
      <c r="F446" s="29" t="s">
        <v>46</v>
      </c>
      <c r="G446" s="30" t="s">
        <v>46</v>
      </c>
      <c r="H446" s="31"/>
      <c r="I446" s="31" t="s">
        <v>47</v>
      </c>
      <c r="J446" s="32" t="n">
        <v>1.0</v>
      </c>
      <c r="K446" s="33" t="n">
        <f>124400</f>
        <v>124400.0</v>
      </c>
      <c r="L446" s="34" t="s">
        <v>48</v>
      </c>
      <c r="M446" s="33" t="n">
        <f>128800</f>
        <v>128800.0</v>
      </c>
      <c r="N446" s="34" t="s">
        <v>106</v>
      </c>
      <c r="O446" s="33" t="n">
        <f>122300</f>
        <v>122300.0</v>
      </c>
      <c r="P446" s="34" t="s">
        <v>156</v>
      </c>
      <c r="Q446" s="33" t="n">
        <f>127100</f>
        <v>127100.0</v>
      </c>
      <c r="R446" s="34" t="s">
        <v>49</v>
      </c>
      <c r="S446" s="35" t="n">
        <f>126159.09</f>
        <v>126159.09</v>
      </c>
      <c r="T446" s="32" t="n">
        <f>403510</f>
        <v>403510.0</v>
      </c>
      <c r="U446" s="32" t="n">
        <f>64029</f>
        <v>64029.0</v>
      </c>
      <c r="V446" s="32" t="n">
        <f>50869888988</f>
        <v>5.0869888988E10</v>
      </c>
      <c r="W446" s="32" t="n">
        <f>8079868788</f>
        <v>8.079868788E9</v>
      </c>
      <c r="X446" s="36" t="n">
        <f>22</f>
        <v>22.0</v>
      </c>
    </row>
    <row r="447">
      <c r="A447" s="27" t="s">
        <v>42</v>
      </c>
      <c r="B447" s="27" t="s">
        <v>1393</v>
      </c>
      <c r="C447" s="27" t="s">
        <v>1394</v>
      </c>
      <c r="D447" s="27" t="s">
        <v>1395</v>
      </c>
      <c r="E447" s="28" t="s">
        <v>46</v>
      </c>
      <c r="F447" s="29" t="s">
        <v>46</v>
      </c>
      <c r="G447" s="30" t="s">
        <v>46</v>
      </c>
      <c r="H447" s="31"/>
      <c r="I447" s="31" t="s">
        <v>47</v>
      </c>
      <c r="J447" s="32" t="n">
        <v>1.0</v>
      </c>
      <c r="K447" s="33" t="n">
        <f>114200</f>
        <v>114200.0</v>
      </c>
      <c r="L447" s="34" t="s">
        <v>48</v>
      </c>
      <c r="M447" s="33" t="n">
        <f>120100</f>
        <v>120100.0</v>
      </c>
      <c r="N447" s="34" t="s">
        <v>49</v>
      </c>
      <c r="O447" s="33" t="n">
        <f>111800</f>
        <v>111800.0</v>
      </c>
      <c r="P447" s="34" t="s">
        <v>50</v>
      </c>
      <c r="Q447" s="33" t="n">
        <f>119100</f>
        <v>119100.0</v>
      </c>
      <c r="R447" s="34" t="s">
        <v>49</v>
      </c>
      <c r="S447" s="35" t="n">
        <f>116131.82</f>
        <v>116131.82</v>
      </c>
      <c r="T447" s="32" t="n">
        <f>353961</f>
        <v>353961.0</v>
      </c>
      <c r="U447" s="32" t="n">
        <f>78759</f>
        <v>78759.0</v>
      </c>
      <c r="V447" s="32" t="n">
        <f>41155650238</f>
        <v>4.1155650238E10</v>
      </c>
      <c r="W447" s="32" t="n">
        <f>9177120038</f>
        <v>9.177120038E9</v>
      </c>
      <c r="X447" s="36" t="n">
        <f>22</f>
        <v>22.0</v>
      </c>
    </row>
    <row r="448">
      <c r="A448" s="27" t="s">
        <v>42</v>
      </c>
      <c r="B448" s="27" t="s">
        <v>1396</v>
      </c>
      <c r="C448" s="27" t="s">
        <v>1397</v>
      </c>
      <c r="D448" s="27" t="s">
        <v>1398</v>
      </c>
      <c r="E448" s="28" t="s">
        <v>46</v>
      </c>
      <c r="F448" s="29" t="s">
        <v>46</v>
      </c>
      <c r="G448" s="30" t="s">
        <v>46</v>
      </c>
      <c r="H448" s="31"/>
      <c r="I448" s="31" t="s">
        <v>47</v>
      </c>
      <c r="J448" s="32" t="n">
        <v>1.0</v>
      </c>
      <c r="K448" s="33" t="n">
        <f>100200</f>
        <v>100200.0</v>
      </c>
      <c r="L448" s="34" t="s">
        <v>48</v>
      </c>
      <c r="M448" s="33" t="n">
        <f>106100</f>
        <v>106100.0</v>
      </c>
      <c r="N448" s="34" t="s">
        <v>49</v>
      </c>
      <c r="O448" s="33" t="n">
        <f>97500</f>
        <v>97500.0</v>
      </c>
      <c r="P448" s="34" t="s">
        <v>69</v>
      </c>
      <c r="Q448" s="33" t="n">
        <f>104300</f>
        <v>104300.0</v>
      </c>
      <c r="R448" s="34" t="s">
        <v>49</v>
      </c>
      <c r="S448" s="35" t="n">
        <f>101218.18</f>
        <v>101218.18</v>
      </c>
      <c r="T448" s="32" t="n">
        <f>283073</f>
        <v>283073.0</v>
      </c>
      <c r="U448" s="32" t="n">
        <f>59657</f>
        <v>59657.0</v>
      </c>
      <c r="V448" s="32" t="n">
        <f>28733376762</f>
        <v>2.8733376762E10</v>
      </c>
      <c r="W448" s="32" t="n">
        <f>6072045762</f>
        <v>6.072045762E9</v>
      </c>
      <c r="X448" s="36" t="n">
        <f>22</f>
        <v>22.0</v>
      </c>
    </row>
    <row r="449">
      <c r="A449" s="27" t="s">
        <v>42</v>
      </c>
      <c r="B449" s="27" t="s">
        <v>1399</v>
      </c>
      <c r="C449" s="27" t="s">
        <v>1400</v>
      </c>
      <c r="D449" s="27" t="s">
        <v>1401</v>
      </c>
      <c r="E449" s="28" t="s">
        <v>46</v>
      </c>
      <c r="F449" s="29" t="s">
        <v>46</v>
      </c>
      <c r="G449" s="30" t="s">
        <v>46</v>
      </c>
      <c r="H449" s="31"/>
      <c r="I449" s="31" t="s">
        <v>47</v>
      </c>
      <c r="J449" s="32" t="n">
        <v>1.0</v>
      </c>
      <c r="K449" s="33" t="n">
        <f>103100</f>
        <v>103100.0</v>
      </c>
      <c r="L449" s="34" t="s">
        <v>48</v>
      </c>
      <c r="M449" s="33" t="n">
        <f>106100</f>
        <v>106100.0</v>
      </c>
      <c r="N449" s="34" t="s">
        <v>233</v>
      </c>
      <c r="O449" s="33" t="n">
        <f>100600</f>
        <v>100600.0</v>
      </c>
      <c r="P449" s="34" t="s">
        <v>156</v>
      </c>
      <c r="Q449" s="33" t="n">
        <f>104800</f>
        <v>104800.0</v>
      </c>
      <c r="R449" s="34" t="s">
        <v>49</v>
      </c>
      <c r="S449" s="35" t="n">
        <f>103722.73</f>
        <v>103722.73</v>
      </c>
      <c r="T449" s="32" t="n">
        <f>144365</f>
        <v>144365.0</v>
      </c>
      <c r="U449" s="32" t="n">
        <f>30543</f>
        <v>30543.0</v>
      </c>
      <c r="V449" s="32" t="n">
        <f>14961260780</f>
        <v>1.496126078E10</v>
      </c>
      <c r="W449" s="32" t="n">
        <f>3165970480</f>
        <v>3.16597048E9</v>
      </c>
      <c r="X449" s="36" t="n">
        <f>22</f>
        <v>22.0</v>
      </c>
    </row>
    <row r="450">
      <c r="A450" s="27" t="s">
        <v>42</v>
      </c>
      <c r="B450" s="27" t="s">
        <v>1402</v>
      </c>
      <c r="C450" s="27" t="s">
        <v>1403</v>
      </c>
      <c r="D450" s="27" t="s">
        <v>1404</v>
      </c>
      <c r="E450" s="28" t="s">
        <v>46</v>
      </c>
      <c r="F450" s="29" t="s">
        <v>46</v>
      </c>
      <c r="G450" s="30" t="s">
        <v>46</v>
      </c>
      <c r="H450" s="31"/>
      <c r="I450" s="31" t="s">
        <v>47</v>
      </c>
      <c r="J450" s="32" t="n">
        <v>1.0</v>
      </c>
      <c r="K450" s="33" t="n">
        <f>136000</f>
        <v>136000.0</v>
      </c>
      <c r="L450" s="34" t="s">
        <v>48</v>
      </c>
      <c r="M450" s="33" t="n">
        <f>141400</f>
        <v>141400.0</v>
      </c>
      <c r="N450" s="34" t="s">
        <v>68</v>
      </c>
      <c r="O450" s="33" t="n">
        <f>133700</f>
        <v>133700.0</v>
      </c>
      <c r="P450" s="34" t="s">
        <v>79</v>
      </c>
      <c r="Q450" s="33" t="n">
        <f>136400</f>
        <v>136400.0</v>
      </c>
      <c r="R450" s="34" t="s">
        <v>49</v>
      </c>
      <c r="S450" s="35" t="n">
        <f>137777.27</f>
        <v>137777.27</v>
      </c>
      <c r="T450" s="32" t="n">
        <f>87443</f>
        <v>87443.0</v>
      </c>
      <c r="U450" s="32" t="n">
        <f>16617</f>
        <v>16617.0</v>
      </c>
      <c r="V450" s="32" t="n">
        <f>12055456225</f>
        <v>1.2055456225E10</v>
      </c>
      <c r="W450" s="32" t="n">
        <f>2289510125</f>
        <v>2.289510125E9</v>
      </c>
      <c r="X450" s="36" t="n">
        <f>22</f>
        <v>22.0</v>
      </c>
    </row>
    <row r="451">
      <c r="A451" s="27" t="s">
        <v>42</v>
      </c>
      <c r="B451" s="27" t="s">
        <v>1405</v>
      </c>
      <c r="C451" s="27" t="s">
        <v>1406</v>
      </c>
      <c r="D451" s="27" t="s">
        <v>1407</v>
      </c>
      <c r="E451" s="28" t="s">
        <v>46</v>
      </c>
      <c r="F451" s="29" t="s">
        <v>46</v>
      </c>
      <c r="G451" s="30" t="s">
        <v>46</v>
      </c>
      <c r="H451" s="31"/>
      <c r="I451" s="31" t="s">
        <v>47</v>
      </c>
      <c r="J451" s="32" t="n">
        <v>1.0</v>
      </c>
      <c r="K451" s="33" t="n">
        <f>200700</f>
        <v>200700.0</v>
      </c>
      <c r="L451" s="34" t="s">
        <v>48</v>
      </c>
      <c r="M451" s="33" t="n">
        <f>201900</f>
        <v>201900.0</v>
      </c>
      <c r="N451" s="34" t="s">
        <v>106</v>
      </c>
      <c r="O451" s="33" t="n">
        <f>190900</f>
        <v>190900.0</v>
      </c>
      <c r="P451" s="34" t="s">
        <v>229</v>
      </c>
      <c r="Q451" s="33" t="n">
        <f>197800</f>
        <v>197800.0</v>
      </c>
      <c r="R451" s="34" t="s">
        <v>49</v>
      </c>
      <c r="S451" s="35" t="n">
        <f>197013.64</f>
        <v>197013.64</v>
      </c>
      <c r="T451" s="32" t="n">
        <f>55211</f>
        <v>55211.0</v>
      </c>
      <c r="U451" s="32" t="n">
        <f>11329</f>
        <v>11329.0</v>
      </c>
      <c r="V451" s="32" t="n">
        <f>10852269073</f>
        <v>1.0852269073E10</v>
      </c>
      <c r="W451" s="32" t="n">
        <f>2228624173</f>
        <v>2.228624173E9</v>
      </c>
      <c r="X451" s="36" t="n">
        <f>22</f>
        <v>22.0</v>
      </c>
    </row>
    <row r="452">
      <c r="A452" s="27" t="s">
        <v>42</v>
      </c>
      <c r="B452" s="27" t="s">
        <v>1408</v>
      </c>
      <c r="C452" s="27" t="s">
        <v>1409</v>
      </c>
      <c r="D452" s="27" t="s">
        <v>1410</v>
      </c>
      <c r="E452" s="28" t="s">
        <v>46</v>
      </c>
      <c r="F452" s="29" t="s">
        <v>46</v>
      </c>
      <c r="G452" s="30" t="s">
        <v>46</v>
      </c>
      <c r="H452" s="31"/>
      <c r="I452" s="31" t="s">
        <v>47</v>
      </c>
      <c r="J452" s="32" t="n">
        <v>1.0</v>
      </c>
      <c r="K452" s="33" t="n">
        <f>143000</f>
        <v>143000.0</v>
      </c>
      <c r="L452" s="34" t="s">
        <v>48</v>
      </c>
      <c r="M452" s="33" t="n">
        <f>144700</f>
        <v>144700.0</v>
      </c>
      <c r="N452" s="34" t="s">
        <v>68</v>
      </c>
      <c r="O452" s="33" t="n">
        <f>136900</f>
        <v>136900.0</v>
      </c>
      <c r="P452" s="34" t="s">
        <v>156</v>
      </c>
      <c r="Q452" s="33" t="n">
        <f>141700</f>
        <v>141700.0</v>
      </c>
      <c r="R452" s="34" t="s">
        <v>49</v>
      </c>
      <c r="S452" s="35" t="n">
        <f>141495.45</f>
        <v>141495.45</v>
      </c>
      <c r="T452" s="32" t="n">
        <f>97811</f>
        <v>97811.0</v>
      </c>
      <c r="U452" s="32" t="n">
        <f>16258</f>
        <v>16258.0</v>
      </c>
      <c r="V452" s="32" t="n">
        <f>13835826521</f>
        <v>1.3835826521E10</v>
      </c>
      <c r="W452" s="32" t="n">
        <f>2302061421</f>
        <v>2.302061421E9</v>
      </c>
      <c r="X452" s="36" t="n">
        <f>22</f>
        <v>22.0</v>
      </c>
    </row>
    <row r="453">
      <c r="A453" s="27" t="s">
        <v>42</v>
      </c>
      <c r="B453" s="27" t="s">
        <v>1411</v>
      </c>
      <c r="C453" s="27" t="s">
        <v>1412</v>
      </c>
      <c r="D453" s="27" t="s">
        <v>1413</v>
      </c>
      <c r="E453" s="28" t="s">
        <v>46</v>
      </c>
      <c r="F453" s="29" t="s">
        <v>46</v>
      </c>
      <c r="G453" s="30" t="s">
        <v>46</v>
      </c>
      <c r="H453" s="31"/>
      <c r="I453" s="31" t="s">
        <v>47</v>
      </c>
      <c r="J453" s="32" t="n">
        <v>1.0</v>
      </c>
      <c r="K453" s="33" t="n">
        <f>179500</f>
        <v>179500.0</v>
      </c>
      <c r="L453" s="34" t="s">
        <v>48</v>
      </c>
      <c r="M453" s="33" t="n">
        <f>188500</f>
        <v>188500.0</v>
      </c>
      <c r="N453" s="34" t="s">
        <v>106</v>
      </c>
      <c r="O453" s="33" t="n">
        <f>177400</f>
        <v>177400.0</v>
      </c>
      <c r="P453" s="34" t="s">
        <v>48</v>
      </c>
      <c r="Q453" s="33" t="n">
        <f>186500</f>
        <v>186500.0</v>
      </c>
      <c r="R453" s="34" t="s">
        <v>49</v>
      </c>
      <c r="S453" s="35" t="n">
        <f>183072.73</f>
        <v>183072.73</v>
      </c>
      <c r="T453" s="32" t="n">
        <f>152542</f>
        <v>152542.0</v>
      </c>
      <c r="U453" s="32" t="n">
        <f>30515</f>
        <v>30515.0</v>
      </c>
      <c r="V453" s="32" t="n">
        <f>27914313381</f>
        <v>2.7914313381E10</v>
      </c>
      <c r="W453" s="32" t="n">
        <f>5584910081</f>
        <v>5.584910081E9</v>
      </c>
      <c r="X453" s="36" t="n">
        <f>22</f>
        <v>22.0</v>
      </c>
    </row>
    <row r="454">
      <c r="A454" s="27" t="s">
        <v>42</v>
      </c>
      <c r="B454" s="27" t="s">
        <v>1414</v>
      </c>
      <c r="C454" s="27" t="s">
        <v>1415</v>
      </c>
      <c r="D454" s="27" t="s">
        <v>1416</v>
      </c>
      <c r="E454" s="28" t="s">
        <v>46</v>
      </c>
      <c r="F454" s="29" t="s">
        <v>46</v>
      </c>
      <c r="G454" s="30" t="s">
        <v>46</v>
      </c>
      <c r="H454" s="31"/>
      <c r="I454" s="31" t="s">
        <v>47</v>
      </c>
      <c r="J454" s="32" t="n">
        <v>1.0</v>
      </c>
      <c r="K454" s="33" t="n">
        <f>76000</f>
        <v>76000.0</v>
      </c>
      <c r="L454" s="34" t="s">
        <v>48</v>
      </c>
      <c r="M454" s="33" t="n">
        <f>79700</f>
        <v>79700.0</v>
      </c>
      <c r="N454" s="34" t="s">
        <v>233</v>
      </c>
      <c r="O454" s="33" t="n">
        <f>74700</f>
        <v>74700.0</v>
      </c>
      <c r="P454" s="34" t="s">
        <v>48</v>
      </c>
      <c r="Q454" s="33" t="n">
        <f>77700</f>
        <v>77700.0</v>
      </c>
      <c r="R454" s="34" t="s">
        <v>49</v>
      </c>
      <c r="S454" s="35" t="n">
        <f>77227.27</f>
        <v>77227.27</v>
      </c>
      <c r="T454" s="32" t="n">
        <f>166268</f>
        <v>166268.0</v>
      </c>
      <c r="U454" s="32" t="n">
        <f>35468</f>
        <v>35468.0</v>
      </c>
      <c r="V454" s="32" t="n">
        <f>12835462896</f>
        <v>1.2835462896E10</v>
      </c>
      <c r="W454" s="32" t="n">
        <f>2735682396</f>
        <v>2.735682396E9</v>
      </c>
      <c r="X454" s="36" t="n">
        <f>22</f>
        <v>22.0</v>
      </c>
    </row>
    <row r="455">
      <c r="A455" s="27" t="s">
        <v>42</v>
      </c>
      <c r="B455" s="27" t="s">
        <v>1417</v>
      </c>
      <c r="C455" s="27" t="s">
        <v>1418</v>
      </c>
      <c r="D455" s="27" t="s">
        <v>1419</v>
      </c>
      <c r="E455" s="28" t="s">
        <v>46</v>
      </c>
      <c r="F455" s="29" t="s">
        <v>46</v>
      </c>
      <c r="G455" s="30" t="s">
        <v>46</v>
      </c>
      <c r="H455" s="31"/>
      <c r="I455" s="31" t="s">
        <v>47</v>
      </c>
      <c r="J455" s="32" t="n">
        <v>1.0</v>
      </c>
      <c r="K455" s="33" t="n">
        <f>67000</f>
        <v>67000.0</v>
      </c>
      <c r="L455" s="34" t="s">
        <v>48</v>
      </c>
      <c r="M455" s="33" t="n">
        <f>70400</f>
        <v>70400.0</v>
      </c>
      <c r="N455" s="34" t="s">
        <v>106</v>
      </c>
      <c r="O455" s="33" t="n">
        <f>65700</f>
        <v>65700.0</v>
      </c>
      <c r="P455" s="34" t="s">
        <v>50</v>
      </c>
      <c r="Q455" s="33" t="n">
        <f>68900</f>
        <v>68900.0</v>
      </c>
      <c r="R455" s="34" t="s">
        <v>49</v>
      </c>
      <c r="S455" s="35" t="n">
        <f>68245.45</f>
        <v>68245.45</v>
      </c>
      <c r="T455" s="32" t="n">
        <f>704111</f>
        <v>704111.0</v>
      </c>
      <c r="U455" s="32" t="n">
        <f>176199</f>
        <v>176199.0</v>
      </c>
      <c r="V455" s="32" t="n">
        <f>48073429800</f>
        <v>4.80734298E10</v>
      </c>
      <c r="W455" s="32" t="n">
        <f>12026621400</f>
        <v>1.20266214E10</v>
      </c>
      <c r="X455" s="36" t="n">
        <f>22</f>
        <v>22.0</v>
      </c>
    </row>
    <row r="456">
      <c r="A456" s="27" t="s">
        <v>42</v>
      </c>
      <c r="B456" s="27" t="s">
        <v>1420</v>
      </c>
      <c r="C456" s="27" t="s">
        <v>1421</v>
      </c>
      <c r="D456" s="27" t="s">
        <v>1422</v>
      </c>
      <c r="E456" s="28" t="s">
        <v>46</v>
      </c>
      <c r="F456" s="29" t="s">
        <v>46</v>
      </c>
      <c r="G456" s="30" t="s">
        <v>46</v>
      </c>
      <c r="H456" s="31"/>
      <c r="I456" s="31" t="s">
        <v>47</v>
      </c>
      <c r="J456" s="32" t="n">
        <v>1.0</v>
      </c>
      <c r="K456" s="33" t="n">
        <f>89300</f>
        <v>89300.0</v>
      </c>
      <c r="L456" s="34" t="s">
        <v>48</v>
      </c>
      <c r="M456" s="33" t="n">
        <f>91700</f>
        <v>91700.0</v>
      </c>
      <c r="N456" s="34" t="s">
        <v>49</v>
      </c>
      <c r="O456" s="33" t="n">
        <f>87800</f>
        <v>87800.0</v>
      </c>
      <c r="P456" s="34" t="s">
        <v>156</v>
      </c>
      <c r="Q456" s="33" t="n">
        <f>90500</f>
        <v>90500.0</v>
      </c>
      <c r="R456" s="34" t="s">
        <v>49</v>
      </c>
      <c r="S456" s="35" t="n">
        <f>89740.91</f>
        <v>89740.91</v>
      </c>
      <c r="T456" s="32" t="n">
        <f>124740</f>
        <v>124740.0</v>
      </c>
      <c r="U456" s="32" t="n">
        <f>30818</f>
        <v>30818.0</v>
      </c>
      <c r="V456" s="32" t="n">
        <f>11188833921</f>
        <v>1.1188833921E10</v>
      </c>
      <c r="W456" s="32" t="n">
        <f>2764278221</f>
        <v>2.764278221E9</v>
      </c>
      <c r="X456" s="36" t="n">
        <f>22</f>
        <v>22.0</v>
      </c>
    </row>
    <row r="457">
      <c r="A457" s="27" t="s">
        <v>42</v>
      </c>
      <c r="B457" s="27" t="s">
        <v>1423</v>
      </c>
      <c r="C457" s="27" t="s">
        <v>1424</v>
      </c>
      <c r="D457" s="27" t="s">
        <v>1425</v>
      </c>
      <c r="E457" s="28" t="s">
        <v>46</v>
      </c>
      <c r="F457" s="29" t="s">
        <v>46</v>
      </c>
      <c r="G457" s="30" t="s">
        <v>46</v>
      </c>
      <c r="H457" s="31"/>
      <c r="I457" s="31" t="s">
        <v>47</v>
      </c>
      <c r="J457" s="32" t="n">
        <v>1.0</v>
      </c>
      <c r="K457" s="33" t="n">
        <f>151900</f>
        <v>151900.0</v>
      </c>
      <c r="L457" s="34" t="s">
        <v>48</v>
      </c>
      <c r="M457" s="33" t="n">
        <f>156100</f>
        <v>156100.0</v>
      </c>
      <c r="N457" s="34" t="s">
        <v>233</v>
      </c>
      <c r="O457" s="33" t="n">
        <f>149800</f>
        <v>149800.0</v>
      </c>
      <c r="P457" s="34" t="s">
        <v>156</v>
      </c>
      <c r="Q457" s="33" t="n">
        <f>154400</f>
        <v>154400.0</v>
      </c>
      <c r="R457" s="34" t="s">
        <v>49</v>
      </c>
      <c r="S457" s="35" t="n">
        <f>153218.18</f>
        <v>153218.18</v>
      </c>
      <c r="T457" s="32" t="n">
        <f>68996</f>
        <v>68996.0</v>
      </c>
      <c r="U457" s="32" t="n">
        <f>14012</f>
        <v>14012.0</v>
      </c>
      <c r="V457" s="32" t="n">
        <f>10575070198</f>
        <v>1.0575070198E10</v>
      </c>
      <c r="W457" s="32" t="n">
        <f>2151236898</f>
        <v>2.151236898E9</v>
      </c>
      <c r="X457" s="36" t="n">
        <f>22</f>
        <v>22.0</v>
      </c>
    </row>
    <row r="458">
      <c r="A458" s="27" t="s">
        <v>42</v>
      </c>
      <c r="B458" s="27" t="s">
        <v>1426</v>
      </c>
      <c r="C458" s="27" t="s">
        <v>1427</v>
      </c>
      <c r="D458" s="27" t="s">
        <v>1428</v>
      </c>
      <c r="E458" s="28" t="s">
        <v>46</v>
      </c>
      <c r="F458" s="29" t="s">
        <v>46</v>
      </c>
      <c r="G458" s="30" t="s">
        <v>46</v>
      </c>
      <c r="H458" s="31"/>
      <c r="I458" s="31" t="s">
        <v>47</v>
      </c>
      <c r="J458" s="32" t="n">
        <v>1.0</v>
      </c>
      <c r="K458" s="33" t="n">
        <f>97900</f>
        <v>97900.0</v>
      </c>
      <c r="L458" s="34" t="s">
        <v>48</v>
      </c>
      <c r="M458" s="33" t="n">
        <f>101100</f>
        <v>101100.0</v>
      </c>
      <c r="N458" s="34" t="s">
        <v>203</v>
      </c>
      <c r="O458" s="33" t="n">
        <f>96400</f>
        <v>96400.0</v>
      </c>
      <c r="P458" s="34" t="s">
        <v>48</v>
      </c>
      <c r="Q458" s="33" t="n">
        <f>99900</f>
        <v>99900.0</v>
      </c>
      <c r="R458" s="34" t="s">
        <v>49</v>
      </c>
      <c r="S458" s="35" t="n">
        <f>99054.55</f>
        <v>99054.55</v>
      </c>
      <c r="T458" s="32" t="n">
        <f>128754</f>
        <v>128754.0</v>
      </c>
      <c r="U458" s="32" t="n">
        <f>29432</f>
        <v>29432.0</v>
      </c>
      <c r="V458" s="32" t="n">
        <f>12737678124</f>
        <v>1.2737678124E10</v>
      </c>
      <c r="W458" s="32" t="n">
        <f>2909791024</f>
        <v>2.909791024E9</v>
      </c>
      <c r="X458" s="36" t="n">
        <f>22</f>
        <v>22.0</v>
      </c>
    </row>
    <row r="459">
      <c r="A459" s="27" t="s">
        <v>42</v>
      </c>
      <c r="B459" s="27" t="s">
        <v>1429</v>
      </c>
      <c r="C459" s="27" t="s">
        <v>1430</v>
      </c>
      <c r="D459" s="27" t="s">
        <v>1431</v>
      </c>
      <c r="E459" s="28" t="s">
        <v>46</v>
      </c>
      <c r="F459" s="29" t="s">
        <v>46</v>
      </c>
      <c r="G459" s="30" t="s">
        <v>46</v>
      </c>
      <c r="H459" s="31"/>
      <c r="I459" s="31" t="s">
        <v>47</v>
      </c>
      <c r="J459" s="32" t="n">
        <v>1.0</v>
      </c>
      <c r="K459" s="33" t="n">
        <f>189300</f>
        <v>189300.0</v>
      </c>
      <c r="L459" s="34" t="s">
        <v>48</v>
      </c>
      <c r="M459" s="33" t="n">
        <f>193800</f>
        <v>193800.0</v>
      </c>
      <c r="N459" s="34" t="s">
        <v>61</v>
      </c>
      <c r="O459" s="33" t="n">
        <f>186300</f>
        <v>186300.0</v>
      </c>
      <c r="P459" s="34" t="s">
        <v>48</v>
      </c>
      <c r="Q459" s="33" t="n">
        <f>189000</f>
        <v>189000.0</v>
      </c>
      <c r="R459" s="34" t="s">
        <v>49</v>
      </c>
      <c r="S459" s="35" t="n">
        <f>190631.82</f>
        <v>190631.82</v>
      </c>
      <c r="T459" s="32" t="n">
        <f>48524</f>
        <v>48524.0</v>
      </c>
      <c r="U459" s="32" t="n">
        <f>10274</f>
        <v>10274.0</v>
      </c>
      <c r="V459" s="32" t="n">
        <f>9238635002</f>
        <v>9.238635002E9</v>
      </c>
      <c r="W459" s="32" t="n">
        <f>1953659602</f>
        <v>1.953659602E9</v>
      </c>
      <c r="X459" s="36" t="n">
        <f>22</f>
        <v>22.0</v>
      </c>
    </row>
    <row r="460">
      <c r="A460" s="27" t="s">
        <v>42</v>
      </c>
      <c r="B460" s="27" t="s">
        <v>1432</v>
      </c>
      <c r="C460" s="27" t="s">
        <v>1433</v>
      </c>
      <c r="D460" s="27" t="s">
        <v>1434</v>
      </c>
      <c r="E460" s="28" t="s">
        <v>46</v>
      </c>
      <c r="F460" s="29" t="s">
        <v>46</v>
      </c>
      <c r="G460" s="30" t="s">
        <v>46</v>
      </c>
      <c r="H460" s="31"/>
      <c r="I460" s="31" t="s">
        <v>47</v>
      </c>
      <c r="J460" s="32" t="n">
        <v>1.0</v>
      </c>
      <c r="K460" s="33" t="n">
        <f>168500</f>
        <v>168500.0</v>
      </c>
      <c r="L460" s="34" t="s">
        <v>48</v>
      </c>
      <c r="M460" s="33" t="n">
        <f>175300</f>
        <v>175300.0</v>
      </c>
      <c r="N460" s="34" t="s">
        <v>203</v>
      </c>
      <c r="O460" s="33" t="n">
        <f>166500</f>
        <v>166500.0</v>
      </c>
      <c r="P460" s="34" t="s">
        <v>48</v>
      </c>
      <c r="Q460" s="33" t="n">
        <f>170400</f>
        <v>170400.0</v>
      </c>
      <c r="R460" s="34" t="s">
        <v>49</v>
      </c>
      <c r="S460" s="35" t="n">
        <f>171095.45</f>
        <v>171095.45</v>
      </c>
      <c r="T460" s="32" t="n">
        <f>230472</f>
        <v>230472.0</v>
      </c>
      <c r="U460" s="32" t="n">
        <f>42980</f>
        <v>42980.0</v>
      </c>
      <c r="V460" s="32" t="n">
        <f>39511130773</f>
        <v>3.9511130773E10</v>
      </c>
      <c r="W460" s="32" t="n">
        <f>7380127073</f>
        <v>7.380127073E9</v>
      </c>
      <c r="X460" s="36" t="n">
        <f>22</f>
        <v>22.0</v>
      </c>
    </row>
    <row r="461">
      <c r="A461" s="27" t="s">
        <v>42</v>
      </c>
      <c r="B461" s="27" t="s">
        <v>1435</v>
      </c>
      <c r="C461" s="27" t="s">
        <v>1436</v>
      </c>
      <c r="D461" s="27" t="s">
        <v>1437</v>
      </c>
      <c r="E461" s="28" t="s">
        <v>46</v>
      </c>
      <c r="F461" s="29" t="s">
        <v>46</v>
      </c>
      <c r="G461" s="30" t="s">
        <v>46</v>
      </c>
      <c r="H461" s="31"/>
      <c r="I461" s="31" t="s">
        <v>47</v>
      </c>
      <c r="J461" s="32" t="n">
        <v>1.0</v>
      </c>
      <c r="K461" s="33" t="n">
        <f>94500</f>
        <v>94500.0</v>
      </c>
      <c r="L461" s="34" t="s">
        <v>48</v>
      </c>
      <c r="M461" s="33" t="n">
        <f>98100</f>
        <v>98100.0</v>
      </c>
      <c r="N461" s="34" t="s">
        <v>68</v>
      </c>
      <c r="O461" s="33" t="n">
        <f>92200</f>
        <v>92200.0</v>
      </c>
      <c r="P461" s="34" t="s">
        <v>156</v>
      </c>
      <c r="Q461" s="33" t="n">
        <f>94900</f>
        <v>94900.0</v>
      </c>
      <c r="R461" s="34" t="s">
        <v>49</v>
      </c>
      <c r="S461" s="35" t="n">
        <f>95072.73</f>
        <v>95072.73</v>
      </c>
      <c r="T461" s="32" t="n">
        <f>100406</f>
        <v>100406.0</v>
      </c>
      <c r="U461" s="32" t="n">
        <f>21824</f>
        <v>21824.0</v>
      </c>
      <c r="V461" s="32" t="n">
        <f>9573453811</f>
        <v>9.573453811E9</v>
      </c>
      <c r="W461" s="32" t="n">
        <f>2075558811</f>
        <v>2.075558811E9</v>
      </c>
      <c r="X461" s="36" t="n">
        <f>22</f>
        <v>22.0</v>
      </c>
    </row>
    <row r="462">
      <c r="A462" s="27" t="s">
        <v>42</v>
      </c>
      <c r="B462" s="27" t="s">
        <v>1438</v>
      </c>
      <c r="C462" s="27" t="s">
        <v>1439</v>
      </c>
      <c r="D462" s="27" t="s">
        <v>1440</v>
      </c>
      <c r="E462" s="28" t="s">
        <v>46</v>
      </c>
      <c r="F462" s="29" t="s">
        <v>46</v>
      </c>
      <c r="G462" s="30" t="s">
        <v>46</v>
      </c>
      <c r="H462" s="31"/>
      <c r="I462" s="31" t="s">
        <v>47</v>
      </c>
      <c r="J462" s="32" t="n">
        <v>1.0</v>
      </c>
      <c r="K462" s="33" t="n">
        <f>365000</f>
        <v>365000.0</v>
      </c>
      <c r="L462" s="34" t="s">
        <v>48</v>
      </c>
      <c r="M462" s="33" t="n">
        <f>380000</f>
        <v>380000.0</v>
      </c>
      <c r="N462" s="34" t="s">
        <v>79</v>
      </c>
      <c r="O462" s="33" t="n">
        <f>355000</f>
        <v>355000.0</v>
      </c>
      <c r="P462" s="34" t="s">
        <v>156</v>
      </c>
      <c r="Q462" s="33" t="n">
        <f>377000</f>
        <v>377000.0</v>
      </c>
      <c r="R462" s="34" t="s">
        <v>49</v>
      </c>
      <c r="S462" s="35" t="n">
        <f>367977.27</f>
        <v>367977.27</v>
      </c>
      <c r="T462" s="32" t="n">
        <f>33463</f>
        <v>33463.0</v>
      </c>
      <c r="U462" s="32" t="n">
        <f>6790</f>
        <v>6790.0</v>
      </c>
      <c r="V462" s="32" t="n">
        <f>12320722728</f>
        <v>1.2320722728E10</v>
      </c>
      <c r="W462" s="32" t="n">
        <f>2502091228</f>
        <v>2.502091228E9</v>
      </c>
      <c r="X462" s="36" t="n">
        <f>22</f>
        <v>22.0</v>
      </c>
    </row>
    <row r="463">
      <c r="A463" s="27" t="s">
        <v>42</v>
      </c>
      <c r="B463" s="27" t="s">
        <v>1441</v>
      </c>
      <c r="C463" s="27" t="s">
        <v>1442</v>
      </c>
      <c r="D463" s="27" t="s">
        <v>1443</v>
      </c>
      <c r="E463" s="28" t="s">
        <v>46</v>
      </c>
      <c r="F463" s="29" t="s">
        <v>46</v>
      </c>
      <c r="G463" s="30" t="s">
        <v>46</v>
      </c>
      <c r="H463" s="31"/>
      <c r="I463" s="31" t="s">
        <v>47</v>
      </c>
      <c r="J463" s="32" t="n">
        <v>1.0</v>
      </c>
      <c r="K463" s="33" t="n">
        <f>171400</f>
        <v>171400.0</v>
      </c>
      <c r="L463" s="34" t="s">
        <v>48</v>
      </c>
      <c r="M463" s="33" t="n">
        <f>181000</f>
        <v>181000.0</v>
      </c>
      <c r="N463" s="34" t="s">
        <v>474</v>
      </c>
      <c r="O463" s="33" t="n">
        <f>169000</f>
        <v>169000.0</v>
      </c>
      <c r="P463" s="34" t="s">
        <v>48</v>
      </c>
      <c r="Q463" s="33" t="n">
        <f>177400</f>
        <v>177400.0</v>
      </c>
      <c r="R463" s="34" t="s">
        <v>49</v>
      </c>
      <c r="S463" s="35" t="n">
        <f>176695.45</f>
        <v>176695.45</v>
      </c>
      <c r="T463" s="32" t="n">
        <f>32717</f>
        <v>32717.0</v>
      </c>
      <c r="U463" s="32" t="n">
        <f>3080</f>
        <v>3080.0</v>
      </c>
      <c r="V463" s="32" t="n">
        <f>5782110526</f>
        <v>5.782110526E9</v>
      </c>
      <c r="W463" s="32" t="n">
        <f>544010726</f>
        <v>5.44010726E8</v>
      </c>
      <c r="X463" s="36" t="n">
        <f>22</f>
        <v>22.0</v>
      </c>
    </row>
    <row r="464">
      <c r="A464" s="27" t="s">
        <v>42</v>
      </c>
      <c r="B464" s="27" t="s">
        <v>1444</v>
      </c>
      <c r="C464" s="27" t="s">
        <v>1445</v>
      </c>
      <c r="D464" s="27" t="s">
        <v>1446</v>
      </c>
      <c r="E464" s="28" t="s">
        <v>46</v>
      </c>
      <c r="F464" s="29" t="s">
        <v>46</v>
      </c>
      <c r="G464" s="30" t="s">
        <v>46</v>
      </c>
      <c r="H464" s="31"/>
      <c r="I464" s="31" t="s">
        <v>416</v>
      </c>
      <c r="J464" s="32" t="n">
        <v>1.0</v>
      </c>
      <c r="K464" s="33" t="n">
        <f>208500</f>
        <v>208500.0</v>
      </c>
      <c r="L464" s="34" t="s">
        <v>48</v>
      </c>
      <c r="M464" s="33" t="n">
        <f>211000</f>
        <v>211000.0</v>
      </c>
      <c r="N464" s="34" t="s">
        <v>156</v>
      </c>
      <c r="O464" s="33" t="n">
        <f>196600</f>
        <v>196600.0</v>
      </c>
      <c r="P464" s="34" t="s">
        <v>69</v>
      </c>
      <c r="Q464" s="33" t="n">
        <f>202300</f>
        <v>202300.0</v>
      </c>
      <c r="R464" s="34" t="s">
        <v>49</v>
      </c>
      <c r="S464" s="35" t="n">
        <f>202850</f>
        <v>202850.0</v>
      </c>
      <c r="T464" s="32" t="n">
        <f>17784</f>
        <v>17784.0</v>
      </c>
      <c r="U464" s="32" t="n">
        <f>2587</f>
        <v>2587.0</v>
      </c>
      <c r="V464" s="32" t="n">
        <f>3610898991</f>
        <v>3.610898991E9</v>
      </c>
      <c r="W464" s="32" t="n">
        <f>526173591</f>
        <v>5.26173591E8</v>
      </c>
      <c r="X464" s="36" t="n">
        <f>22</f>
        <v>22.0</v>
      </c>
    </row>
    <row r="465">
      <c r="A465" s="27" t="s">
        <v>42</v>
      </c>
      <c r="B465" s="27" t="s">
        <v>1447</v>
      </c>
      <c r="C465" s="27" t="s">
        <v>1448</v>
      </c>
      <c r="D465" s="27" t="s">
        <v>1449</v>
      </c>
      <c r="E465" s="28" t="s">
        <v>46</v>
      </c>
      <c r="F465" s="29" t="s">
        <v>46</v>
      </c>
      <c r="G465" s="30" t="s">
        <v>46</v>
      </c>
      <c r="H465" s="31"/>
      <c r="I465" s="31" t="s">
        <v>47</v>
      </c>
      <c r="J465" s="32" t="n">
        <v>1.0</v>
      </c>
      <c r="K465" s="33" t="n">
        <f>125500</f>
        <v>125500.0</v>
      </c>
      <c r="L465" s="34" t="s">
        <v>48</v>
      </c>
      <c r="M465" s="33" t="n">
        <f>133900</f>
        <v>133900.0</v>
      </c>
      <c r="N465" s="34" t="s">
        <v>49</v>
      </c>
      <c r="O465" s="33" t="n">
        <f>124100</f>
        <v>124100.0</v>
      </c>
      <c r="P465" s="34" t="s">
        <v>48</v>
      </c>
      <c r="Q465" s="33" t="n">
        <f>132800</f>
        <v>132800.0</v>
      </c>
      <c r="R465" s="34" t="s">
        <v>49</v>
      </c>
      <c r="S465" s="35" t="n">
        <f>129659.09</f>
        <v>129659.09</v>
      </c>
      <c r="T465" s="32" t="n">
        <f>239543</f>
        <v>239543.0</v>
      </c>
      <c r="U465" s="32" t="n">
        <f>51204</f>
        <v>51204.0</v>
      </c>
      <c r="V465" s="32" t="n">
        <f>31064829626</f>
        <v>3.1064829626E10</v>
      </c>
      <c r="W465" s="32" t="n">
        <f>6631942626</f>
        <v>6.631942626E9</v>
      </c>
      <c r="X465" s="36" t="n">
        <f>22</f>
        <v>22.0</v>
      </c>
    </row>
    <row r="466">
      <c r="A466" s="27" t="s">
        <v>42</v>
      </c>
      <c r="B466" s="27" t="s">
        <v>1450</v>
      </c>
      <c r="C466" s="27" t="s">
        <v>1451</v>
      </c>
      <c r="D466" s="27" t="s">
        <v>1452</v>
      </c>
      <c r="E466" s="28" t="s">
        <v>46</v>
      </c>
      <c r="F466" s="29" t="s">
        <v>46</v>
      </c>
      <c r="G466" s="30" t="s">
        <v>46</v>
      </c>
      <c r="H466" s="31"/>
      <c r="I466" s="31" t="s">
        <v>47</v>
      </c>
      <c r="J466" s="32" t="n">
        <v>1.0</v>
      </c>
      <c r="K466" s="33" t="n">
        <f>90000</f>
        <v>90000.0</v>
      </c>
      <c r="L466" s="34" t="s">
        <v>48</v>
      </c>
      <c r="M466" s="33" t="n">
        <f>91600</f>
        <v>91600.0</v>
      </c>
      <c r="N466" s="34" t="s">
        <v>106</v>
      </c>
      <c r="O466" s="33" t="n">
        <f>86600</f>
        <v>86600.0</v>
      </c>
      <c r="P466" s="34" t="s">
        <v>156</v>
      </c>
      <c r="Q466" s="33" t="n">
        <f>89800</f>
        <v>89800.0</v>
      </c>
      <c r="R466" s="34" t="s">
        <v>49</v>
      </c>
      <c r="S466" s="35" t="n">
        <f>89545.45</f>
        <v>89545.45</v>
      </c>
      <c r="T466" s="32" t="n">
        <f>424562</f>
        <v>424562.0</v>
      </c>
      <c r="U466" s="32" t="n">
        <f>95741</f>
        <v>95741.0</v>
      </c>
      <c r="V466" s="32" t="n">
        <f>37967421099</f>
        <v>3.7967421099E10</v>
      </c>
      <c r="W466" s="32" t="n">
        <f>8559295699</f>
        <v>8.559295699E9</v>
      </c>
      <c r="X466" s="36" t="n">
        <f>22</f>
        <v>22.0</v>
      </c>
    </row>
    <row r="467">
      <c r="A467" s="27" t="s">
        <v>42</v>
      </c>
      <c r="B467" s="27" t="s">
        <v>1453</v>
      </c>
      <c r="C467" s="27" t="s">
        <v>1454</v>
      </c>
      <c r="D467" s="27" t="s">
        <v>1455</v>
      </c>
      <c r="E467" s="28" t="s">
        <v>46</v>
      </c>
      <c r="F467" s="29" t="s">
        <v>46</v>
      </c>
      <c r="G467" s="30" t="s">
        <v>46</v>
      </c>
      <c r="H467" s="31"/>
      <c r="I467" s="31" t="s">
        <v>47</v>
      </c>
      <c r="J467" s="32" t="n">
        <v>1.0</v>
      </c>
      <c r="K467" s="33" t="n">
        <f>107600</f>
        <v>107600.0</v>
      </c>
      <c r="L467" s="34" t="s">
        <v>48</v>
      </c>
      <c r="M467" s="33" t="n">
        <f>112800</f>
        <v>112800.0</v>
      </c>
      <c r="N467" s="34" t="s">
        <v>203</v>
      </c>
      <c r="O467" s="33" t="n">
        <f>106200</f>
        <v>106200.0</v>
      </c>
      <c r="P467" s="34" t="s">
        <v>156</v>
      </c>
      <c r="Q467" s="33" t="n">
        <f>110400</f>
        <v>110400.0</v>
      </c>
      <c r="R467" s="34" t="s">
        <v>49</v>
      </c>
      <c r="S467" s="35" t="n">
        <f>109813.64</f>
        <v>109813.64</v>
      </c>
      <c r="T467" s="32" t="n">
        <f>154278</f>
        <v>154278.0</v>
      </c>
      <c r="U467" s="32" t="n">
        <f>35594</f>
        <v>35594.0</v>
      </c>
      <c r="V467" s="32" t="n">
        <f>16927487133</f>
        <v>1.6927487133E10</v>
      </c>
      <c r="W467" s="32" t="n">
        <f>3901981133</f>
        <v>3.901981133E9</v>
      </c>
      <c r="X467" s="36" t="n">
        <f>22</f>
        <v>22.0</v>
      </c>
    </row>
    <row r="468">
      <c r="A468" s="27" t="s">
        <v>42</v>
      </c>
      <c r="B468" s="27" t="s">
        <v>1456</v>
      </c>
      <c r="C468" s="27" t="s">
        <v>1457</v>
      </c>
      <c r="D468" s="27" t="s">
        <v>1458</v>
      </c>
      <c r="E468" s="28" t="s">
        <v>46</v>
      </c>
      <c r="F468" s="29" t="s">
        <v>46</v>
      </c>
      <c r="G468" s="30" t="s">
        <v>46</v>
      </c>
      <c r="H468" s="31"/>
      <c r="I468" s="31" t="s">
        <v>47</v>
      </c>
      <c r="J468" s="32" t="n">
        <v>1.0</v>
      </c>
      <c r="K468" s="33" t="n">
        <f>145700</f>
        <v>145700.0</v>
      </c>
      <c r="L468" s="34" t="s">
        <v>48</v>
      </c>
      <c r="M468" s="33" t="n">
        <f>148300</f>
        <v>148300.0</v>
      </c>
      <c r="N468" s="34" t="s">
        <v>79</v>
      </c>
      <c r="O468" s="33" t="n">
        <f>141800</f>
        <v>141800.0</v>
      </c>
      <c r="P468" s="34" t="s">
        <v>156</v>
      </c>
      <c r="Q468" s="33" t="n">
        <f>147100</f>
        <v>147100.0</v>
      </c>
      <c r="R468" s="34" t="s">
        <v>49</v>
      </c>
      <c r="S468" s="35" t="n">
        <f>145559.09</f>
        <v>145559.09</v>
      </c>
      <c r="T468" s="32" t="n">
        <f>56612</f>
        <v>56612.0</v>
      </c>
      <c r="U468" s="32" t="n">
        <f>11451</f>
        <v>11451.0</v>
      </c>
      <c r="V468" s="32" t="n">
        <f>8246068678</f>
        <v>8.246068678E9</v>
      </c>
      <c r="W468" s="32" t="n">
        <f>1668540678</f>
        <v>1.668540678E9</v>
      </c>
      <c r="X468" s="36" t="n">
        <f>22</f>
        <v>22.0</v>
      </c>
    </row>
    <row r="469">
      <c r="A469" s="27" t="s">
        <v>42</v>
      </c>
      <c r="B469" s="27" t="s">
        <v>1459</v>
      </c>
      <c r="C469" s="27" t="s">
        <v>1460</v>
      </c>
      <c r="D469" s="27" t="s">
        <v>1461</v>
      </c>
      <c r="E469" s="28" t="s">
        <v>46</v>
      </c>
      <c r="F469" s="29" t="s">
        <v>46</v>
      </c>
      <c r="G469" s="30" t="s">
        <v>46</v>
      </c>
      <c r="H469" s="31"/>
      <c r="I469" s="31" t="s">
        <v>416</v>
      </c>
      <c r="J469" s="32" t="n">
        <v>1.0</v>
      </c>
      <c r="K469" s="33" t="n">
        <f>47900</f>
        <v>47900.0</v>
      </c>
      <c r="L469" s="34" t="s">
        <v>48</v>
      </c>
      <c r="M469" s="33" t="n">
        <f>47950</f>
        <v>47950.0</v>
      </c>
      <c r="N469" s="34" t="s">
        <v>48</v>
      </c>
      <c r="O469" s="33" t="n">
        <f>45900</f>
        <v>45900.0</v>
      </c>
      <c r="P469" s="34" t="s">
        <v>202</v>
      </c>
      <c r="Q469" s="33" t="n">
        <f>46250</f>
        <v>46250.0</v>
      </c>
      <c r="R469" s="34" t="s">
        <v>49</v>
      </c>
      <c r="S469" s="35" t="n">
        <f>46525</f>
        <v>46525.0</v>
      </c>
      <c r="T469" s="32" t="n">
        <f>4514</f>
        <v>4514.0</v>
      </c>
      <c r="U469" s="32" t="str">
        <f>"－"</f>
        <v>－</v>
      </c>
      <c r="V469" s="32" t="n">
        <f>210931250</f>
        <v>2.1093125E8</v>
      </c>
      <c r="W469" s="32" t="str">
        <f>"－"</f>
        <v>－</v>
      </c>
      <c r="X469" s="36" t="n">
        <f>22</f>
        <v>22.0</v>
      </c>
    </row>
    <row r="470">
      <c r="A470" s="27" t="s">
        <v>42</v>
      </c>
      <c r="B470" s="27" t="s">
        <v>1462</v>
      </c>
      <c r="C470" s="27" t="s">
        <v>1463</v>
      </c>
      <c r="D470" s="27" t="s">
        <v>1464</v>
      </c>
      <c r="E470" s="28" t="s">
        <v>46</v>
      </c>
      <c r="F470" s="29" t="s">
        <v>46</v>
      </c>
      <c r="G470" s="30" t="s">
        <v>46</v>
      </c>
      <c r="H470" s="31"/>
      <c r="I470" s="31" t="s">
        <v>416</v>
      </c>
      <c r="J470" s="32" t="n">
        <v>1.0</v>
      </c>
      <c r="K470" s="33" t="n">
        <f>96400</f>
        <v>96400.0</v>
      </c>
      <c r="L470" s="34" t="s">
        <v>48</v>
      </c>
      <c r="M470" s="33" t="n">
        <f>96800</f>
        <v>96800.0</v>
      </c>
      <c r="N470" s="34" t="s">
        <v>50</v>
      </c>
      <c r="O470" s="33" t="n">
        <f>89200</f>
        <v>89200.0</v>
      </c>
      <c r="P470" s="34" t="s">
        <v>49</v>
      </c>
      <c r="Q470" s="33" t="n">
        <f>90100</f>
        <v>90100.0</v>
      </c>
      <c r="R470" s="34" t="s">
        <v>49</v>
      </c>
      <c r="S470" s="35" t="n">
        <f>92663.64</f>
        <v>92663.64</v>
      </c>
      <c r="T470" s="32" t="n">
        <f>20569</f>
        <v>20569.0</v>
      </c>
      <c r="U470" s="32" t="n">
        <f>860</f>
        <v>860.0</v>
      </c>
      <c r="V470" s="32" t="n">
        <f>1909397857</f>
        <v>1.909397857E9</v>
      </c>
      <c r="W470" s="32" t="n">
        <f>78523157</f>
        <v>7.8523157E7</v>
      </c>
      <c r="X470" s="36" t="n">
        <f>22</f>
        <v>22.0</v>
      </c>
    </row>
    <row r="471">
      <c r="A471" s="27" t="s">
        <v>42</v>
      </c>
      <c r="B471" s="27" t="s">
        <v>1465</v>
      </c>
      <c r="C471" s="27" t="s">
        <v>1466</v>
      </c>
      <c r="D471" s="27" t="s">
        <v>1467</v>
      </c>
      <c r="E471" s="28" t="s">
        <v>46</v>
      </c>
      <c r="F471" s="29" t="s">
        <v>46</v>
      </c>
      <c r="G471" s="30" t="s">
        <v>46</v>
      </c>
      <c r="H471" s="31"/>
      <c r="I471" s="31" t="s">
        <v>416</v>
      </c>
      <c r="J471" s="32" t="n">
        <v>1.0</v>
      </c>
      <c r="K471" s="33" t="n">
        <f>51200</f>
        <v>51200.0</v>
      </c>
      <c r="L471" s="34" t="s">
        <v>48</v>
      </c>
      <c r="M471" s="33" t="n">
        <f>51200</f>
        <v>51200.0</v>
      </c>
      <c r="N471" s="34" t="s">
        <v>48</v>
      </c>
      <c r="O471" s="33" t="n">
        <f>49000</f>
        <v>49000.0</v>
      </c>
      <c r="P471" s="34" t="s">
        <v>202</v>
      </c>
      <c r="Q471" s="33" t="n">
        <f>49500</f>
        <v>49500.0</v>
      </c>
      <c r="R471" s="34" t="s">
        <v>49</v>
      </c>
      <c r="S471" s="35" t="n">
        <f>49752.27</f>
        <v>49752.27</v>
      </c>
      <c r="T471" s="32" t="n">
        <f>6502</f>
        <v>6502.0</v>
      </c>
      <c r="U471" s="32" t="n">
        <f>1</f>
        <v>1.0</v>
      </c>
      <c r="V471" s="32" t="n">
        <f>323674750</f>
        <v>3.2367475E8</v>
      </c>
      <c r="W471" s="32" t="n">
        <f>49850</f>
        <v>49850.0</v>
      </c>
      <c r="X471" s="36" t="n">
        <f>22</f>
        <v>22.0</v>
      </c>
    </row>
    <row r="472">
      <c r="A472" s="27" t="s">
        <v>42</v>
      </c>
      <c r="B472" s="27" t="s">
        <v>1468</v>
      </c>
      <c r="C472" s="27" t="s">
        <v>1469</v>
      </c>
      <c r="D472" s="27" t="s">
        <v>1470</v>
      </c>
      <c r="E472" s="28" t="s">
        <v>46</v>
      </c>
      <c r="F472" s="29" t="s">
        <v>46</v>
      </c>
      <c r="G472" s="30" t="s">
        <v>46</v>
      </c>
      <c r="H472" s="31"/>
      <c r="I472" s="31" t="s">
        <v>47</v>
      </c>
      <c r="J472" s="32" t="n">
        <v>1.0</v>
      </c>
      <c r="K472" s="33" t="n">
        <f>57800</f>
        <v>57800.0</v>
      </c>
      <c r="L472" s="34" t="s">
        <v>48</v>
      </c>
      <c r="M472" s="33" t="n">
        <f>57900</f>
        <v>57900.0</v>
      </c>
      <c r="N472" s="34" t="s">
        <v>48</v>
      </c>
      <c r="O472" s="33" t="n">
        <f>53000</f>
        <v>53000.0</v>
      </c>
      <c r="P472" s="34" t="s">
        <v>202</v>
      </c>
      <c r="Q472" s="33" t="n">
        <f>54500</f>
        <v>54500.0</v>
      </c>
      <c r="R472" s="34" t="s">
        <v>49</v>
      </c>
      <c r="S472" s="35" t="n">
        <f>55440.91</f>
        <v>55440.91</v>
      </c>
      <c r="T472" s="32" t="n">
        <f>33033</f>
        <v>33033.0</v>
      </c>
      <c r="U472" s="32" t="n">
        <f>650</f>
        <v>650.0</v>
      </c>
      <c r="V472" s="32" t="n">
        <f>1823610361</f>
        <v>1.823610361E9</v>
      </c>
      <c r="W472" s="32" t="n">
        <f>36069461</f>
        <v>3.6069461E7</v>
      </c>
      <c r="X472" s="36" t="n">
        <f>22</f>
        <v>22.0</v>
      </c>
    </row>
    <row r="473">
      <c r="A473" s="27" t="s">
        <v>42</v>
      </c>
      <c r="B473" s="27" t="s">
        <v>1471</v>
      </c>
      <c r="C473" s="27" t="s">
        <v>1472</v>
      </c>
      <c r="D473" s="27" t="s">
        <v>1473</v>
      </c>
      <c r="E473" s="28" t="s">
        <v>46</v>
      </c>
      <c r="F473" s="29" t="s">
        <v>46</v>
      </c>
      <c r="G473" s="30" t="s">
        <v>46</v>
      </c>
      <c r="H473" s="31"/>
      <c r="I473" s="31" t="s">
        <v>416</v>
      </c>
      <c r="J473" s="32" t="n">
        <v>1.0</v>
      </c>
      <c r="K473" s="33" t="n">
        <f>56900</f>
        <v>56900.0</v>
      </c>
      <c r="L473" s="34" t="s">
        <v>48</v>
      </c>
      <c r="M473" s="33" t="n">
        <f>56900</f>
        <v>56900.0</v>
      </c>
      <c r="N473" s="34" t="s">
        <v>48</v>
      </c>
      <c r="O473" s="33" t="n">
        <f>52400</f>
        <v>52400.0</v>
      </c>
      <c r="P473" s="34" t="s">
        <v>79</v>
      </c>
      <c r="Q473" s="33" t="n">
        <f>53400</f>
        <v>53400.0</v>
      </c>
      <c r="R473" s="34" t="s">
        <v>49</v>
      </c>
      <c r="S473" s="35" t="n">
        <f>54300</f>
        <v>54300.0</v>
      </c>
      <c r="T473" s="32" t="n">
        <f>40662</f>
        <v>40662.0</v>
      </c>
      <c r="U473" s="32" t="n">
        <f>892</f>
        <v>892.0</v>
      </c>
      <c r="V473" s="32" t="n">
        <f>2199935933</f>
        <v>2.199935933E9</v>
      </c>
      <c r="W473" s="32" t="n">
        <f>48096033</f>
        <v>4.8096033E7</v>
      </c>
      <c r="X473" s="36" t="n">
        <f>22</f>
        <v>22.0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2" fitToHeight="0" orientation="landscape" r:id="rId1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2020-05-11T08:48:14Z</dcterms:modified>
</cp:coreProperties>
</file>