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4" sheetId="1" r:id="rId1"/>
  </sheets>
  <definedNames>
    <definedName name="_xlnm.Print_Titles" localSheetId="0">BO_EM0004!$1:$6</definedName>
  </definedNames>
  <calcPr calcId="145621"/>
</workbook>
</file>

<file path=xl/sharedStrings.xml><?xml version="1.0" encoding="utf-8"?>
<sst xmlns="http://schemas.openxmlformats.org/spreadsheetml/2006/main" count="5822" uniqueCount="1520">
  <si>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</si>
  <si>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sb="0" eb="1">
      <t>トウ</t>
    </rPh>
    <rPh sb="2" eb="3">
      <t>シン</t>
    </rPh>
    <rPh sb="4" eb="5">
      <t>トウ</t>
    </rPh>
    <rPh sb="6" eb="7">
      <t>ソウ</t>
    </rPh>
    <rPh sb="8" eb="9">
      <t>バ</t>
    </rPh>
    <rPh sb="10" eb="11">
      <t>ヒョウ</t>
    </rPh>
    <phoneticPr fontId="3"/>
  </si>
  <si>
    <t>Investment Trust Quotations</t>
    <phoneticPr fontId="3"/>
  </si>
  <si>
    <t>年月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</si>
  <si>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</si>
  <si>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</si>
  <si>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</si>
  <si>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</si>
  <si>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</si>
  <si>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sb="0" eb="2">
      <t>ヒヅケ</t>
    </rPh>
    <phoneticPr fontId="3"/>
  </si>
  <si>
    <t>区分</t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</si>
  <si>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</si>
  <si>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</si>
  <si>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</si>
  <si>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</si>
  <si>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</si>
  <si>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</si>
  <si>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</si>
  <si>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</si>
  <si>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</si>
  <si>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</si>
  <si>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</si>
  <si>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</si>
  <si>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</si>
  <si>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</si>
  <si>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</si>
  <si>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</si>
  <si>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</si>
  <si>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</si>
  <si>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</si>
  <si>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</si>
  <si>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</si>
  <si>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</si>
  <si>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</si>
  <si>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</si>
  <si>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</si>
  <si>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</si>
  <si>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</si>
  <si>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</si>
  <si>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</si>
  <si>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</si>
  <si>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</si>
  <si>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2025/11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</si>
  <si>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</si>
  <si>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</si>
  <si>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</si>
  <si>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</si>
  <si>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</si>
  <si>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4</t>
  </si>
  <si>
    <t>13</t>
  </si>
  <si>
    <t>5</t>
  </si>
  <si>
    <t>28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</si>
  <si>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</si>
  <si>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</si>
  <si>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</si>
  <si>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</si>
  <si>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</si>
  <si>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Listed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</si>
  <si>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</si>
  <si>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</si>
  <si>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</si>
  <si>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20</t>
  </si>
  <si>
    <t>1311</t>
  </si>
  <si>
    <t>ＮＥＸＴ　ＦＵＮＤＳ　ＴＯＰＩＸ　Ｃｏｒｅ　３０連動型上場投信　受益証券</t>
  </si>
  <si>
    <t>NEXT FUNDS TOPIX Core 30 Exchange Traded Fund</t>
  </si>
  <si>
    <t>1319</t>
  </si>
  <si>
    <t>ＮＥＸＴ　ＦＵＮＤＳ　日経３００株価指数連動型上場投信　受益証券</t>
  </si>
  <si>
    <t>NEXT FUNDS Nikkei 300 Index Exchange Traded Fund</t>
  </si>
  <si>
    <t>18</t>
  </si>
  <si>
    <t>27</t>
  </si>
  <si>
    <t>1320</t>
  </si>
  <si>
    <t>ｉＦｒｅｅＥＴＦ　日経２２５（年１回決算型）　受益証券</t>
  </si>
  <si>
    <t>iFreeETF Nikkei225 (Yearly Dividend Type)</t>
  </si>
  <si>
    <t>19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</si>
  <si>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</si>
  <si>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</si>
  <si>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</si>
  <si>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</si>
  <si>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</si>
  <si>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</si>
  <si>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</si>
  <si>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</si>
  <si>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</si>
  <si>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</si>
  <si>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</si>
  <si>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</si>
  <si>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</si>
  <si>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</si>
  <si>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</si>
  <si>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7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</si>
  <si>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</si>
  <si>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</si>
  <si>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</si>
  <si>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</si>
  <si>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</si>
  <si>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Listed Index Fund 225</t>
  </si>
  <si>
    <t>133A</t>
  </si>
  <si>
    <t>グローバルＸ　超短期米国債　ＥＴＦ　受益証券</t>
  </si>
  <si>
    <t>Global X Ultra Short-Term T-Bill ETF</t>
  </si>
  <si>
    <t>1343</t>
  </si>
  <si>
    <t>ＮＥＸＴ　ＦＵＮＤＳ　東証ＲＥＩＴ　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</si>
  <si>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</si>
  <si>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</si>
  <si>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</si>
  <si>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</si>
  <si>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</si>
  <si>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</si>
  <si>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</si>
  <si>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</si>
  <si>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</si>
  <si>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</si>
  <si>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</si>
  <si>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</si>
  <si>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</si>
  <si>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25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</si>
  <si>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</si>
  <si>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</si>
  <si>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</si>
  <si>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</si>
  <si>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</si>
  <si>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</si>
  <si>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</si>
  <si>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</si>
  <si>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</si>
  <si>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</si>
  <si>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</si>
  <si>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</si>
  <si>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</si>
  <si>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</si>
  <si>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</si>
  <si>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</si>
  <si>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</si>
  <si>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</si>
  <si>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</si>
  <si>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</si>
  <si>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</si>
  <si>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</si>
  <si>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</si>
  <si>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</si>
  <si>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</si>
  <si>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</si>
  <si>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</si>
  <si>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</si>
  <si>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</si>
  <si>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</si>
  <si>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</si>
  <si>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</si>
  <si>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</si>
  <si>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21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</si>
  <si>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</si>
  <si>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</si>
  <si>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</si>
  <si>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</si>
  <si>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</si>
  <si>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</si>
  <si>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140A</t>
  </si>
  <si>
    <t>ｉＦｒｅｅＥＴＦ　米国１０年国債先物インバース　受益証券</t>
  </si>
  <si>
    <t>iFreeETF 10-Year U.S. Treasury Note Futures Inverse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</si>
  <si>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</si>
  <si>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</si>
  <si>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</si>
  <si>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</si>
  <si>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</si>
  <si>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</si>
  <si>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</si>
  <si>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</si>
  <si>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</si>
  <si>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</si>
  <si>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</si>
  <si>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</si>
  <si>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</si>
  <si>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</si>
  <si>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</si>
  <si>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</si>
  <si>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</si>
  <si>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</si>
  <si>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</si>
  <si>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</si>
  <si>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</si>
  <si>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</si>
  <si>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</si>
  <si>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</si>
  <si>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</si>
  <si>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</si>
  <si>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</si>
  <si>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</si>
  <si>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</si>
  <si>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</si>
  <si>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</si>
  <si>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</si>
  <si>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</si>
  <si>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6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</si>
  <si>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</si>
  <si>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</si>
  <si>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</si>
  <si>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</si>
  <si>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</si>
  <si>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</si>
  <si>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</si>
  <si>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</si>
  <si>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</si>
  <si>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11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</si>
  <si>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</si>
  <si>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</si>
  <si>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</si>
  <si>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</si>
  <si>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</si>
  <si>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</si>
  <si>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26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</si>
  <si>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</si>
  <si>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</si>
  <si>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</si>
  <si>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</si>
  <si>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</si>
  <si>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</si>
  <si>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</si>
  <si>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</si>
  <si>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</si>
  <si>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</si>
  <si>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</si>
  <si>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</si>
  <si>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</si>
  <si>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</si>
  <si>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</si>
  <si>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</si>
  <si>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</si>
  <si>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</si>
  <si>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</si>
  <si>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</si>
  <si>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</si>
  <si>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</si>
  <si>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</si>
  <si>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</si>
  <si>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</si>
  <si>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</si>
  <si>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</si>
  <si>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</si>
  <si>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</si>
  <si>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</si>
  <si>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</si>
  <si>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</si>
  <si>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</si>
  <si>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</si>
  <si>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</si>
  <si>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</si>
  <si>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10</t>
  </si>
  <si>
    <t>1496</t>
  </si>
  <si>
    <t>ｉシェアーズ　米ドル建て投資適格社債　ＥＴＦ（為替ヘッジあり）　受益証券</t>
  </si>
  <si>
    <t>iShares USD Investment Grade Corporate Bond JPY Hedged ETF</t>
  </si>
  <si>
    <t>17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</si>
  <si>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</si>
  <si>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</si>
  <si>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</si>
  <si>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</si>
  <si>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</si>
  <si>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</si>
  <si>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</si>
  <si>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</si>
  <si>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</si>
  <si>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</si>
  <si>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</si>
  <si>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</si>
  <si>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14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</si>
  <si>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</si>
  <si>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</si>
  <si>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</si>
  <si>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</si>
  <si>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</si>
  <si>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</si>
  <si>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</si>
  <si>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</si>
  <si>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</si>
  <si>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</si>
  <si>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</si>
  <si>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</si>
  <si>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</si>
  <si>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</si>
  <si>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</si>
  <si>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</si>
  <si>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</si>
  <si>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</si>
  <si>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</si>
  <si>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</si>
  <si>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</si>
  <si>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</si>
  <si>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</si>
  <si>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</si>
  <si>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</si>
  <si>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</si>
  <si>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</si>
  <si>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</si>
  <si>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</si>
  <si>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</si>
  <si>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</si>
  <si>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</si>
  <si>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</si>
  <si>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</si>
  <si>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</si>
  <si>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</si>
  <si>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</si>
  <si>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</si>
  <si>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</si>
  <si>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12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</si>
  <si>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</si>
  <si>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</si>
  <si>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</si>
  <si>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</si>
  <si>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</si>
  <si>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</si>
  <si>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</si>
  <si>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</si>
  <si>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</si>
  <si>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</si>
  <si>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</si>
  <si>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</si>
  <si>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</si>
  <si>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</si>
  <si>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</si>
  <si>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</si>
  <si>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</si>
  <si>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</si>
  <si>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</si>
  <si>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</si>
  <si>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</si>
  <si>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</si>
  <si>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</si>
  <si>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</si>
  <si>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</si>
  <si>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</si>
  <si>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</si>
  <si>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</si>
  <si>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</si>
  <si>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</si>
  <si>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</si>
  <si>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</si>
  <si>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</si>
  <si>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</si>
  <si>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</si>
  <si>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</si>
  <si>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</si>
  <si>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</si>
  <si>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</si>
  <si>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</si>
  <si>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</si>
  <si>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</si>
  <si>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</si>
  <si>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</si>
  <si>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</si>
  <si>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</si>
  <si>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</si>
  <si>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</si>
  <si>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</si>
  <si>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</si>
  <si>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</si>
  <si>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</si>
  <si>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</si>
  <si>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</si>
  <si>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</si>
  <si>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</si>
  <si>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</si>
  <si>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</si>
  <si>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</si>
  <si>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</si>
  <si>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</si>
  <si>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</si>
  <si>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</si>
  <si>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</si>
  <si>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</si>
  <si>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</si>
  <si>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</si>
  <si>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</si>
  <si>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</si>
  <si>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</si>
  <si>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</si>
  <si>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</si>
  <si>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</si>
  <si>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</si>
  <si>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</si>
  <si>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</si>
  <si>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</si>
  <si>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</si>
  <si>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</si>
  <si>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</si>
  <si>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</si>
  <si>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</si>
  <si>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</si>
  <si>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</si>
  <si>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</si>
  <si>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</si>
  <si>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</si>
  <si>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</si>
  <si>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</si>
  <si>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</si>
  <si>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</si>
  <si>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</si>
  <si>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</si>
  <si>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</si>
  <si>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</si>
  <si>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</si>
  <si>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</si>
  <si>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</si>
  <si>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</si>
  <si>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</si>
  <si>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</si>
  <si>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</si>
  <si>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</si>
  <si>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</si>
  <si>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</si>
  <si>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</si>
  <si>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</si>
  <si>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</si>
  <si>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</si>
  <si>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</si>
  <si>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</si>
  <si>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</si>
  <si>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</si>
  <si>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</si>
  <si>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</si>
  <si>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</si>
  <si>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</si>
  <si>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</si>
  <si>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</si>
  <si>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</si>
  <si>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</si>
  <si>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</si>
  <si>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</si>
  <si>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</si>
  <si>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</si>
  <si>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</si>
  <si>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</si>
  <si>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</si>
  <si>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</si>
  <si>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</si>
  <si>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</si>
  <si>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</si>
  <si>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</si>
  <si>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</si>
  <si>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</si>
  <si>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</si>
  <si>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</si>
  <si>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Ｂｌｏｓｓｏｍ　Ｊａｐａｎ　Ｉｎｄｅｘ　受益証券</t>
  </si>
  <si>
    <t>iFreeETF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</si>
  <si>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</si>
  <si>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</si>
  <si>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</si>
  <si>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</si>
  <si>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</si>
  <si>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</si>
  <si>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</si>
  <si>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</si>
  <si>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</si>
  <si>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</si>
  <si>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</si>
  <si>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</si>
  <si>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</si>
  <si>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</si>
  <si>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</si>
  <si>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</si>
  <si>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</si>
  <si>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</si>
  <si>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</si>
  <si>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</si>
  <si>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</si>
  <si>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</si>
  <si>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</si>
  <si>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</si>
  <si>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</si>
  <si>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</si>
  <si>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</si>
  <si>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</si>
  <si>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</si>
  <si>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</si>
  <si>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</si>
  <si>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</si>
  <si>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</si>
  <si>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</si>
  <si>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</si>
  <si>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</si>
  <si>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</si>
  <si>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</si>
  <si>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</si>
  <si>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</si>
  <si>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</si>
  <si>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</si>
  <si>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</si>
  <si>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</si>
  <si>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</si>
  <si>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</si>
  <si>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</si>
  <si>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</si>
  <si>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</si>
  <si>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</si>
  <si>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</si>
  <si>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</si>
  <si>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</si>
  <si>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</si>
  <si>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</si>
  <si>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</si>
  <si>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</si>
  <si>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</si>
  <si>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</si>
  <si>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</si>
  <si>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</si>
  <si>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</si>
  <si>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</si>
  <si>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</si>
  <si>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</si>
  <si>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</si>
  <si>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</si>
  <si>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</si>
  <si>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</si>
  <si>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</si>
  <si>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</si>
  <si>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</si>
  <si>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</si>
  <si>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</si>
  <si>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</si>
  <si>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</si>
  <si>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</si>
  <si>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</si>
  <si>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</si>
  <si>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</si>
  <si>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</si>
  <si>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</si>
  <si>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</si>
  <si>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</si>
  <si>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</si>
  <si>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</si>
  <si>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</si>
  <si>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</si>
  <si>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</si>
  <si>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</si>
  <si>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</si>
  <si>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</si>
  <si>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</si>
  <si>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</si>
  <si>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</si>
  <si>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</si>
  <si>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</si>
  <si>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</si>
  <si>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</si>
  <si>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</si>
  <si>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</si>
  <si>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</si>
  <si>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</si>
  <si>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</si>
  <si>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</si>
  <si>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</si>
  <si>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</si>
  <si>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</si>
  <si>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</si>
  <si>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</si>
  <si>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</si>
  <si>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</si>
  <si>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</si>
  <si>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</si>
  <si>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</si>
  <si>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</si>
  <si>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</si>
  <si>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</si>
  <si>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</si>
  <si>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</si>
  <si>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</si>
  <si>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</si>
  <si>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</si>
  <si>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</si>
  <si>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</si>
  <si>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</si>
  <si>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</si>
  <si>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</si>
  <si>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</si>
  <si>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</si>
  <si>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</si>
  <si>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</si>
  <si>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</si>
  <si>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</si>
  <si>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</si>
  <si>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</si>
  <si>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</si>
  <si>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</si>
  <si>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</si>
  <si>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</si>
  <si>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</si>
  <si>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</si>
  <si>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</si>
  <si>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</si>
  <si>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</si>
  <si>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</si>
  <si>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</si>
  <si>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</si>
  <si>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</si>
  <si>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</si>
  <si>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</si>
  <si>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</si>
  <si>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</si>
  <si>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</si>
  <si>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</si>
  <si>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</si>
  <si>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</si>
  <si>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</si>
  <si>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</si>
  <si>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</si>
  <si>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</si>
  <si>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</si>
  <si>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</si>
  <si>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</si>
  <si>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</si>
  <si>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</si>
  <si>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</si>
  <si>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</si>
  <si>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</si>
  <si>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</si>
  <si>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</si>
  <si>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</si>
  <si>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</si>
  <si>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</si>
  <si>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</si>
  <si>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</si>
  <si>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</si>
  <si>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</si>
  <si>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</si>
  <si>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</si>
  <si>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</si>
  <si>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</si>
  <si>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</si>
  <si>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</si>
  <si>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</si>
  <si>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</si>
  <si>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</si>
  <si>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</si>
  <si>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</si>
  <si>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</si>
  <si>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</si>
  <si>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</si>
  <si>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</si>
  <si>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</si>
  <si>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</si>
  <si>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</si>
  <si>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</si>
  <si>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</si>
  <si>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</si>
  <si>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</si>
  <si>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</si>
  <si>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</si>
  <si>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</si>
  <si>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</si>
  <si>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</si>
  <si>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</si>
  <si>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</si>
  <si>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</si>
  <si>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</si>
  <si>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</si>
  <si>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</si>
  <si>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</si>
  <si>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</si>
  <si>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</si>
  <si>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</si>
  <si>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</si>
  <si>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</si>
  <si>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</si>
  <si>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</si>
  <si>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</si>
  <si>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</si>
  <si>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</si>
  <si>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</si>
  <si>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</si>
  <si>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</si>
  <si>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</si>
  <si>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</si>
  <si>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</si>
  <si>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</si>
  <si>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</si>
  <si>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</si>
  <si>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</si>
  <si>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</si>
  <si>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</si>
  <si>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</si>
  <si>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</si>
  <si>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</si>
  <si>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</si>
  <si>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</si>
  <si>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</si>
  <si>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</si>
  <si>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</si>
  <si>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</si>
  <si>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</si>
  <si>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</si>
  <si>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</si>
  <si>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</si>
  <si>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</si>
  <si>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</si>
  <si>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</si>
  <si>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</si>
  <si>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</si>
  <si>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</si>
  <si>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</si>
  <si>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</si>
  <si>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</si>
  <si>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</si>
  <si>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</si>
  <si>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</si>
  <si>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</si>
  <si>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</si>
  <si>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</si>
  <si>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</si>
  <si>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</si>
  <si>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</si>
  <si>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</si>
  <si>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</si>
  <si>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</si>
  <si>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</si>
  <si>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</si>
  <si>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</si>
  <si>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</si>
  <si>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</si>
  <si>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</si>
  <si>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</si>
  <si>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</si>
  <si>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</si>
  <si>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</si>
  <si>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</si>
  <si>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</si>
  <si>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</si>
  <si>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</si>
  <si>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</si>
  <si>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</si>
  <si>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</si>
  <si>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</si>
  <si>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</si>
  <si>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</si>
  <si>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</si>
  <si>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</si>
  <si>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</si>
  <si>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</si>
  <si>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</si>
  <si>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</si>
  <si>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</si>
  <si>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</si>
  <si>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</si>
  <si>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</si>
  <si>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</si>
  <si>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</si>
  <si>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</si>
  <si>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</si>
  <si>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</si>
  <si>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</si>
  <si>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</si>
  <si>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</si>
  <si>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</si>
  <si>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</si>
  <si>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</si>
  <si>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</si>
  <si>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</si>
  <si>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</si>
  <si>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</si>
  <si>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</si>
  <si>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</si>
  <si>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</si>
  <si>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</si>
  <si>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</si>
  <si>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</si>
  <si>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</si>
  <si>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</si>
  <si>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</si>
  <si>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</si>
  <si>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</si>
  <si>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</si>
  <si>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</si>
  <si>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</si>
  <si>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</si>
  <si>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</si>
  <si>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</si>
  <si>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</si>
  <si>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</si>
  <si>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</si>
  <si>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</si>
  <si>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</si>
  <si>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</si>
  <si>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</si>
  <si>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</si>
  <si>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</si>
  <si>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</si>
  <si>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</si>
  <si>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</si>
  <si>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</si>
  <si>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</si>
  <si>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</si>
  <si>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</si>
  <si>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</si>
  <si>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</si>
  <si>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</si>
  <si>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</si>
  <si>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</si>
  <si>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</si>
  <si>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</si>
  <si>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</si>
  <si>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</si>
  <si>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</si>
  <si>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</si>
  <si>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</si>
  <si>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</si>
  <si>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</si>
  <si>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</si>
  <si>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</si>
  <si>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</si>
  <si>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</si>
  <si>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</si>
  <si>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</si>
  <si>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</si>
  <si>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</si>
  <si>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</si>
  <si>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</si>
  <si>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</si>
  <si>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</si>
  <si>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</si>
  <si>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</si>
  <si>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</si>
  <si>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</si>
  <si>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</si>
  <si>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</si>
  <si>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</si>
  <si>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</si>
  <si>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</si>
  <si>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</si>
  <si>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</si>
  <si>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</si>
  <si>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</si>
  <si>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</si>
  <si>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</si>
  <si>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</si>
  <si>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</si>
  <si>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</si>
  <si>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</si>
  <si>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</si>
  <si>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</si>
  <si>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</si>
  <si>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</si>
  <si>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</si>
  <si>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</si>
  <si>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</si>
  <si>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</si>
  <si>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</si>
  <si>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</si>
  <si>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</si>
  <si>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</si>
  <si>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</si>
  <si>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</si>
  <si>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</si>
  <si>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</si>
  <si>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</si>
  <si>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</si>
  <si>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</si>
  <si>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</si>
  <si>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</si>
  <si>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</si>
  <si>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</si>
  <si>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</si>
  <si>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</si>
  <si>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</si>
  <si>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</si>
  <si>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</si>
  <si>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</si>
  <si>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</si>
  <si>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</si>
  <si>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</si>
  <si>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</si>
  <si>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</si>
  <si>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</si>
  <si>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</si>
  <si>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</si>
  <si>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</si>
  <si>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</si>
  <si>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</si>
  <si>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</si>
  <si>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</si>
  <si>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</si>
  <si>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</si>
  <si>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</si>
  <si>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</si>
  <si>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</si>
  <si>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</si>
  <si>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</si>
  <si>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</si>
  <si>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</si>
  <si>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</si>
  <si>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</si>
  <si>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</si>
  <si>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</si>
  <si>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</si>
  <si>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</si>
  <si>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</si>
  <si>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</si>
  <si>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</si>
  <si>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</si>
  <si>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</si>
  <si>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</si>
  <si>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</si>
  <si>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</si>
  <si>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</si>
  <si>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</si>
  <si>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</si>
  <si>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</si>
  <si>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</si>
  <si>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</si>
  <si>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</si>
  <si>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</si>
  <si>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</si>
  <si>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</si>
  <si>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</si>
  <si>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</si>
  <si>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</si>
  <si>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</si>
  <si>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</si>
  <si>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</si>
  <si>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</si>
  <si>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</si>
  <si>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</si>
  <si>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</si>
  <si>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</si>
  <si>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</si>
  <si>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</si>
  <si>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</si>
  <si>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</si>
  <si>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</si>
  <si>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</si>
  <si>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</si>
  <si>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</si>
  <si>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</si>
  <si>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</si>
  <si>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</si>
  <si>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</si>
  <si>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</si>
  <si>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</si>
  <si>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</si>
  <si>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</si>
  <si>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</si>
  <si>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</si>
  <si>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</si>
  <si>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</si>
  <si>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</si>
  <si>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</si>
  <si>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</si>
  <si>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</si>
  <si>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</si>
  <si>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</si>
  <si>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</si>
  <si>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</si>
  <si>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</si>
  <si>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</si>
  <si>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</si>
  <si>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</si>
  <si>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</si>
  <si>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</si>
  <si>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</si>
  <si>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</si>
  <si>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</si>
  <si>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</si>
  <si>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</si>
  <si>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</si>
  <si>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</si>
  <si>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</si>
  <si>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</si>
  <si>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</si>
  <si>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</si>
  <si>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</si>
  <si>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</si>
  <si>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</si>
  <si>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</si>
  <si>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</si>
  <si>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</si>
  <si>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</si>
  <si>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</si>
  <si>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</si>
  <si>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</si>
  <si>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</si>
  <si>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</si>
  <si>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</si>
  <si>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</si>
  <si>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</si>
  <si>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</si>
  <si>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</si>
  <si>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</si>
  <si>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</si>
  <si>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</si>
  <si>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</si>
  <si>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</si>
  <si>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</si>
  <si>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</si>
  <si>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</si>
  <si>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</si>
  <si>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</si>
  <si>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</si>
  <si>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</si>
  <si>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</si>
  <si>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</si>
  <si>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</si>
  <si>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</si>
  <si>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</si>
  <si>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</si>
  <si>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</si>
  <si>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</si>
  <si>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</si>
  <si>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</si>
  <si>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</si>
  <si>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</si>
  <si>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</si>
  <si>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</si>
  <si>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</si>
  <si>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</si>
  <si>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</si>
  <si>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</si>
  <si>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</si>
  <si>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</si>
  <si>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５００スコアリング＆スクリーニング指数連動型上場投信　受益証券</t>
  </si>
  <si>
    <t>NEXT FUNDS S&amp;P 500 Scored &amp; Screened Index Exchange Traded Fund</t>
  </si>
  <si>
    <t xml:space="preserve">上場廃止  </t>
  </si>
  <si>
    <t xml:space="preserve">Removal  </t>
  </si>
  <si>
    <t xml:space="preserve">2025/11/07  </t>
  </si>
  <si>
    <t>整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</si>
  <si>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</si>
  <si>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</si>
  <si>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</si>
  <si>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</si>
  <si>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</si>
  <si>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</si>
  <si>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</si>
  <si>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</si>
  <si>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</si>
  <si>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</si>
  <si>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</si>
  <si>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</si>
  <si>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</si>
  <si>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</si>
  <si>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</si>
  <si>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</si>
  <si>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</si>
  <si>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</si>
  <si>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</si>
  <si>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</si>
  <si>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</si>
  <si>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</si>
  <si>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ＭＳＣＩジャパンカントリー指数（セレクト）連動型上場投信　受益証券</t>
  </si>
  <si>
    <t>NEXT FUNDS MSCI Japan Country Selection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</si>
  <si>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</si>
  <si>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</si>
  <si>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</si>
  <si>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</si>
  <si>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</si>
  <si>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</si>
  <si>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</si>
  <si>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</si>
  <si>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</si>
  <si>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</si>
  <si>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</si>
  <si>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</si>
  <si>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</si>
  <si>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</si>
  <si>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</si>
  <si>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</si>
  <si>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</si>
  <si>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</si>
  <si>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</si>
  <si>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</si>
  <si>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</si>
  <si>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</si>
  <si>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</si>
  <si>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</si>
  <si>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</si>
  <si>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</si>
  <si>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</si>
  <si>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</si>
  <si>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</si>
  <si>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</si>
  <si>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</si>
  <si>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</si>
  <si>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</si>
  <si>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</si>
  <si>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</si>
  <si>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</si>
  <si>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</si>
  <si>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</si>
  <si>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</si>
  <si>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</si>
  <si>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</si>
  <si>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</si>
  <si>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</si>
  <si>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</si>
  <si>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</si>
  <si>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</si>
  <si>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</si>
  <si>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</si>
  <si>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</si>
  <si>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</si>
  <si>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</si>
  <si>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</si>
  <si>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</si>
  <si>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</si>
  <si>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</si>
  <si>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</si>
  <si>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</si>
  <si>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</si>
  <si>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</si>
  <si>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</si>
  <si>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</si>
  <si>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</si>
  <si>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</si>
  <si>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</si>
  <si>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</si>
  <si>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</si>
  <si>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</si>
  <si>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</si>
  <si>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</si>
  <si>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</si>
  <si>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</si>
  <si>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</si>
  <si>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</si>
  <si>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</si>
  <si>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</si>
  <si>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</si>
  <si>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</si>
  <si>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</si>
  <si>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</si>
  <si>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</si>
  <si>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</si>
  <si>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</si>
  <si>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</si>
  <si>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</si>
  <si>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</si>
  <si>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</si>
  <si>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</si>
  <si>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</si>
  <si>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</si>
  <si>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</si>
  <si>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</si>
  <si>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</si>
  <si>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</si>
  <si>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</si>
  <si>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</si>
  <si>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</si>
  <si>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</si>
  <si>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</si>
  <si>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</si>
  <si>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</si>
  <si>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</si>
  <si>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</si>
  <si>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</si>
  <si>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</si>
  <si>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</si>
  <si>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</si>
  <si>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</si>
  <si>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</si>
  <si>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 xml:space="preserve">2025/11/16  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</si>
  <si>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</si>
  <si>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</si>
  <si>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</si>
  <si>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</si>
  <si>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</si>
  <si>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</si>
  <si>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</si>
  <si>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</si>
  <si>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</si>
  <si>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</si>
  <si>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</si>
  <si>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</si>
  <si>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</si>
  <si>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</si>
  <si>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</si>
  <si>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</si>
  <si>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</si>
  <si>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</si>
  <si>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</si>
  <si>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</si>
  <si>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</si>
  <si>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</si>
  <si>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</si>
  <si>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</si>
  <si>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</si>
  <si>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</si>
  <si>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</si>
  <si>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</si>
  <si>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</si>
  <si>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</si>
  <si>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</si>
  <si>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</si>
  <si>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</si>
  <si>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</si>
  <si>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</si>
  <si>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</si>
  <si>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</si>
  <si>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</si>
  <si>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</si>
  <si>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313A</t>
  </si>
  <si>
    <t>ｉシェアーズ　Ｓ＆Ｐ　５００　トップ　２０　ＥＴＦ　受益証券</t>
  </si>
  <si>
    <t>iShares S&amp;P 500 Top 20 ETF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</si>
  <si>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</si>
  <si>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</si>
  <si>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</si>
  <si>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</si>
  <si>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</si>
  <si>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</si>
  <si>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>316A</t>
  </si>
  <si>
    <t>ｉＦｒｅｅＥＴＦ　ＦＡＮＧ＋　受益証券</t>
  </si>
  <si>
    <t>iFreeETF FANG+</t>
  </si>
  <si>
    <t>318A</t>
  </si>
  <si>
    <t>ＶＩＸ短期先物指数ＥＴＦ　受益証券</t>
  </si>
  <si>
    <t>SIMPLEX VIX Short-Term Futures ETF</t>
  </si>
  <si>
    <t>3226</t>
  </si>
  <si>
    <t>三井不動産アコモデーションファンド投資法人　投資証券</t>
  </si>
  <si>
    <t>Mitsui Fudosan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</si>
  <si>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</si>
  <si>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</si>
  <si>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</si>
  <si>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</si>
  <si>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</si>
  <si>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</si>
  <si>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</si>
  <si>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</si>
  <si>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</si>
  <si>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</si>
  <si>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</si>
  <si>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</si>
  <si>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</si>
  <si>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</si>
  <si>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</si>
  <si>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</si>
  <si>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</si>
  <si>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</si>
  <si>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</si>
  <si>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</si>
  <si>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</si>
  <si>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</si>
  <si>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</si>
  <si>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</si>
  <si>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328A</t>
  </si>
  <si>
    <t>グローバルＸ　プライシングパワー・リーダーズ－日本株式　ＥＴＦ　受益証券</t>
  </si>
  <si>
    <t>Global X Japan Pricing Power Leaders ETF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</si>
  <si>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</si>
  <si>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</si>
  <si>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</si>
  <si>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</si>
  <si>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</si>
  <si>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</si>
  <si>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</si>
  <si>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</si>
  <si>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</si>
  <si>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</si>
  <si>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</si>
  <si>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</si>
  <si>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</si>
  <si>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</si>
  <si>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</si>
  <si>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</si>
  <si>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</si>
  <si>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</si>
  <si>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</si>
  <si>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</si>
  <si>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</si>
  <si>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</si>
  <si>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</si>
  <si>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</si>
  <si>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345A</t>
  </si>
  <si>
    <t>高配当成長　日本株（ネットリターン）ＥＴＮ　受益証券</t>
  </si>
  <si>
    <t>High Dividend Growth Japan Equity Net Return ETN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</si>
  <si>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</si>
  <si>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</si>
  <si>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</si>
  <si>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</si>
  <si>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</si>
  <si>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</si>
  <si>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</si>
  <si>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</si>
  <si>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</si>
  <si>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</si>
  <si>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</si>
  <si>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</si>
  <si>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346A</t>
  </si>
  <si>
    <t>ＮＥＸＴ　ＦＵＮＤＳ　Ｓ＆Ｐ　５００　半導体・半導体製造装置３５％キャップ指数連動型上場投信　受益証券</t>
  </si>
  <si>
    <t>NEXT FUNDS S&amp;P 500 Semiconductors &amp; Semiconductor Equipment (Industry Group) 35% Capped Index Exchange Traded Fund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</si>
  <si>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</si>
  <si>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</si>
  <si>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</si>
  <si>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</si>
  <si>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</si>
  <si>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</si>
  <si>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</si>
  <si>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</si>
  <si>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</si>
  <si>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</si>
  <si>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</si>
  <si>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</si>
  <si>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</si>
  <si>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</si>
  <si>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</si>
  <si>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</si>
  <si>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</si>
  <si>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</si>
  <si>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</si>
  <si>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セントラル・リート投資法人　投資証券</t>
  </si>
  <si>
    <t>CENTRAL REIT Investment Corporation</t>
  </si>
  <si>
    <t>348A</t>
  </si>
  <si>
    <t>ＭＡＸＩＳ読売３３３日本株上場投信　受益証券</t>
  </si>
  <si>
    <t>MAXIS Yomiuri333 Japan Stock ETF</t>
  </si>
  <si>
    <t>3492</t>
  </si>
  <si>
    <t>タカラレーベン不動産投資法人　投資証券</t>
  </si>
  <si>
    <t>Takara Leben Real Estate Investment Corporation</t>
  </si>
  <si>
    <t>349A</t>
  </si>
  <si>
    <t>ＳＭＤＡＭ　Ａｃｔｉｖｅ　ＥＴＦ　日本グロース株式　受益証券</t>
  </si>
  <si>
    <t>SMDAM Active ETF Japan Growth Equity</t>
  </si>
  <si>
    <t>354A</t>
  </si>
  <si>
    <t>ｉＦｒｅｅＥＴＦ　ブルームバーグ日本株高配当５０指数　受益証券</t>
  </si>
  <si>
    <t>iFreeETF Bloomberg Japan High Dividend 50 Index</t>
  </si>
  <si>
    <t>356A</t>
  </si>
  <si>
    <t>グローバルＸ　Ｓ＆Ｐ５００　キャッシュフロー・トップ１００　ＥＴＦ　受益証券</t>
  </si>
  <si>
    <t>Global X S&amp;P 500 Cash Flow Top 100 ETF</t>
  </si>
  <si>
    <t>360A</t>
  </si>
  <si>
    <t>東証ＲＥＩＴ　Ｃｏｒｅ　ＥＴＦ　受益証券</t>
  </si>
  <si>
    <t>TSE REIT Core ETF</t>
  </si>
  <si>
    <t>363A</t>
  </si>
  <si>
    <t>ｉＦｒｅｅＥＴＦ　英国ＦＴＳＥ１００　受益証券</t>
  </si>
  <si>
    <t>iFreeETF FTSE100</t>
  </si>
  <si>
    <t>364A</t>
  </si>
  <si>
    <t>ＮＥＸＴ　ＦＵＮＤＳ　Ｓ＆Ｐ　５００　配当貴族指数連動型上場投信　受益証券</t>
  </si>
  <si>
    <t>NEXT FUNDS S&amp;P 500 Dividend Aristocrats Index Exchange Traded Fund</t>
  </si>
  <si>
    <t>376A</t>
  </si>
  <si>
    <t>ＮＥＸＴ　ＦＵＮＤＳ　ブルームバーグ米国国債（７－１０年）インデックス（７５％為替ヘッジあり）連動型上場投信　受益証券</t>
  </si>
  <si>
    <t>NEXT FUNDS Bloomberg US Treasury Bond (7-10 year) Index (75% Yen-Hedged) Exchange Traded Fund</t>
  </si>
  <si>
    <t>379A</t>
  </si>
  <si>
    <t>グローバルＸ　Ｓ＆Ｐ５００　ＥＴＦ（ダイナミック・プロテクション）　受益証券</t>
  </si>
  <si>
    <t>Global X S&amp;P 500 ETF (Dynamic Protection)</t>
  </si>
  <si>
    <t>380A</t>
  </si>
  <si>
    <t>グローバルＸ　チャイナテック　ＥＴＦ　受益証券</t>
  </si>
  <si>
    <t>Global X China Tech ETF</t>
  </si>
  <si>
    <t>381A</t>
  </si>
  <si>
    <t>ｉＦｒｅｅＥＴＦ　米国国債３－５年（為替ヘッジなし）　受益証券</t>
  </si>
  <si>
    <t>iFreeETF US Treasury Bond 3-5 Year (NON HEDGED)</t>
  </si>
  <si>
    <t>382A</t>
  </si>
  <si>
    <t>ｉＦｒｅｅＥＴＦ　米国国債３－５年（為替ヘッジあり）　受益証券</t>
  </si>
  <si>
    <t>iFreeETF US Treasury Bond 3-5 Year (JPY HEDGED)</t>
  </si>
  <si>
    <t>383A</t>
  </si>
  <si>
    <t>ＭＡＸＩＳ　Ｓ＆Ｐ５００均等ウェイト上場投信　受益証券</t>
  </si>
  <si>
    <t>MAXIS S&amp;P500 Equal Weight ETF</t>
  </si>
  <si>
    <t>392A</t>
  </si>
  <si>
    <t>ｉシェアーズ　ＮＡＳＤＡＱ　トップ　３０　ＥＴＦ　受益証券</t>
  </si>
  <si>
    <t>iShares Nasdaq Top 30 ETF</t>
  </si>
  <si>
    <t>394A</t>
  </si>
  <si>
    <t>業界改革厳選ＥＴＦテレビ業界　受益証券</t>
  </si>
  <si>
    <t>Sector Restructuring Select ETF TV</t>
  </si>
  <si>
    <t>395A</t>
  </si>
  <si>
    <t>業界改革厳選ＥＴＦ地銀　受益証券</t>
  </si>
  <si>
    <t>Sector Restructuring Select ETF Regional Banks</t>
  </si>
  <si>
    <t>396A</t>
  </si>
  <si>
    <t>業界改革厳選ＥＴＦ　ＲＥＩＴイベント・ドリブン　受益証券</t>
  </si>
  <si>
    <t>Sector Restructuring Select ETF Event-Driven REITs</t>
  </si>
  <si>
    <t>399A</t>
  </si>
  <si>
    <t>上場インデックスファンド日経平均高配当株５０　受益証券</t>
  </si>
  <si>
    <t>Listed Index Fund Nikkei 225 High Dividend Yield Stock 50</t>
  </si>
  <si>
    <t>401A</t>
  </si>
  <si>
    <t>霞ヶ関ホテルリート投資法人　投資証券</t>
  </si>
  <si>
    <t>Kasumigaseki Hotel REIT Investment Corporation</t>
  </si>
  <si>
    <t>404A</t>
  </si>
  <si>
    <t>グローバルＸ　チャイナテック・トップ１０　ＥＴＦ　受益証券</t>
  </si>
  <si>
    <t>Global X China Tech Top 10 ETF</t>
  </si>
  <si>
    <t>408A</t>
  </si>
  <si>
    <t>ｉシェアーズ　ＡＩ　グローバル・イノベーション　アクティブ　ＥＴＦ　受益証券</t>
  </si>
  <si>
    <t>iShares A.I. Global Innovation Active ETF</t>
  </si>
  <si>
    <t>412A</t>
  </si>
  <si>
    <t>ＮＥＸＴ　ＦＵＮＤＳ　ＴＩＰ　ＦａｃｔＳｅｔ　台湾イノベイティブ・テクノロジー５０指数連動型上場投信　受益証券</t>
  </si>
  <si>
    <t>NEXT FUNDS TIP FactSet Taiwan Innovative Technology 50 Index Exchange Traded Fund</t>
  </si>
  <si>
    <t>413A</t>
  </si>
  <si>
    <t>ｉＦｒｅｅＥＴＦ　キャセイ台湾テックリーダー指数　受益証券</t>
  </si>
  <si>
    <t>iFreeETF Cathay Taiwan Tech Leader Index</t>
  </si>
  <si>
    <t>424A</t>
  </si>
  <si>
    <t>グローバルＸ　ゴールド　ＥＴＦ（為替ヘッジあり）　受益証券</t>
  </si>
  <si>
    <t>Global X Gold ETF (JPY Hedged)</t>
  </si>
  <si>
    <t>425A</t>
  </si>
  <si>
    <t>グローバルＸ　ゴールド　ＥＴＦ　受益証券</t>
  </si>
  <si>
    <t>Global X Gold ETF</t>
  </si>
  <si>
    <t>426A</t>
  </si>
  <si>
    <t>ニッセイＥＴＦ　Ｓ＆Ｐ５００イコール・ウェイト（為替ヘッジなし）　受益証券</t>
  </si>
  <si>
    <t>Nissay ETF S&amp;P500 Equal Weight (Currency Unhedged)</t>
  </si>
  <si>
    <t>435A</t>
  </si>
  <si>
    <t>ｉＦｒｅｅＥＴＦ　日本株配当ローテーション戦略　受益証券</t>
  </si>
  <si>
    <t>iFreeETF Japan Equity Dividend Rotation Strategy</t>
  </si>
  <si>
    <t>443A</t>
  </si>
  <si>
    <t>ｉＦｒｅｅＥＴＦ　東証ＲＥＩＴ指数（２・５・８・１１月決算型）　受益証券</t>
  </si>
  <si>
    <t>iFreeETF Tokyo Stock Exchange REIT Index (Feb/May/Aug/Nov Dividend Type)</t>
  </si>
  <si>
    <t xml:space="preserve">新規上場  </t>
  </si>
  <si>
    <t xml:space="preserve">New Listing  </t>
  </si>
  <si>
    <t xml:space="preserve">2025/11/04  </t>
  </si>
  <si>
    <t>447A</t>
  </si>
  <si>
    <t>ステート・ストリート・スパイダー　ゴールド　ＥＴＦ（為替ヘッジなし）　受益証券</t>
  </si>
  <si>
    <t>State Street SPDR Gold ETF (JPY Unhedged)</t>
  </si>
  <si>
    <t xml:space="preserve">2025/11/19  </t>
  </si>
  <si>
    <t>448A</t>
  </si>
  <si>
    <t>ステート・ストリート・スパイダー　ゴールド　ＥＴＦ（為替ヘッジあり）　受益証券</t>
  </si>
  <si>
    <t>State Street SPDR Gold ETF (JPY Hedged)</t>
  </si>
  <si>
    <t>449A</t>
  </si>
  <si>
    <t>ステート・ストリート・スパイダー　Ｓ＆Ｐ５００　ＥＴＦ（為替ヘッジなし）　受益証券</t>
  </si>
  <si>
    <t>State Street SPDR S&amp;P 500 ETF (JPY Unhedged)</t>
  </si>
  <si>
    <t>450A</t>
  </si>
  <si>
    <t>ステート・ストリート・スパイダー　Ｓ＆Ｐ５００　ＥＴＦ（為替ヘッジあり）　受益証券</t>
  </si>
  <si>
    <t>State Street SPDR S&amp;P 500 ETF (JPY Hedged)</t>
  </si>
  <si>
    <t>451A</t>
  </si>
  <si>
    <t>ステート・ストリート・スパイダー　Ｓ＆Ｐ５００高配当株　ＥＴＦ　受益証券</t>
  </si>
  <si>
    <t>State Street SPDR S&amp;P 500 High Dividend ETF (JPY Unhedged)</t>
  </si>
  <si>
    <t>452A</t>
  </si>
  <si>
    <t>ｉシェアーズ　Ｓ＆Ｐ　５００　プレミアムインカム　ＥＴＦ　受益証券</t>
  </si>
  <si>
    <t>iShares S&amp;P 500 Premium Income ETF</t>
  </si>
  <si>
    <t xml:space="preserve">2025/11/12  </t>
  </si>
  <si>
    <t>453A</t>
  </si>
  <si>
    <t>ｉシェアーズ　米国債２０年超　プレミアムインカム　ＥＴＦ　受益証券</t>
  </si>
  <si>
    <t>iShares 20+ Year US Treasury Bond Premium Income ETF</t>
  </si>
  <si>
    <t>459A</t>
  </si>
  <si>
    <t>野村高利回りＪリート指数ＥＴＦ　受益証券</t>
  </si>
  <si>
    <t>Nomura High-yield J-REIT Index ETF</t>
  </si>
  <si>
    <t>461A</t>
  </si>
  <si>
    <t>ＭＡＸＩＳ日本株高配当ＳＭＡＲＴ５０上場投信　受益証券</t>
  </si>
  <si>
    <t>MAXIS Japan Equity High Dividend SMART 50 ETF</t>
  </si>
  <si>
    <t xml:space="preserve">2025/11/13  </t>
  </si>
  <si>
    <t>465A</t>
  </si>
  <si>
    <t>グローバルＸ　日経平均株主還元４０－日本株式　ＥＴＦ　受益証券</t>
  </si>
  <si>
    <t>Global X Japan Nikkei 225 Shareholder Return 40 ETF</t>
  </si>
  <si>
    <t xml:space="preserve">2025/11/26  </t>
  </si>
  <si>
    <t>466A</t>
  </si>
  <si>
    <t>グローバルＸ　防衛テック　ＥＴＦ　受益証券</t>
  </si>
  <si>
    <t>Global X Defense Tech ETF</t>
  </si>
  <si>
    <t>467A</t>
  </si>
  <si>
    <t>グローバルＸ　米ドル建て投資適格社債　ＥＴＦ（為替ヘッジあり）　受益証券</t>
  </si>
  <si>
    <t>Global X USD Investment Grade Corporate Bond ETF (JPY Hedged)</t>
  </si>
  <si>
    <t>468A</t>
  </si>
  <si>
    <t>グローバルＸ　米ドル建て投資適格社債　ＥＴＦ　受益証券</t>
  </si>
  <si>
    <t>Global X USD Investment Grade Corporate Bond ETF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</si>
  <si>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</si>
  <si>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</si>
  <si>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</si>
  <si>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</si>
  <si>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</si>
  <si>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</si>
  <si>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</si>
  <si>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</si>
  <si>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</si>
  <si>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</si>
  <si>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</si>
  <si>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</si>
  <si>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</si>
  <si>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</si>
  <si>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</si>
  <si>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</si>
  <si>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</si>
  <si>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</si>
  <si>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</si>
  <si>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</si>
  <si>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</si>
  <si>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</si>
  <si>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</si>
  <si>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</si>
  <si>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</si>
  <si>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</si>
  <si>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</si>
  <si>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</si>
  <si>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</si>
  <si>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</si>
  <si>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</si>
  <si>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</si>
  <si>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</si>
  <si>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</si>
  <si>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</si>
  <si>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</si>
  <si>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</si>
  <si>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</si>
  <si>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</si>
  <si>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</si>
  <si>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</si>
  <si>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</si>
  <si>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</si>
  <si>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</si>
  <si>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</si>
  <si>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</si>
  <si>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</si>
  <si>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</si>
  <si>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</si>
  <si>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</si>
  <si>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</si>
  <si>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</si>
  <si>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</si>
  <si>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</si>
  <si>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</si>
  <si>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</si>
  <si>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</si>
  <si>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</si>
  <si>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</si>
  <si>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</si>
  <si>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</si>
  <si>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</si>
  <si>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</si>
  <si>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</si>
  <si>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</si>
  <si>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</si>
  <si>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</si>
  <si>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</si>
  <si>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</si>
  <si>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</si>
  <si>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</si>
  <si>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</si>
  <si>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</si>
  <si>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</si>
  <si>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</si>
  <si>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</si>
  <si>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</si>
  <si>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</si>
  <si>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</si>
  <si>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</si>
  <si>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</si>
  <si>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</si>
  <si>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</si>
  <si>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</si>
  <si>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</si>
  <si>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</si>
  <si>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</si>
  <si>
    <t>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</si>
</sst>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2" fillId="21" borderId="28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9" applyNumberFormat="0" applyAlignment="0" applyProtection="0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7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7" fillId="0" borderId="0"/>
    <xf numFmtId="0" fontId="35" fillId="0" borderId="33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6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21" xfId="1" applyNumberFormat="1" applyFont="1" applyFill="1" applyBorder="1" applyAlignment="1">
      <alignment horizontal="left" vertical="center"/>
    </xf>
    <xf numFmtId="49" fontId="7" fillId="0" borderId="2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left" vertical="center"/>
    </xf>
    <xf numFmtId="49" fontId="7" fillId="0" borderId="24" xfId="1" applyNumberFormat="1" applyFont="1" applyFill="1" applyBorder="1" applyAlignment="1">
      <alignment horizontal="left" vertical="center"/>
    </xf>
    <xf numFmtId="49" fontId="7" fillId="0" borderId="21" xfId="2" applyNumberFormat="1" applyFont="1" applyFill="1" applyBorder="1" applyAlignment="1">
      <alignment horizontal="left"/>
    </xf>
    <xf numFmtId="3" fontId="7" fillId="0" borderId="21" xfId="2" applyNumberFormat="1" applyFont="1" applyFill="1" applyBorder="1" applyAlignment="1">
      <alignment horizontal="right"/>
    </xf>
    <xf numFmtId="4" fontId="7" fillId="0" borderId="25" xfId="2" applyNumberFormat="1" applyFont="1" applyFill="1" applyBorder="1" applyAlignment="1">
      <alignment horizontal="right"/>
    </xf>
    <xf numFmtId="49" fontId="7" fillId="0" borderId="24" xfId="2" applyNumberFormat="1" applyFont="1" applyFill="1" applyBorder="1" applyAlignment="1">
      <alignment horizontal="right"/>
    </xf>
    <xf numFmtId="4" fontId="7" fillId="0" borderId="21" xfId="2" applyNumberFormat="1" applyFont="1" applyFill="1" applyBorder="1" applyAlignment="1">
      <alignment horizontal="right"/>
    </xf>
    <xf numFmtId="189" fontId="7" fillId="0" borderId="21" xfId="2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7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99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9" customHeigh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4" s="2" customFormat="1" ht="13.5" customHeight="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r="7" spans="1:24" s="2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3517</f>
        <v>3517.0</v>
      </c>
      <c r="L7" s="34" t="s">
        <v>48</v>
      </c>
      <c r="M7" s="33" t="n">
        <f>3592</f>
        <v>3592.0</v>
      </c>
      <c r="N7" s="34" t="s">
        <v>49</v>
      </c>
      <c r="O7" s="33" t="n">
        <f>3389</f>
        <v>3389.0</v>
      </c>
      <c r="P7" s="34" t="s">
        <v>50</v>
      </c>
      <c r="Q7" s="33" t="n">
        <f>3587</f>
        <v>3587.0</v>
      </c>
      <c r="R7" s="34" t="s">
        <v>51</v>
      </c>
      <c r="S7" s="35" t="n">
        <f>3519.39</f>
        <v>3519.39</v>
      </c>
      <c r="T7" s="32" t="n">
        <f>14305030</f>
        <v>1.430503E7</v>
      </c>
      <c r="U7" s="32" t="n">
        <f>10189960</f>
        <v>1.018996E7</v>
      </c>
      <c r="V7" s="32" t="n">
        <f>50098166547</f>
        <v>5.0098166547E10</v>
      </c>
      <c r="W7" s="32" t="n">
        <f>35691765777</f>
        <v>3.5691765777E10</v>
      </c>
      <c r="X7" s="36" t="n">
        <f>18</f>
        <v>18.0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3484</f>
        <v>3484.0</v>
      </c>
      <c r="L8" s="34" t="s">
        <v>48</v>
      </c>
      <c r="M8" s="33" t="n">
        <f>3555</f>
        <v>3555.0</v>
      </c>
      <c r="N8" s="34" t="s">
        <v>49</v>
      </c>
      <c r="O8" s="33" t="n">
        <f>3355</f>
        <v>3355.0</v>
      </c>
      <c r="P8" s="34" t="s">
        <v>50</v>
      </c>
      <c r="Q8" s="33" t="n">
        <f>3542</f>
        <v>3542.0</v>
      </c>
      <c r="R8" s="34" t="s">
        <v>51</v>
      </c>
      <c r="S8" s="35" t="n">
        <f>3481.22</f>
        <v>3481.22</v>
      </c>
      <c r="T8" s="32" t="n">
        <f>54615990</f>
        <v>5.461599E7</v>
      </c>
      <c r="U8" s="32" t="n">
        <f>13288890</f>
        <v>1.328889E7</v>
      </c>
      <c r="V8" s="32" t="n">
        <f>189662332524</f>
        <v>1.89662332524E11</v>
      </c>
      <c r="W8" s="32" t="n">
        <f>46097156504</f>
        <v>4.6097156504E10</v>
      </c>
      <c r="X8" s="36" t="n">
        <f>18</f>
        <v>18.0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3440</f>
        <v>3440.0</v>
      </c>
      <c r="L9" s="34" t="s">
        <v>48</v>
      </c>
      <c r="M9" s="33" t="n">
        <f>3511</f>
        <v>3511.0</v>
      </c>
      <c r="N9" s="34" t="s">
        <v>49</v>
      </c>
      <c r="O9" s="33" t="n">
        <f>3315</f>
        <v>3315.0</v>
      </c>
      <c r="P9" s="34" t="s">
        <v>50</v>
      </c>
      <c r="Q9" s="33" t="n">
        <f>3499</f>
        <v>3499.0</v>
      </c>
      <c r="R9" s="34" t="s">
        <v>51</v>
      </c>
      <c r="S9" s="35" t="n">
        <f>3440.33</f>
        <v>3440.33</v>
      </c>
      <c r="T9" s="32" t="n">
        <f>12693153</f>
        <v>1.2693153E7</v>
      </c>
      <c r="U9" s="32" t="n">
        <f>5465613</f>
        <v>5465613.0</v>
      </c>
      <c r="V9" s="32" t="n">
        <f>43563158691</f>
        <v>4.3563158691E10</v>
      </c>
      <c r="W9" s="32" t="n">
        <f>18786119459</f>
        <v>1.8786119459E10</v>
      </c>
      <c r="X9" s="36" t="n">
        <f>18</f>
        <v>18.0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52160</f>
        <v>52160.0</v>
      </c>
      <c r="L10" s="34" t="s">
        <v>48</v>
      </c>
      <c r="M10" s="33" t="n">
        <f>53800</f>
        <v>53800.0</v>
      </c>
      <c r="N10" s="34" t="s">
        <v>61</v>
      </c>
      <c r="O10" s="33" t="n">
        <f>51260</f>
        <v>51260.0</v>
      </c>
      <c r="P10" s="34" t="s">
        <v>50</v>
      </c>
      <c r="Q10" s="33" t="n">
        <f>52800</f>
        <v>52800.0</v>
      </c>
      <c r="R10" s="34" t="s">
        <v>51</v>
      </c>
      <c r="S10" s="35" t="n">
        <f>52678.33</f>
        <v>52678.33</v>
      </c>
      <c r="T10" s="32" t="n">
        <f>2537</f>
        <v>2537.0</v>
      </c>
      <c r="U10" s="32" t="str">
        <f>"－"</f>
        <v>－</v>
      </c>
      <c r="V10" s="32" t="n">
        <f>133453050</f>
        <v>1.3345305E8</v>
      </c>
      <c r="W10" s="32" t="str">
        <f>"－"</f>
        <v>－</v>
      </c>
      <c r="X10" s="36" t="n">
        <f>18</f>
        <v>18.0</v>
      </c>
    </row>
    <row r="11">
      <c r="A11" s="27" t="s">
        <v>42</v>
      </c>
      <c r="B11" s="27" t="s">
        <v>62</v>
      </c>
      <c r="C11" s="27" t="s">
        <v>63</v>
      </c>
      <c r="D11" s="27" t="s">
        <v>64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1.0</v>
      </c>
      <c r="K11" s="33" t="n">
        <f>1801</f>
        <v>1801.0</v>
      </c>
      <c r="L11" s="34" t="s">
        <v>48</v>
      </c>
      <c r="M11" s="33" t="n">
        <f>1810</f>
        <v>1810.0</v>
      </c>
      <c r="N11" s="34" t="s">
        <v>49</v>
      </c>
      <c r="O11" s="33" t="n">
        <f>1706</f>
        <v>1706.0</v>
      </c>
      <c r="P11" s="34" t="s">
        <v>50</v>
      </c>
      <c r="Q11" s="33" t="n">
        <f>1769</f>
        <v>1769.0</v>
      </c>
      <c r="R11" s="34" t="s">
        <v>51</v>
      </c>
      <c r="S11" s="35" t="n">
        <f>1762.39</f>
        <v>1762.39</v>
      </c>
      <c r="T11" s="32" t="n">
        <f>880537</f>
        <v>880537.0</v>
      </c>
      <c r="U11" s="32" t="n">
        <f>511439</f>
        <v>511439.0</v>
      </c>
      <c r="V11" s="32" t="n">
        <f>1543581146</f>
        <v>1.543581146E9</v>
      </c>
      <c r="W11" s="32" t="n">
        <f>893947208</f>
        <v>8.93947208E8</v>
      </c>
      <c r="X11" s="36" t="n">
        <f>18</f>
        <v>18.0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642</f>
        <v>642.0</v>
      </c>
      <c r="L12" s="34" t="s">
        <v>48</v>
      </c>
      <c r="M12" s="33" t="n">
        <f>658.7</f>
        <v>658.7</v>
      </c>
      <c r="N12" s="34" t="s">
        <v>68</v>
      </c>
      <c r="O12" s="33" t="n">
        <f>625.1</f>
        <v>625.1</v>
      </c>
      <c r="P12" s="34" t="s">
        <v>50</v>
      </c>
      <c r="Q12" s="33" t="n">
        <f>636.2</f>
        <v>636.2</v>
      </c>
      <c r="R12" s="34" t="s">
        <v>69</v>
      </c>
      <c r="S12" s="35" t="n">
        <f>635.77</f>
        <v>635.77</v>
      </c>
      <c r="T12" s="32" t="n">
        <f>96000</f>
        <v>96000.0</v>
      </c>
      <c r="U12" s="32" t="str">
        <f>"－"</f>
        <v>－</v>
      </c>
      <c r="V12" s="32" t="n">
        <f>61077900</f>
        <v>6.10779E7</v>
      </c>
      <c r="W12" s="32" t="str">
        <f>"－"</f>
        <v>－</v>
      </c>
      <c r="X12" s="36" t="n">
        <f>15</f>
        <v>15.0</v>
      </c>
    </row>
    <row r="13">
      <c r="A13" s="27" t="s">
        <v>42</v>
      </c>
      <c r="B13" s="27" t="s">
        <v>70</v>
      </c>
      <c r="C13" s="27" t="s">
        <v>71</v>
      </c>
      <c r="D13" s="27" t="s">
        <v>72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54160</f>
        <v>54160.0</v>
      </c>
      <c r="L13" s="34" t="s">
        <v>48</v>
      </c>
      <c r="M13" s="33" t="n">
        <f>54440</f>
        <v>54440.0</v>
      </c>
      <c r="N13" s="34" t="s">
        <v>48</v>
      </c>
      <c r="O13" s="33" t="n">
        <f>49910</f>
        <v>49910.0</v>
      </c>
      <c r="P13" s="34" t="s">
        <v>73</v>
      </c>
      <c r="Q13" s="33" t="n">
        <f>51950</f>
        <v>51950.0</v>
      </c>
      <c r="R13" s="34" t="s">
        <v>51</v>
      </c>
      <c r="S13" s="35" t="n">
        <f>51838.33</f>
        <v>51838.33</v>
      </c>
      <c r="T13" s="32" t="n">
        <f>969598</f>
        <v>969598.0</v>
      </c>
      <c r="U13" s="32" t="n">
        <f>209926</f>
        <v>209926.0</v>
      </c>
      <c r="V13" s="32" t="n">
        <f>50227918771</f>
        <v>5.0227918771E10</v>
      </c>
      <c r="W13" s="32" t="n">
        <f>10902567481</f>
        <v>1.0902567481E10</v>
      </c>
      <c r="X13" s="36" t="n">
        <f>18</f>
        <v>18.0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54390</f>
        <v>54390.0</v>
      </c>
      <c r="L14" s="34" t="s">
        <v>48</v>
      </c>
      <c r="M14" s="33" t="n">
        <f>54630</f>
        <v>54630.0</v>
      </c>
      <c r="N14" s="34" t="s">
        <v>48</v>
      </c>
      <c r="O14" s="33" t="n">
        <f>50070</f>
        <v>50070.0</v>
      </c>
      <c r="P14" s="34" t="s">
        <v>73</v>
      </c>
      <c r="Q14" s="33" t="n">
        <f>52120</f>
        <v>52120.0</v>
      </c>
      <c r="R14" s="34" t="s">
        <v>51</v>
      </c>
      <c r="S14" s="35" t="n">
        <f>52024.44</f>
        <v>52024.44</v>
      </c>
      <c r="T14" s="32" t="n">
        <f>7686253</f>
        <v>7686253.0</v>
      </c>
      <c r="U14" s="32" t="n">
        <f>1628594</f>
        <v>1628594.0</v>
      </c>
      <c r="V14" s="32" t="n">
        <f>399437286846</f>
        <v>3.99437286846E11</v>
      </c>
      <c r="W14" s="32" t="n">
        <f>84824608516</f>
        <v>8.4824608516E10</v>
      </c>
      <c r="X14" s="36" t="n">
        <f>18</f>
        <v>18.0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10745</f>
        <v>10745.0</v>
      </c>
      <c r="L15" s="34" t="s">
        <v>48</v>
      </c>
      <c r="M15" s="33" t="n">
        <f>10875</f>
        <v>10875.0</v>
      </c>
      <c r="N15" s="34" t="s">
        <v>49</v>
      </c>
      <c r="O15" s="33" t="n">
        <f>10135</f>
        <v>10135.0</v>
      </c>
      <c r="P15" s="34" t="s">
        <v>50</v>
      </c>
      <c r="Q15" s="33" t="n">
        <f>10600</f>
        <v>10600.0</v>
      </c>
      <c r="R15" s="34" t="s">
        <v>51</v>
      </c>
      <c r="S15" s="35" t="n">
        <f>10680.28</f>
        <v>10680.28</v>
      </c>
      <c r="T15" s="32" t="n">
        <f>17475</f>
        <v>17475.0</v>
      </c>
      <c r="U15" s="32" t="n">
        <f>3700</f>
        <v>3700.0</v>
      </c>
      <c r="V15" s="32" t="n">
        <f>186841268</f>
        <v>1.86841268E8</v>
      </c>
      <c r="W15" s="32" t="n">
        <f>39907598</f>
        <v>3.9907598E7</v>
      </c>
      <c r="X15" s="36" t="n">
        <f>18</f>
        <v>18.0</v>
      </c>
    </row>
    <row r="16">
      <c r="A16" s="27" t="s">
        <v>42</v>
      </c>
      <c r="B16" s="27" t="s">
        <v>80</v>
      </c>
      <c r="C16" s="27" t="s">
        <v>81</v>
      </c>
      <c r="D16" s="27" t="s">
        <v>82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10.0</v>
      </c>
      <c r="K16" s="33" t="n">
        <f>237.1</f>
        <v>237.1</v>
      </c>
      <c r="L16" s="34" t="s">
        <v>48</v>
      </c>
      <c r="M16" s="33" t="n">
        <f>256.9</f>
        <v>256.9</v>
      </c>
      <c r="N16" s="34" t="s">
        <v>61</v>
      </c>
      <c r="O16" s="33" t="n">
        <f>232.2</f>
        <v>232.2</v>
      </c>
      <c r="P16" s="34" t="s">
        <v>50</v>
      </c>
      <c r="Q16" s="33" t="n">
        <f>252.4</f>
        <v>252.4</v>
      </c>
      <c r="R16" s="34" t="s">
        <v>51</v>
      </c>
      <c r="S16" s="35" t="n">
        <f>248.33</f>
        <v>248.33</v>
      </c>
      <c r="T16" s="32" t="n">
        <f>1088160</f>
        <v>1088160.0</v>
      </c>
      <c r="U16" s="32" t="n">
        <f>12000</f>
        <v>12000.0</v>
      </c>
      <c r="V16" s="32" t="n">
        <f>270354042</f>
        <v>2.70354042E8</v>
      </c>
      <c r="W16" s="32" t="n">
        <f>2943337</f>
        <v>2943337.0</v>
      </c>
      <c r="X16" s="36" t="n">
        <f>18</f>
        <v>18.0</v>
      </c>
    </row>
    <row r="17">
      <c r="A17" s="27" t="s">
        <v>42</v>
      </c>
      <c r="B17" s="27" t="s">
        <v>83</v>
      </c>
      <c r="C17" s="27" t="s">
        <v>84</v>
      </c>
      <c r="D17" s="27" t="s">
        <v>85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1.0</v>
      </c>
      <c r="K17" s="33" t="n">
        <f>56770</f>
        <v>56770.0</v>
      </c>
      <c r="L17" s="34" t="s">
        <v>48</v>
      </c>
      <c r="M17" s="33" t="n">
        <f>60320</f>
        <v>60320.0</v>
      </c>
      <c r="N17" s="34" t="s">
        <v>51</v>
      </c>
      <c r="O17" s="33" t="n">
        <f>55420</f>
        <v>55420.0</v>
      </c>
      <c r="P17" s="34" t="s">
        <v>50</v>
      </c>
      <c r="Q17" s="33" t="n">
        <f>60170</f>
        <v>60170.0</v>
      </c>
      <c r="R17" s="34" t="s">
        <v>51</v>
      </c>
      <c r="S17" s="35" t="n">
        <f>58296.67</f>
        <v>58296.67</v>
      </c>
      <c r="T17" s="32" t="n">
        <f>455627</f>
        <v>455627.0</v>
      </c>
      <c r="U17" s="32" t="n">
        <f>931</f>
        <v>931.0</v>
      </c>
      <c r="V17" s="32" t="n">
        <f>26538379151</f>
        <v>2.6538379151E10</v>
      </c>
      <c r="W17" s="32" t="n">
        <f>53205751</f>
        <v>5.3205751E7</v>
      </c>
      <c r="X17" s="36" t="n">
        <f>18</f>
        <v>18.0</v>
      </c>
    </row>
    <row r="18">
      <c r="A18" s="27" t="s">
        <v>42</v>
      </c>
      <c r="B18" s="27" t="s">
        <v>86</v>
      </c>
      <c r="C18" s="27" t="s">
        <v>87</v>
      </c>
      <c r="D18" s="27" t="s">
        <v>88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14725</f>
        <v>14725.0</v>
      </c>
      <c r="L18" s="34" t="s">
        <v>48</v>
      </c>
      <c r="M18" s="33" t="n">
        <f>15655</f>
        <v>15655.0</v>
      </c>
      <c r="N18" s="34" t="s">
        <v>51</v>
      </c>
      <c r="O18" s="33" t="n">
        <f>14090</f>
        <v>14090.0</v>
      </c>
      <c r="P18" s="34" t="s">
        <v>89</v>
      </c>
      <c r="Q18" s="33" t="n">
        <f>15655</f>
        <v>15655.0</v>
      </c>
      <c r="R18" s="34" t="s">
        <v>51</v>
      </c>
      <c r="S18" s="35" t="n">
        <f>15114.44</f>
        <v>15114.44</v>
      </c>
      <c r="T18" s="32" t="n">
        <f>1627396</f>
        <v>1627396.0</v>
      </c>
      <c r="U18" s="32" t="n">
        <f>6615</f>
        <v>6615.0</v>
      </c>
      <c r="V18" s="32" t="n">
        <f>24588796977</f>
        <v>2.4588796977E10</v>
      </c>
      <c r="W18" s="32" t="n">
        <f>100041572</f>
        <v>1.00041572E8</v>
      </c>
      <c r="X18" s="36" t="n">
        <f>18</f>
        <v>18.0</v>
      </c>
    </row>
    <row r="19">
      <c r="A19" s="27" t="s">
        <v>42</v>
      </c>
      <c r="B19" s="27" t="s">
        <v>90</v>
      </c>
      <c r="C19" s="27" t="s">
        <v>91</v>
      </c>
      <c r="D19" s="27" t="s">
        <v>92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5454</f>
        <v>5454.0</v>
      </c>
      <c r="L19" s="34" t="s">
        <v>48</v>
      </c>
      <c r="M19" s="33" t="n">
        <f>5475</f>
        <v>5475.0</v>
      </c>
      <c r="N19" s="34" t="s">
        <v>48</v>
      </c>
      <c r="O19" s="33" t="n">
        <f>5018</f>
        <v>5018.0</v>
      </c>
      <c r="P19" s="34" t="s">
        <v>73</v>
      </c>
      <c r="Q19" s="33" t="n">
        <f>5221</f>
        <v>5221.0</v>
      </c>
      <c r="R19" s="34" t="s">
        <v>51</v>
      </c>
      <c r="S19" s="35" t="n">
        <f>5216.33</f>
        <v>5216.33</v>
      </c>
      <c r="T19" s="32" t="n">
        <f>65720933</f>
        <v>6.5720933E7</v>
      </c>
      <c r="U19" s="32" t="n">
        <f>54381923</f>
        <v>5.4381923E7</v>
      </c>
      <c r="V19" s="32" t="n">
        <f>336947778931</f>
        <v>3.36947778931E11</v>
      </c>
      <c r="W19" s="32" t="n">
        <f>277867953949</f>
        <v>2.77867953949E11</v>
      </c>
      <c r="X19" s="36" t="n">
        <f>18</f>
        <v>18.0</v>
      </c>
    </row>
    <row r="20">
      <c r="A20" s="27" t="s">
        <v>42</v>
      </c>
      <c r="B20" s="27" t="s">
        <v>93</v>
      </c>
      <c r="C20" s="27" t="s">
        <v>94</v>
      </c>
      <c r="D20" s="27" t="s">
        <v>95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54440</f>
        <v>54440.0</v>
      </c>
      <c r="L20" s="34" t="s">
        <v>48</v>
      </c>
      <c r="M20" s="33" t="n">
        <f>54690</f>
        <v>54690.0</v>
      </c>
      <c r="N20" s="34" t="s">
        <v>48</v>
      </c>
      <c r="O20" s="33" t="n">
        <f>50120</f>
        <v>50120.0</v>
      </c>
      <c r="P20" s="34" t="s">
        <v>73</v>
      </c>
      <c r="Q20" s="33" t="n">
        <f>52170</f>
        <v>52170.0</v>
      </c>
      <c r="R20" s="34" t="s">
        <v>51</v>
      </c>
      <c r="S20" s="35" t="n">
        <f>52097.22</f>
        <v>52097.22</v>
      </c>
      <c r="T20" s="32" t="n">
        <f>1871751</f>
        <v>1871751.0</v>
      </c>
      <c r="U20" s="32" t="n">
        <f>1142650</f>
        <v>1142650.0</v>
      </c>
      <c r="V20" s="32" t="n">
        <f>97490208144</f>
        <v>9.7490208144E10</v>
      </c>
      <c r="W20" s="32" t="n">
        <f>59508422484</f>
        <v>5.9508422484E10</v>
      </c>
      <c r="X20" s="36" t="n">
        <f>18</f>
        <v>18.0</v>
      </c>
    </row>
    <row r="21">
      <c r="A21" s="27" t="s">
        <v>42</v>
      </c>
      <c r="B21" s="27" t="s">
        <v>96</v>
      </c>
      <c r="C21" s="27" t="s">
        <v>97</v>
      </c>
      <c r="D21" s="27" t="s">
        <v>98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1042</f>
        <v>1042.0</v>
      </c>
      <c r="L21" s="34" t="s">
        <v>48</v>
      </c>
      <c r="M21" s="33" t="n">
        <f>1060</f>
        <v>1060.0</v>
      </c>
      <c r="N21" s="34" t="s">
        <v>61</v>
      </c>
      <c r="O21" s="33" t="n">
        <f>1033</f>
        <v>1033.0</v>
      </c>
      <c r="P21" s="34" t="s">
        <v>89</v>
      </c>
      <c r="Q21" s="33" t="n">
        <f>1055</f>
        <v>1055.0</v>
      </c>
      <c r="R21" s="34" t="s">
        <v>51</v>
      </c>
      <c r="S21" s="35" t="n">
        <f>1047.22</f>
        <v>1047.22</v>
      </c>
      <c r="T21" s="32" t="n">
        <f>1819404</f>
        <v>1819404.0</v>
      </c>
      <c r="U21" s="32" t="n">
        <f>903004</f>
        <v>903004.0</v>
      </c>
      <c r="V21" s="32" t="n">
        <f>1912137907</f>
        <v>1.912137907E9</v>
      </c>
      <c r="W21" s="32" t="n">
        <f>951138230</f>
        <v>9.5113823E8</v>
      </c>
      <c r="X21" s="36" t="n">
        <f>18</f>
        <v>18.0</v>
      </c>
    </row>
    <row r="22">
      <c r="A22" s="27" t="s">
        <v>42</v>
      </c>
      <c r="B22" s="27" t="s">
        <v>99</v>
      </c>
      <c r="C22" s="27" t="s">
        <v>100</v>
      </c>
      <c r="D22" s="27" t="s">
        <v>101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2133.5</f>
        <v>2133.5</v>
      </c>
      <c r="L22" s="34" t="s">
        <v>48</v>
      </c>
      <c r="M22" s="33" t="n">
        <f>2204.5</f>
        <v>2204.5</v>
      </c>
      <c r="N22" s="34" t="s">
        <v>69</v>
      </c>
      <c r="O22" s="33" t="n">
        <f>2126</f>
        <v>2126.0</v>
      </c>
      <c r="P22" s="34" t="s">
        <v>73</v>
      </c>
      <c r="Q22" s="33" t="n">
        <f>2180.5</f>
        <v>2180.5</v>
      </c>
      <c r="R22" s="34" t="s">
        <v>51</v>
      </c>
      <c r="S22" s="35" t="n">
        <f>2157.69</f>
        <v>2157.69</v>
      </c>
      <c r="T22" s="32" t="n">
        <f>19233630</f>
        <v>1.923363E7</v>
      </c>
      <c r="U22" s="32" t="n">
        <f>6994390</f>
        <v>6994390.0</v>
      </c>
      <c r="V22" s="32" t="n">
        <f>41416097954</f>
        <v>4.1416097954E10</v>
      </c>
      <c r="W22" s="32" t="n">
        <f>15044426399</f>
        <v>1.5044426399E10</v>
      </c>
      <c r="X22" s="36" t="n">
        <f>18</f>
        <v>18.0</v>
      </c>
    </row>
    <row r="23">
      <c r="A23" s="27" t="s">
        <v>42</v>
      </c>
      <c r="B23" s="27" t="s">
        <v>102</v>
      </c>
      <c r="C23" s="27" t="s">
        <v>103</v>
      </c>
      <c r="D23" s="27" t="s">
        <v>104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1999.5</f>
        <v>1999.5</v>
      </c>
      <c r="L23" s="34" t="s">
        <v>48</v>
      </c>
      <c r="M23" s="33" t="n">
        <f>2075</f>
        <v>2075.0</v>
      </c>
      <c r="N23" s="34" t="s">
        <v>69</v>
      </c>
      <c r="O23" s="33" t="n">
        <f>1991</f>
        <v>1991.0</v>
      </c>
      <c r="P23" s="34" t="s">
        <v>50</v>
      </c>
      <c r="Q23" s="33" t="n">
        <f>2056</f>
        <v>2056.0</v>
      </c>
      <c r="R23" s="34" t="s">
        <v>51</v>
      </c>
      <c r="S23" s="35" t="n">
        <f>2030.89</f>
        <v>2030.89</v>
      </c>
      <c r="T23" s="32" t="n">
        <f>2944300</f>
        <v>2944300.0</v>
      </c>
      <c r="U23" s="32" t="n">
        <f>1779800</f>
        <v>1779800.0</v>
      </c>
      <c r="V23" s="32" t="n">
        <f>5966740036</f>
        <v>5.966740036E9</v>
      </c>
      <c r="W23" s="32" t="n">
        <f>3601822536</f>
        <v>3.601822536E9</v>
      </c>
      <c r="X23" s="36" t="n">
        <f>18</f>
        <v>18.0</v>
      </c>
    </row>
    <row r="24">
      <c r="A24" s="27" t="s">
        <v>42</v>
      </c>
      <c r="B24" s="27" t="s">
        <v>105</v>
      </c>
      <c r="C24" s="27" t="s">
        <v>106</v>
      </c>
      <c r="D24" s="27" t="s">
        <v>107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54460</f>
        <v>54460.0</v>
      </c>
      <c r="L24" s="34" t="s">
        <v>48</v>
      </c>
      <c r="M24" s="33" t="n">
        <f>54680</f>
        <v>54680.0</v>
      </c>
      <c r="N24" s="34" t="s">
        <v>48</v>
      </c>
      <c r="O24" s="33" t="n">
        <f>50150</f>
        <v>50150.0</v>
      </c>
      <c r="P24" s="34" t="s">
        <v>73</v>
      </c>
      <c r="Q24" s="33" t="n">
        <f>52150</f>
        <v>52150.0</v>
      </c>
      <c r="R24" s="34" t="s">
        <v>51</v>
      </c>
      <c r="S24" s="35" t="n">
        <f>52125.56</f>
        <v>52125.56</v>
      </c>
      <c r="T24" s="32" t="n">
        <f>1050344</f>
        <v>1050344.0</v>
      </c>
      <c r="U24" s="32" t="n">
        <f>687504</f>
        <v>687504.0</v>
      </c>
      <c r="V24" s="32" t="n">
        <f>54317594124</f>
        <v>5.4317594124E10</v>
      </c>
      <c r="W24" s="32" t="n">
        <f>35448708724</f>
        <v>3.5448708724E10</v>
      </c>
      <c r="X24" s="36" t="n">
        <f>18</f>
        <v>18.0</v>
      </c>
    </row>
    <row r="25">
      <c r="A25" s="27" t="s">
        <v>42</v>
      </c>
      <c r="B25" s="27" t="s">
        <v>108</v>
      </c>
      <c r="C25" s="27" t="s">
        <v>109</v>
      </c>
      <c r="D25" s="27" t="s">
        <v>110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1.0</v>
      </c>
      <c r="K25" s="33" t="n">
        <f>3476</f>
        <v>3476.0</v>
      </c>
      <c r="L25" s="34" t="s">
        <v>48</v>
      </c>
      <c r="M25" s="33" t="n">
        <f>3543</f>
        <v>3543.0</v>
      </c>
      <c r="N25" s="34" t="s">
        <v>49</v>
      </c>
      <c r="O25" s="33" t="n">
        <f>3344</f>
        <v>3344.0</v>
      </c>
      <c r="P25" s="34" t="s">
        <v>50</v>
      </c>
      <c r="Q25" s="33" t="n">
        <f>3527</f>
        <v>3527.0</v>
      </c>
      <c r="R25" s="34" t="s">
        <v>51</v>
      </c>
      <c r="S25" s="35" t="n">
        <f>3470</f>
        <v>3470.0</v>
      </c>
      <c r="T25" s="32" t="n">
        <f>3863866</f>
        <v>3863866.0</v>
      </c>
      <c r="U25" s="32" t="n">
        <f>1353768</f>
        <v>1353768.0</v>
      </c>
      <c r="V25" s="32" t="n">
        <f>13301609803</f>
        <v>1.3301609803E10</v>
      </c>
      <c r="W25" s="32" t="n">
        <f>4645661316</f>
        <v>4.645661316E9</v>
      </c>
      <c r="X25" s="36" t="n">
        <f>18</f>
        <v>18.0</v>
      </c>
    </row>
    <row r="26">
      <c r="A26" s="27" t="s">
        <v>42</v>
      </c>
      <c r="B26" s="27" t="s">
        <v>111</v>
      </c>
      <c r="C26" s="27" t="s">
        <v>112</v>
      </c>
      <c r="D26" s="27" t="s">
        <v>113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17470</f>
        <v>17470.0</v>
      </c>
      <c r="L26" s="34" t="s">
        <v>48</v>
      </c>
      <c r="M26" s="33" t="n">
        <f>18075</f>
        <v>18075.0</v>
      </c>
      <c r="N26" s="34" t="s">
        <v>114</v>
      </c>
      <c r="O26" s="33" t="n">
        <f>17305</f>
        <v>17305.0</v>
      </c>
      <c r="P26" s="34" t="s">
        <v>50</v>
      </c>
      <c r="Q26" s="33" t="n">
        <f>17820</f>
        <v>17820.0</v>
      </c>
      <c r="R26" s="34" t="s">
        <v>51</v>
      </c>
      <c r="S26" s="35" t="n">
        <f>17556.56</f>
        <v>17556.56</v>
      </c>
      <c r="T26" s="32" t="n">
        <f>478</f>
        <v>478.0</v>
      </c>
      <c r="U26" s="32" t="str">
        <f>"－"</f>
        <v>－</v>
      </c>
      <c r="V26" s="32" t="n">
        <f>8395270</f>
        <v>8395270.0</v>
      </c>
      <c r="W26" s="32" t="str">
        <f>"－"</f>
        <v>－</v>
      </c>
      <c r="X26" s="36" t="n">
        <f>16</f>
        <v>16.0</v>
      </c>
    </row>
    <row r="27">
      <c r="A27" s="27" t="s">
        <v>42</v>
      </c>
      <c r="B27" s="27" t="s">
        <v>115</v>
      </c>
      <c r="C27" s="27" t="s">
        <v>116</v>
      </c>
      <c r="D27" s="27" t="s">
        <v>117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181.8</f>
        <v>181.8</v>
      </c>
      <c r="L27" s="34" t="s">
        <v>48</v>
      </c>
      <c r="M27" s="33" t="n">
        <f>196.2</f>
        <v>196.2</v>
      </c>
      <c r="N27" s="34" t="s">
        <v>50</v>
      </c>
      <c r="O27" s="33" t="n">
        <f>174.7</f>
        <v>174.7</v>
      </c>
      <c r="P27" s="34" t="s">
        <v>51</v>
      </c>
      <c r="Q27" s="33" t="n">
        <f>175.1</f>
        <v>175.1</v>
      </c>
      <c r="R27" s="34" t="s">
        <v>51</v>
      </c>
      <c r="S27" s="35" t="n">
        <f>182.15</f>
        <v>182.15</v>
      </c>
      <c r="T27" s="32" t="n">
        <f>44215410</f>
        <v>4.421541E7</v>
      </c>
      <c r="U27" s="32" t="n">
        <f>200340</f>
        <v>200340.0</v>
      </c>
      <c r="V27" s="32" t="n">
        <f>8096741045</f>
        <v>8.096741045E9</v>
      </c>
      <c r="W27" s="32" t="n">
        <f>37383142</f>
        <v>3.7383142E7</v>
      </c>
      <c r="X27" s="36" t="n">
        <f>18</f>
        <v>18.0</v>
      </c>
    </row>
    <row r="28">
      <c r="A28" s="27" t="s">
        <v>42</v>
      </c>
      <c r="B28" s="27" t="s">
        <v>118</v>
      </c>
      <c r="C28" s="27" t="s">
        <v>119</v>
      </c>
      <c r="D28" s="27" t="s">
        <v>120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5503</f>
        <v>5503.0</v>
      </c>
      <c r="L28" s="34" t="s">
        <v>48</v>
      </c>
      <c r="M28" s="33" t="n">
        <f>6445</f>
        <v>6445.0</v>
      </c>
      <c r="N28" s="34" t="s">
        <v>73</v>
      </c>
      <c r="O28" s="33" t="n">
        <f>5452</f>
        <v>5452.0</v>
      </c>
      <c r="P28" s="34" t="s">
        <v>48</v>
      </c>
      <c r="Q28" s="33" t="n">
        <f>5907</f>
        <v>5907.0</v>
      </c>
      <c r="R28" s="34" t="s">
        <v>51</v>
      </c>
      <c r="S28" s="35" t="n">
        <f>5980.5</f>
        <v>5980.5</v>
      </c>
      <c r="T28" s="32" t="n">
        <f>77840334</f>
        <v>7.7840334E7</v>
      </c>
      <c r="U28" s="32" t="n">
        <f>1729792</f>
        <v>1729792.0</v>
      </c>
      <c r="V28" s="32" t="n">
        <f>467117102892</f>
        <v>4.67117102892E11</v>
      </c>
      <c r="W28" s="32" t="n">
        <f>10440807416</f>
        <v>1.0440807416E10</v>
      </c>
      <c r="X28" s="36" t="n">
        <f>18</f>
        <v>18.0</v>
      </c>
    </row>
    <row r="29">
      <c r="A29" s="27" t="s">
        <v>42</v>
      </c>
      <c r="B29" s="27" t="s">
        <v>121</v>
      </c>
      <c r="C29" s="27" t="s">
        <v>122</v>
      </c>
      <c r="D29" s="27" t="s">
        <v>123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89080</f>
        <v>89080.0</v>
      </c>
      <c r="L29" s="34" t="s">
        <v>48</v>
      </c>
      <c r="M29" s="33" t="n">
        <f>89890</f>
        <v>89890.0</v>
      </c>
      <c r="N29" s="34" t="s">
        <v>48</v>
      </c>
      <c r="O29" s="33" t="n">
        <f>75380</f>
        <v>75380.0</v>
      </c>
      <c r="P29" s="34" t="s">
        <v>73</v>
      </c>
      <c r="Q29" s="33" t="n">
        <f>81430</f>
        <v>81430.0</v>
      </c>
      <c r="R29" s="34" t="s">
        <v>51</v>
      </c>
      <c r="S29" s="35" t="n">
        <f>81479.44</f>
        <v>81479.44</v>
      </c>
      <c r="T29" s="32" t="n">
        <f>285229</f>
        <v>285229.0</v>
      </c>
      <c r="U29" s="32" t="n">
        <f>2902</f>
        <v>2902.0</v>
      </c>
      <c r="V29" s="32" t="n">
        <f>23214364997</f>
        <v>2.3214364997E10</v>
      </c>
      <c r="W29" s="32" t="n">
        <f>243514397</f>
        <v>2.43514397E8</v>
      </c>
      <c r="X29" s="36" t="n">
        <f>18</f>
        <v>18.0</v>
      </c>
    </row>
    <row r="30">
      <c r="A30" s="27" t="s">
        <v>42</v>
      </c>
      <c r="B30" s="27" t="s">
        <v>124</v>
      </c>
      <c r="C30" s="27" t="s">
        <v>125</v>
      </c>
      <c r="D30" s="27" t="s">
        <v>126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135</f>
        <v>135.0</v>
      </c>
      <c r="L30" s="34" t="s">
        <v>48</v>
      </c>
      <c r="M30" s="33" t="n">
        <f>158.3</f>
        <v>158.3</v>
      </c>
      <c r="N30" s="34" t="s">
        <v>73</v>
      </c>
      <c r="O30" s="33" t="n">
        <f>133.9</f>
        <v>133.9</v>
      </c>
      <c r="P30" s="34" t="s">
        <v>48</v>
      </c>
      <c r="Q30" s="33" t="n">
        <f>145.2</f>
        <v>145.2</v>
      </c>
      <c r="R30" s="34" t="s">
        <v>51</v>
      </c>
      <c r="S30" s="35" t="n">
        <f>146.88</f>
        <v>146.88</v>
      </c>
      <c r="T30" s="32" t="n">
        <f>1979012330</f>
        <v>1.97901233E9</v>
      </c>
      <c r="U30" s="32" t="n">
        <f>15973270</f>
        <v>1.597327E7</v>
      </c>
      <c r="V30" s="32" t="n">
        <f>290830626476</f>
        <v>2.90830626476E11</v>
      </c>
      <c r="W30" s="32" t="n">
        <f>2362511893</f>
        <v>2.362511893E9</v>
      </c>
      <c r="X30" s="36" t="n">
        <f>18</f>
        <v>18.0</v>
      </c>
    </row>
    <row r="31">
      <c r="A31" s="27" t="s">
        <v>42</v>
      </c>
      <c r="B31" s="27" t="s">
        <v>127</v>
      </c>
      <c r="C31" s="27" t="s">
        <v>128</v>
      </c>
      <c r="D31" s="27" t="s">
        <v>129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3099</f>
        <v>3099.0</v>
      </c>
      <c r="L31" s="34" t="s">
        <v>48</v>
      </c>
      <c r="M31" s="33" t="n">
        <f>3143</f>
        <v>3143.0</v>
      </c>
      <c r="N31" s="34" t="s">
        <v>49</v>
      </c>
      <c r="O31" s="33" t="n">
        <f>2975</f>
        <v>2975.0</v>
      </c>
      <c r="P31" s="34" t="s">
        <v>50</v>
      </c>
      <c r="Q31" s="33" t="n">
        <f>3130</f>
        <v>3130.0</v>
      </c>
      <c r="R31" s="34" t="s">
        <v>51</v>
      </c>
      <c r="S31" s="35" t="n">
        <f>3086.06</f>
        <v>3086.06</v>
      </c>
      <c r="T31" s="32" t="n">
        <f>659830</f>
        <v>659830.0</v>
      </c>
      <c r="U31" s="32" t="n">
        <f>510392</f>
        <v>510392.0</v>
      </c>
      <c r="V31" s="32" t="n">
        <f>2025559774</f>
        <v>2.025559774E9</v>
      </c>
      <c r="W31" s="32" t="n">
        <f>1566232850</f>
        <v>1.56623285E9</v>
      </c>
      <c r="X31" s="36" t="n">
        <f>18</f>
        <v>18.0</v>
      </c>
    </row>
    <row r="32">
      <c r="A32" s="27" t="s">
        <v>42</v>
      </c>
      <c r="B32" s="27" t="s">
        <v>130</v>
      </c>
      <c r="C32" s="27" t="s">
        <v>131</v>
      </c>
      <c r="D32" s="27" t="s">
        <v>132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72360</f>
        <v>72360.0</v>
      </c>
      <c r="L32" s="34" t="s">
        <v>48</v>
      </c>
      <c r="M32" s="33" t="n">
        <f>73040</f>
        <v>73040.0</v>
      </c>
      <c r="N32" s="34" t="s">
        <v>48</v>
      </c>
      <c r="O32" s="33" t="n">
        <f>61100</f>
        <v>61100.0</v>
      </c>
      <c r="P32" s="34" t="s">
        <v>73</v>
      </c>
      <c r="Q32" s="33" t="n">
        <f>66030</f>
        <v>66030.0</v>
      </c>
      <c r="R32" s="34" t="s">
        <v>51</v>
      </c>
      <c r="S32" s="35" t="n">
        <f>66016.67</f>
        <v>66016.67</v>
      </c>
      <c r="T32" s="32" t="n">
        <f>689232</f>
        <v>689232.0</v>
      </c>
      <c r="U32" s="32" t="n">
        <f>24781</f>
        <v>24781.0</v>
      </c>
      <c r="V32" s="32" t="n">
        <f>45507033235</f>
        <v>4.5507033235E10</v>
      </c>
      <c r="W32" s="32" t="n">
        <f>1640363395</f>
        <v>1.640363395E9</v>
      </c>
      <c r="X32" s="36" t="n">
        <f>18</f>
        <v>18.0</v>
      </c>
    </row>
    <row r="33">
      <c r="A33" s="27" t="s">
        <v>42</v>
      </c>
      <c r="B33" s="27" t="s">
        <v>133</v>
      </c>
      <c r="C33" s="27" t="s">
        <v>134</v>
      </c>
      <c r="D33" s="27" t="s">
        <v>135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139</f>
        <v>139.0</v>
      </c>
      <c r="L33" s="34" t="s">
        <v>48</v>
      </c>
      <c r="M33" s="33" t="n">
        <f>162</f>
        <v>162.0</v>
      </c>
      <c r="N33" s="34" t="s">
        <v>73</v>
      </c>
      <c r="O33" s="33" t="n">
        <f>137</f>
        <v>137.0</v>
      </c>
      <c r="P33" s="34" t="s">
        <v>48</v>
      </c>
      <c r="Q33" s="33" t="n">
        <f>149</f>
        <v>149.0</v>
      </c>
      <c r="R33" s="34" t="s">
        <v>51</v>
      </c>
      <c r="S33" s="35" t="n">
        <f>150.06</f>
        <v>150.06</v>
      </c>
      <c r="T33" s="32" t="n">
        <f>60575700</f>
        <v>6.05757E7</v>
      </c>
      <c r="U33" s="32" t="n">
        <f>771037</f>
        <v>771037.0</v>
      </c>
      <c r="V33" s="32" t="n">
        <f>9171438557</f>
        <v>9.171438557E9</v>
      </c>
      <c r="W33" s="32" t="n">
        <f>116821657</f>
        <v>1.16821657E8</v>
      </c>
      <c r="X33" s="36" t="n">
        <f>18</f>
        <v>18.0</v>
      </c>
    </row>
    <row r="34">
      <c r="A34" s="27" t="s">
        <v>42</v>
      </c>
      <c r="B34" s="27" t="s">
        <v>136</v>
      </c>
      <c r="C34" s="27" t="s">
        <v>137</v>
      </c>
      <c r="D34" s="27" t="s">
        <v>138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52670</f>
        <v>52670.0</v>
      </c>
      <c r="L34" s="34" t="s">
        <v>48</v>
      </c>
      <c r="M34" s="33" t="n">
        <f>54700</f>
        <v>54700.0</v>
      </c>
      <c r="N34" s="34" t="s">
        <v>49</v>
      </c>
      <c r="O34" s="33" t="n">
        <f>48740</f>
        <v>48740.0</v>
      </c>
      <c r="P34" s="34" t="s">
        <v>50</v>
      </c>
      <c r="Q34" s="33" t="n">
        <f>54180</f>
        <v>54180.0</v>
      </c>
      <c r="R34" s="34" t="s">
        <v>51</v>
      </c>
      <c r="S34" s="35" t="n">
        <f>52467.22</f>
        <v>52467.22</v>
      </c>
      <c r="T34" s="32" t="n">
        <f>218131</f>
        <v>218131.0</v>
      </c>
      <c r="U34" s="32" t="n">
        <f>5233</f>
        <v>5233.0</v>
      </c>
      <c r="V34" s="32" t="n">
        <f>11294222913</f>
        <v>1.1294222913E10</v>
      </c>
      <c r="W34" s="32" t="n">
        <f>273624583</f>
        <v>2.73624583E8</v>
      </c>
      <c r="X34" s="36" t="n">
        <f>18</f>
        <v>18.0</v>
      </c>
    </row>
    <row r="35">
      <c r="A35" s="27" t="s">
        <v>42</v>
      </c>
      <c r="B35" s="27" t="s">
        <v>139</v>
      </c>
      <c r="C35" s="27" t="s">
        <v>140</v>
      </c>
      <c r="D35" s="27" t="s">
        <v>141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264</f>
        <v>264.0</v>
      </c>
      <c r="L35" s="34" t="s">
        <v>48</v>
      </c>
      <c r="M35" s="33" t="n">
        <f>285</f>
        <v>285.0</v>
      </c>
      <c r="N35" s="34" t="s">
        <v>50</v>
      </c>
      <c r="O35" s="33" t="n">
        <f>253</f>
        <v>253.0</v>
      </c>
      <c r="P35" s="34" t="s">
        <v>49</v>
      </c>
      <c r="Q35" s="33" t="n">
        <f>254</f>
        <v>254.0</v>
      </c>
      <c r="R35" s="34" t="s">
        <v>51</v>
      </c>
      <c r="S35" s="35" t="n">
        <f>264.28</f>
        <v>264.28</v>
      </c>
      <c r="T35" s="32" t="n">
        <f>4185729</f>
        <v>4185729.0</v>
      </c>
      <c r="U35" s="32" t="n">
        <f>33</f>
        <v>33.0</v>
      </c>
      <c r="V35" s="32" t="n">
        <f>1121379001</f>
        <v>1.121379001E9</v>
      </c>
      <c r="W35" s="32" t="n">
        <f>9101</f>
        <v>9101.0</v>
      </c>
      <c r="X35" s="36" t="n">
        <f>18</f>
        <v>18.0</v>
      </c>
    </row>
    <row r="36">
      <c r="A36" s="27" t="s">
        <v>42</v>
      </c>
      <c r="B36" s="27" t="s">
        <v>142</v>
      </c>
      <c r="C36" s="27" t="s">
        <v>143</v>
      </c>
      <c r="D36" s="27" t="s">
        <v>144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52960</f>
        <v>52960.0</v>
      </c>
      <c r="L36" s="34" t="s">
        <v>48</v>
      </c>
      <c r="M36" s="33" t="n">
        <f>53050</f>
        <v>53050.0</v>
      </c>
      <c r="N36" s="34" t="s">
        <v>48</v>
      </c>
      <c r="O36" s="33" t="n">
        <f>48800</f>
        <v>48800.0</v>
      </c>
      <c r="P36" s="34" t="s">
        <v>73</v>
      </c>
      <c r="Q36" s="33" t="n">
        <f>50730</f>
        <v>50730.0</v>
      </c>
      <c r="R36" s="34" t="s">
        <v>51</v>
      </c>
      <c r="S36" s="35" t="n">
        <f>50603.33</f>
        <v>50603.33</v>
      </c>
      <c r="T36" s="32" t="n">
        <f>213424</f>
        <v>213424.0</v>
      </c>
      <c r="U36" s="32" t="n">
        <f>152841</f>
        <v>152841.0</v>
      </c>
      <c r="V36" s="32" t="n">
        <f>10725350257</f>
        <v>1.0725350257E10</v>
      </c>
      <c r="W36" s="32" t="n">
        <f>7670017897</f>
        <v>7.670017897E9</v>
      </c>
      <c r="X36" s="36" t="n">
        <f>18</f>
        <v>18.0</v>
      </c>
    </row>
    <row r="37">
      <c r="A37" s="27" t="s">
        <v>42</v>
      </c>
      <c r="B37" s="27" t="s">
        <v>145</v>
      </c>
      <c r="C37" s="27" t="s">
        <v>146</v>
      </c>
      <c r="D37" s="27" t="s">
        <v>147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52920</f>
        <v>52920.0</v>
      </c>
      <c r="L37" s="34" t="s">
        <v>48</v>
      </c>
      <c r="M37" s="33" t="n">
        <f>53090</f>
        <v>53090.0</v>
      </c>
      <c r="N37" s="34" t="s">
        <v>48</v>
      </c>
      <c r="O37" s="33" t="n">
        <f>48950</f>
        <v>48950.0</v>
      </c>
      <c r="P37" s="34" t="s">
        <v>148</v>
      </c>
      <c r="Q37" s="33" t="n">
        <f>50560</f>
        <v>50560.0</v>
      </c>
      <c r="R37" s="34" t="s">
        <v>51</v>
      </c>
      <c r="S37" s="35" t="n">
        <f>50621.11</f>
        <v>50621.11</v>
      </c>
      <c r="T37" s="32" t="n">
        <f>130193</f>
        <v>130193.0</v>
      </c>
      <c r="U37" s="32" t="n">
        <f>66382</f>
        <v>66382.0</v>
      </c>
      <c r="V37" s="32" t="n">
        <f>6733495759</f>
        <v>6.733495759E9</v>
      </c>
      <c r="W37" s="32" t="n">
        <f>3447816039</f>
        <v>3.447816039E9</v>
      </c>
      <c r="X37" s="36" t="n">
        <f>18</f>
        <v>18.0</v>
      </c>
    </row>
    <row r="38">
      <c r="A38" s="27" t="s">
        <v>42</v>
      </c>
      <c r="B38" s="27" t="s">
        <v>149</v>
      </c>
      <c r="C38" s="27" t="s">
        <v>150</v>
      </c>
      <c r="D38" s="27" t="s">
        <v>151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2034.5</f>
        <v>2034.5</v>
      </c>
      <c r="L38" s="34" t="s">
        <v>48</v>
      </c>
      <c r="M38" s="33" t="n">
        <f>2106</f>
        <v>2106.0</v>
      </c>
      <c r="N38" s="34" t="s">
        <v>69</v>
      </c>
      <c r="O38" s="33" t="n">
        <f>2011.5</f>
        <v>2011.5</v>
      </c>
      <c r="P38" s="34" t="s">
        <v>50</v>
      </c>
      <c r="Q38" s="33" t="n">
        <f>2086.5</f>
        <v>2086.5</v>
      </c>
      <c r="R38" s="34" t="s">
        <v>51</v>
      </c>
      <c r="S38" s="35" t="n">
        <f>2058.19</f>
        <v>2058.19</v>
      </c>
      <c r="T38" s="32" t="n">
        <f>10389260</f>
        <v>1.038926E7</v>
      </c>
      <c r="U38" s="32" t="n">
        <f>1462410</f>
        <v>1462410.0</v>
      </c>
      <c r="V38" s="32" t="n">
        <f>21402409990</f>
        <v>2.140240999E10</v>
      </c>
      <c r="W38" s="32" t="n">
        <f>2992780180</f>
        <v>2.99278018E9</v>
      </c>
      <c r="X38" s="36" t="n">
        <f>18</f>
        <v>18.0</v>
      </c>
    </row>
    <row r="39">
      <c r="A39" s="27" t="s">
        <v>42</v>
      </c>
      <c r="B39" s="27" t="s">
        <v>152</v>
      </c>
      <c r="C39" s="27" t="s">
        <v>153</v>
      </c>
      <c r="D39" s="27" t="s">
        <v>154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2536</f>
        <v>2536.0</v>
      </c>
      <c r="L39" s="34" t="s">
        <v>48</v>
      </c>
      <c r="M39" s="33" t="n">
        <f>2796</f>
        <v>2796.0</v>
      </c>
      <c r="N39" s="34" t="s">
        <v>51</v>
      </c>
      <c r="O39" s="33" t="n">
        <f>2491</f>
        <v>2491.0</v>
      </c>
      <c r="P39" s="34" t="s">
        <v>50</v>
      </c>
      <c r="Q39" s="33" t="n">
        <f>2796</f>
        <v>2796.0</v>
      </c>
      <c r="R39" s="34" t="s">
        <v>51</v>
      </c>
      <c r="S39" s="35" t="n">
        <f>2614.11</f>
        <v>2614.11</v>
      </c>
      <c r="T39" s="32" t="n">
        <f>56495</f>
        <v>56495.0</v>
      </c>
      <c r="U39" s="32" t="n">
        <f>300</f>
        <v>300.0</v>
      </c>
      <c r="V39" s="32" t="n">
        <f>145332126</f>
        <v>1.45332126E8</v>
      </c>
      <c r="W39" s="32" t="n">
        <f>780300</f>
        <v>780300.0</v>
      </c>
      <c r="X39" s="36" t="n">
        <f>18</f>
        <v>18.0</v>
      </c>
    </row>
    <row r="40">
      <c r="A40" s="27" t="s">
        <v>42</v>
      </c>
      <c r="B40" s="27" t="s">
        <v>155</v>
      </c>
      <c r="C40" s="27" t="s">
        <v>156</v>
      </c>
      <c r="D40" s="27" t="s">
        <v>157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1950</f>
        <v>1950.0</v>
      </c>
      <c r="L40" s="34" t="s">
        <v>48</v>
      </c>
      <c r="M40" s="33" t="n">
        <f>1975</f>
        <v>1975.0</v>
      </c>
      <c r="N40" s="34" t="s">
        <v>89</v>
      </c>
      <c r="O40" s="33" t="n">
        <f>1931</f>
        <v>1931.0</v>
      </c>
      <c r="P40" s="34" t="s">
        <v>69</v>
      </c>
      <c r="Q40" s="33" t="n">
        <f>1936</f>
        <v>1936.0</v>
      </c>
      <c r="R40" s="34" t="s">
        <v>51</v>
      </c>
      <c r="S40" s="35" t="n">
        <f>1946.67</f>
        <v>1946.67</v>
      </c>
      <c r="T40" s="32" t="n">
        <f>114467</f>
        <v>114467.0</v>
      </c>
      <c r="U40" s="32" t="str">
        <f>"－"</f>
        <v>－</v>
      </c>
      <c r="V40" s="32" t="n">
        <f>223006824</f>
        <v>2.23006824E8</v>
      </c>
      <c r="W40" s="32" t="str">
        <f>"－"</f>
        <v>－</v>
      </c>
      <c r="X40" s="36" t="n">
        <f>18</f>
        <v>18.0</v>
      </c>
    </row>
    <row r="41">
      <c r="A41" s="27" t="s">
        <v>42</v>
      </c>
      <c r="B41" s="27" t="s">
        <v>158</v>
      </c>
      <c r="C41" s="27" t="s">
        <v>159</v>
      </c>
      <c r="D41" s="27" t="s">
        <v>160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1715</f>
        <v>1715.0</v>
      </c>
      <c r="L41" s="34" t="s">
        <v>48</v>
      </c>
      <c r="M41" s="33" t="n">
        <f>1856</f>
        <v>1856.0</v>
      </c>
      <c r="N41" s="34" t="s">
        <v>73</v>
      </c>
      <c r="O41" s="33" t="n">
        <f>1707</f>
        <v>1707.0</v>
      </c>
      <c r="P41" s="34" t="s">
        <v>48</v>
      </c>
      <c r="Q41" s="33" t="n">
        <f>1779</f>
        <v>1779.0</v>
      </c>
      <c r="R41" s="34" t="s">
        <v>51</v>
      </c>
      <c r="S41" s="35" t="n">
        <f>1788.72</f>
        <v>1788.72</v>
      </c>
      <c r="T41" s="32" t="n">
        <f>3470933</f>
        <v>3470933.0</v>
      </c>
      <c r="U41" s="32" t="n">
        <f>1156121</f>
        <v>1156121.0</v>
      </c>
      <c r="V41" s="32" t="n">
        <f>6198386204</f>
        <v>6.198386204E9</v>
      </c>
      <c r="W41" s="32" t="n">
        <f>2035730237</f>
        <v>2.035730237E9</v>
      </c>
      <c r="X41" s="36" t="n">
        <f>18</f>
        <v>18.0</v>
      </c>
    </row>
    <row r="42">
      <c r="A42" s="27" t="s">
        <v>42</v>
      </c>
      <c r="B42" s="27" t="s">
        <v>161</v>
      </c>
      <c r="C42" s="27" t="s">
        <v>162</v>
      </c>
      <c r="D42" s="27" t="s">
        <v>163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2273</f>
        <v>2273.0</v>
      </c>
      <c r="L42" s="34" t="s">
        <v>48</v>
      </c>
      <c r="M42" s="33" t="n">
        <f>2356</f>
        <v>2356.0</v>
      </c>
      <c r="N42" s="34" t="s">
        <v>50</v>
      </c>
      <c r="O42" s="33" t="n">
        <f>2227</f>
        <v>2227.0</v>
      </c>
      <c r="P42" s="34" t="s">
        <v>49</v>
      </c>
      <c r="Q42" s="33" t="n">
        <f>2232</f>
        <v>2232.0</v>
      </c>
      <c r="R42" s="34" t="s">
        <v>51</v>
      </c>
      <c r="S42" s="35" t="n">
        <f>2272.67</f>
        <v>2272.67</v>
      </c>
      <c r="T42" s="32" t="n">
        <f>88906</f>
        <v>88906.0</v>
      </c>
      <c r="U42" s="32" t="n">
        <f>2290</f>
        <v>2290.0</v>
      </c>
      <c r="V42" s="32" t="n">
        <f>203318318</f>
        <v>2.03318318E8</v>
      </c>
      <c r="W42" s="32" t="n">
        <f>5188480</f>
        <v>5188480.0</v>
      </c>
      <c r="X42" s="36" t="n">
        <f>18</f>
        <v>18.0</v>
      </c>
    </row>
    <row r="43">
      <c r="A43" s="27" t="s">
        <v>42</v>
      </c>
      <c r="B43" s="27" t="s">
        <v>164</v>
      </c>
      <c r="C43" s="27" t="s">
        <v>165</v>
      </c>
      <c r="D43" s="27" t="s">
        <v>166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55930</f>
        <v>55930.0</v>
      </c>
      <c r="L43" s="34" t="s">
        <v>48</v>
      </c>
      <c r="M43" s="33" t="n">
        <f>56420</f>
        <v>56420.0</v>
      </c>
      <c r="N43" s="34" t="s">
        <v>48</v>
      </c>
      <c r="O43" s="33" t="n">
        <f>47210</f>
        <v>47210.0</v>
      </c>
      <c r="P43" s="34" t="s">
        <v>73</v>
      </c>
      <c r="Q43" s="33" t="n">
        <f>51120</f>
        <v>51120.0</v>
      </c>
      <c r="R43" s="34" t="s">
        <v>51</v>
      </c>
      <c r="S43" s="35" t="n">
        <f>51001.11</f>
        <v>51001.11</v>
      </c>
      <c r="T43" s="32" t="n">
        <f>5030453</f>
        <v>5030453.0</v>
      </c>
      <c r="U43" s="32" t="n">
        <f>7009</f>
        <v>7009.0</v>
      </c>
      <c r="V43" s="32" t="n">
        <f>256307562585</f>
        <v>2.56307562585E11</v>
      </c>
      <c r="W43" s="32" t="n">
        <f>356841015</f>
        <v>3.56841015E8</v>
      </c>
      <c r="X43" s="36" t="n">
        <f>18</f>
        <v>18.0</v>
      </c>
    </row>
    <row r="44">
      <c r="A44" s="27" t="s">
        <v>42</v>
      </c>
      <c r="B44" s="27" t="s">
        <v>167</v>
      </c>
      <c r="C44" s="27" t="s">
        <v>168</v>
      </c>
      <c r="D44" s="27" t="s">
        <v>169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221</f>
        <v>221.0</v>
      </c>
      <c r="L44" s="34" t="s">
        <v>48</v>
      </c>
      <c r="M44" s="33" t="n">
        <f>260</f>
        <v>260.0</v>
      </c>
      <c r="N44" s="34" t="s">
        <v>73</v>
      </c>
      <c r="O44" s="33" t="n">
        <f>219</f>
        <v>219.0</v>
      </c>
      <c r="P44" s="34" t="s">
        <v>48</v>
      </c>
      <c r="Q44" s="33" t="n">
        <f>239</f>
        <v>239.0</v>
      </c>
      <c r="R44" s="34" t="s">
        <v>51</v>
      </c>
      <c r="S44" s="35" t="n">
        <f>241.11</f>
        <v>241.11</v>
      </c>
      <c r="T44" s="32" t="n">
        <f>236271884</f>
        <v>2.36271884E8</v>
      </c>
      <c r="U44" s="32" t="n">
        <f>5339544</f>
        <v>5339544.0</v>
      </c>
      <c r="V44" s="32" t="n">
        <f>56951004921</f>
        <v>5.6951004921E10</v>
      </c>
      <c r="W44" s="32" t="n">
        <f>1300519877</f>
        <v>1.300519877E9</v>
      </c>
      <c r="X44" s="36" t="n">
        <f>18</f>
        <v>18.0</v>
      </c>
    </row>
    <row r="45">
      <c r="A45" s="27" t="s">
        <v>42</v>
      </c>
      <c r="B45" s="27" t="s">
        <v>170</v>
      </c>
      <c r="C45" s="27" t="s">
        <v>171</v>
      </c>
      <c r="D45" s="27" t="s">
        <v>172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342</f>
        <v>342.0</v>
      </c>
      <c r="L45" s="34" t="s">
        <v>48</v>
      </c>
      <c r="M45" s="33" t="n">
        <f>366</f>
        <v>366.0</v>
      </c>
      <c r="N45" s="34" t="s">
        <v>50</v>
      </c>
      <c r="O45" s="33" t="n">
        <f>330</f>
        <v>330.0</v>
      </c>
      <c r="P45" s="34" t="s">
        <v>49</v>
      </c>
      <c r="Q45" s="33" t="n">
        <f>332</f>
        <v>332.0</v>
      </c>
      <c r="R45" s="34" t="s">
        <v>51</v>
      </c>
      <c r="S45" s="35" t="n">
        <f>342.89</f>
        <v>342.89</v>
      </c>
      <c r="T45" s="32" t="n">
        <f>86469</f>
        <v>86469.0</v>
      </c>
      <c r="U45" s="32" t="str">
        <f>"－"</f>
        <v>－</v>
      </c>
      <c r="V45" s="32" t="n">
        <f>29975326</f>
        <v>2.9975326E7</v>
      </c>
      <c r="W45" s="32" t="str">
        <f>"－"</f>
        <v>－</v>
      </c>
      <c r="X45" s="36" t="n">
        <f>18</f>
        <v>18.0</v>
      </c>
    </row>
    <row r="46">
      <c r="A46" s="27" t="s">
        <v>42</v>
      </c>
      <c r="B46" s="27" t="s">
        <v>173</v>
      </c>
      <c r="C46" s="27" t="s">
        <v>174</v>
      </c>
      <c r="D46" s="27" t="s">
        <v>175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10.0</v>
      </c>
      <c r="K46" s="33" t="n">
        <f>326.1</f>
        <v>326.1</v>
      </c>
      <c r="L46" s="34" t="s">
        <v>48</v>
      </c>
      <c r="M46" s="33" t="n">
        <f>360</f>
        <v>360.0</v>
      </c>
      <c r="N46" s="34" t="s">
        <v>89</v>
      </c>
      <c r="O46" s="33" t="n">
        <f>316.1</f>
        <v>316.1</v>
      </c>
      <c r="P46" s="34" t="s">
        <v>49</v>
      </c>
      <c r="Q46" s="33" t="n">
        <f>317.9</f>
        <v>317.9</v>
      </c>
      <c r="R46" s="34" t="s">
        <v>51</v>
      </c>
      <c r="S46" s="35" t="n">
        <f>329.32</f>
        <v>329.32</v>
      </c>
      <c r="T46" s="32" t="n">
        <f>344230</f>
        <v>344230.0</v>
      </c>
      <c r="U46" s="32" t="n">
        <f>1210</f>
        <v>1210.0</v>
      </c>
      <c r="V46" s="32" t="n">
        <f>113734547</f>
        <v>1.13734547E8</v>
      </c>
      <c r="W46" s="32" t="n">
        <f>405253</f>
        <v>405253.0</v>
      </c>
      <c r="X46" s="36" t="n">
        <f>18</f>
        <v>18.0</v>
      </c>
    </row>
    <row r="47">
      <c r="A47" s="27" t="s">
        <v>42</v>
      </c>
      <c r="B47" s="27" t="s">
        <v>176</v>
      </c>
      <c r="C47" s="27" t="s">
        <v>177</v>
      </c>
      <c r="D47" s="27" t="s">
        <v>178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134</f>
        <v>134.0</v>
      </c>
      <c r="L47" s="34" t="s">
        <v>48</v>
      </c>
      <c r="M47" s="33" t="n">
        <f>144</f>
        <v>144.0</v>
      </c>
      <c r="N47" s="34" t="s">
        <v>50</v>
      </c>
      <c r="O47" s="33" t="n">
        <f>129</f>
        <v>129.0</v>
      </c>
      <c r="P47" s="34" t="s">
        <v>49</v>
      </c>
      <c r="Q47" s="33" t="n">
        <f>129</f>
        <v>129.0</v>
      </c>
      <c r="R47" s="34" t="s">
        <v>51</v>
      </c>
      <c r="S47" s="35" t="n">
        <f>134.44</f>
        <v>134.44</v>
      </c>
      <c r="T47" s="32" t="n">
        <f>369860</f>
        <v>369860.0</v>
      </c>
      <c r="U47" s="32" t="str">
        <f>"－"</f>
        <v>－</v>
      </c>
      <c r="V47" s="32" t="n">
        <f>50774012</f>
        <v>5.0774012E7</v>
      </c>
      <c r="W47" s="32" t="str">
        <f>"－"</f>
        <v>－</v>
      </c>
      <c r="X47" s="36" t="n">
        <f>18</f>
        <v>18.0</v>
      </c>
    </row>
    <row r="48">
      <c r="A48" s="27" t="s">
        <v>42</v>
      </c>
      <c r="B48" s="27" t="s">
        <v>179</v>
      </c>
      <c r="C48" s="27" t="s">
        <v>180</v>
      </c>
      <c r="D48" s="27" t="s">
        <v>181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3411</f>
        <v>3411.0</v>
      </c>
      <c r="L48" s="34" t="s">
        <v>48</v>
      </c>
      <c r="M48" s="33" t="n">
        <f>3471</f>
        <v>3471.0</v>
      </c>
      <c r="N48" s="34" t="s">
        <v>49</v>
      </c>
      <c r="O48" s="33" t="n">
        <f>3284</f>
        <v>3284.0</v>
      </c>
      <c r="P48" s="34" t="s">
        <v>50</v>
      </c>
      <c r="Q48" s="33" t="n">
        <f>3465</f>
        <v>3465.0</v>
      </c>
      <c r="R48" s="34" t="s">
        <v>51</v>
      </c>
      <c r="S48" s="35" t="n">
        <f>3406.78</f>
        <v>3406.78</v>
      </c>
      <c r="T48" s="32" t="n">
        <f>3437770</f>
        <v>3437770.0</v>
      </c>
      <c r="U48" s="32" t="n">
        <f>2786320</f>
        <v>2786320.0</v>
      </c>
      <c r="V48" s="32" t="n">
        <f>11668982192</f>
        <v>1.1668982192E10</v>
      </c>
      <c r="W48" s="32" t="n">
        <f>9463898172</f>
        <v>9.463898172E9</v>
      </c>
      <c r="X48" s="36" t="n">
        <f>18</f>
        <v>18.0</v>
      </c>
    </row>
    <row r="49">
      <c r="A49" s="27" t="s">
        <v>42</v>
      </c>
      <c r="B49" s="27" t="s">
        <v>182</v>
      </c>
      <c r="C49" s="27" t="s">
        <v>183</v>
      </c>
      <c r="D49" s="27" t="s">
        <v>184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30790</f>
        <v>30790.0</v>
      </c>
      <c r="L49" s="34" t="s">
        <v>48</v>
      </c>
      <c r="M49" s="33" t="n">
        <f>31100</f>
        <v>31100.0</v>
      </c>
      <c r="N49" s="34" t="s">
        <v>49</v>
      </c>
      <c r="O49" s="33" t="n">
        <f>29510</f>
        <v>29510.0</v>
      </c>
      <c r="P49" s="34" t="s">
        <v>50</v>
      </c>
      <c r="Q49" s="33" t="n">
        <f>31000</f>
        <v>31000.0</v>
      </c>
      <c r="R49" s="34" t="s">
        <v>51</v>
      </c>
      <c r="S49" s="35" t="n">
        <f>30504.72</f>
        <v>30504.72</v>
      </c>
      <c r="T49" s="32" t="n">
        <f>12290</f>
        <v>12290.0</v>
      </c>
      <c r="U49" s="32" t="n">
        <f>5490</f>
        <v>5490.0</v>
      </c>
      <c r="V49" s="32" t="n">
        <f>372777759</f>
        <v>3.72777759E8</v>
      </c>
      <c r="W49" s="32" t="n">
        <f>167977624</f>
        <v>1.67977624E8</v>
      </c>
      <c r="X49" s="36" t="n">
        <f>18</f>
        <v>18.0</v>
      </c>
    </row>
    <row r="50">
      <c r="A50" s="27" t="s">
        <v>42</v>
      </c>
      <c r="B50" s="27" t="s">
        <v>185</v>
      </c>
      <c r="C50" s="27" t="s">
        <v>186</v>
      </c>
      <c r="D50" s="27" t="s">
        <v>187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343.5</f>
        <v>343.5</v>
      </c>
      <c r="L50" s="34" t="s">
        <v>48</v>
      </c>
      <c r="M50" s="33" t="n">
        <f>350.1</f>
        <v>350.1</v>
      </c>
      <c r="N50" s="34" t="s">
        <v>49</v>
      </c>
      <c r="O50" s="33" t="n">
        <f>330.5</f>
        <v>330.5</v>
      </c>
      <c r="P50" s="34" t="s">
        <v>50</v>
      </c>
      <c r="Q50" s="33" t="n">
        <f>349.1</f>
        <v>349.1</v>
      </c>
      <c r="R50" s="34" t="s">
        <v>51</v>
      </c>
      <c r="S50" s="35" t="n">
        <f>343.17</f>
        <v>343.17</v>
      </c>
      <c r="T50" s="32" t="n">
        <f>88583450</f>
        <v>8.858345E7</v>
      </c>
      <c r="U50" s="32" t="n">
        <f>35615250</f>
        <v>3.561525E7</v>
      </c>
      <c r="V50" s="32" t="n">
        <f>30199372395</f>
        <v>3.0199372395E10</v>
      </c>
      <c r="W50" s="32" t="n">
        <f>12113137656</f>
        <v>1.2113137656E10</v>
      </c>
      <c r="X50" s="36" t="n">
        <f>18</f>
        <v>18.0</v>
      </c>
    </row>
    <row r="51">
      <c r="A51" s="27" t="s">
        <v>42</v>
      </c>
      <c r="B51" s="27" t="s">
        <v>188</v>
      </c>
      <c r="C51" s="27" t="s">
        <v>189</v>
      </c>
      <c r="D51" s="27" t="s">
        <v>190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2048</f>
        <v>2048.0</v>
      </c>
      <c r="L51" s="34" t="s">
        <v>48</v>
      </c>
      <c r="M51" s="33" t="n">
        <f>2112</f>
        <v>2112.0</v>
      </c>
      <c r="N51" s="34" t="s">
        <v>69</v>
      </c>
      <c r="O51" s="33" t="n">
        <f>2037</f>
        <v>2037.0</v>
      </c>
      <c r="P51" s="34" t="s">
        <v>191</v>
      </c>
      <c r="Q51" s="33" t="n">
        <f>2089</f>
        <v>2089.0</v>
      </c>
      <c r="R51" s="34" t="s">
        <v>51</v>
      </c>
      <c r="S51" s="35" t="n">
        <f>2067.5</f>
        <v>2067.5</v>
      </c>
      <c r="T51" s="32" t="n">
        <f>10989410</f>
        <v>1.098941E7</v>
      </c>
      <c r="U51" s="32" t="n">
        <f>8171714</f>
        <v>8171714.0</v>
      </c>
      <c r="V51" s="32" t="n">
        <f>22662865011</f>
        <v>2.2662865011E10</v>
      </c>
      <c r="W51" s="32" t="n">
        <f>16853260304</f>
        <v>1.6853260304E10</v>
      </c>
      <c r="X51" s="36" t="n">
        <f>18</f>
        <v>18.0</v>
      </c>
    </row>
    <row r="52">
      <c r="A52" s="27" t="s">
        <v>42</v>
      </c>
      <c r="B52" s="27" t="s">
        <v>192</v>
      </c>
      <c r="C52" s="27" t="s">
        <v>193</v>
      </c>
      <c r="D52" s="27" t="s">
        <v>194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2905</f>
        <v>2905.0</v>
      </c>
      <c r="L52" s="34" t="s">
        <v>48</v>
      </c>
      <c r="M52" s="33" t="n">
        <f>3083</f>
        <v>3083.0</v>
      </c>
      <c r="N52" s="34" t="s">
        <v>50</v>
      </c>
      <c r="O52" s="33" t="n">
        <f>2825</f>
        <v>2825.0</v>
      </c>
      <c r="P52" s="34" t="s">
        <v>50</v>
      </c>
      <c r="Q52" s="33" t="n">
        <f>3004</f>
        <v>3004.0</v>
      </c>
      <c r="R52" s="34" t="s">
        <v>51</v>
      </c>
      <c r="S52" s="35" t="n">
        <f>2933.94</f>
        <v>2933.94</v>
      </c>
      <c r="T52" s="32" t="n">
        <f>268388</f>
        <v>268388.0</v>
      </c>
      <c r="U52" s="32" t="n">
        <f>178025</f>
        <v>178025.0</v>
      </c>
      <c r="V52" s="32" t="n">
        <f>793195657</f>
        <v>7.93195657E8</v>
      </c>
      <c r="W52" s="32" t="n">
        <f>529904445</f>
        <v>5.29904445E8</v>
      </c>
      <c r="X52" s="36" t="n">
        <f>18</f>
        <v>18.0</v>
      </c>
    </row>
    <row r="53">
      <c r="A53" s="27" t="s">
        <v>42</v>
      </c>
      <c r="B53" s="27" t="s">
        <v>195</v>
      </c>
      <c r="C53" s="27" t="s">
        <v>196</v>
      </c>
      <c r="D53" s="27" t="s">
        <v>197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4351</f>
        <v>4351.0</v>
      </c>
      <c r="L53" s="34" t="s">
        <v>48</v>
      </c>
      <c r="M53" s="33" t="n">
        <f>4520</f>
        <v>4520.0</v>
      </c>
      <c r="N53" s="34" t="s">
        <v>51</v>
      </c>
      <c r="O53" s="33" t="n">
        <f>4222</f>
        <v>4222.0</v>
      </c>
      <c r="P53" s="34" t="s">
        <v>50</v>
      </c>
      <c r="Q53" s="33" t="n">
        <f>4520</f>
        <v>4520.0</v>
      </c>
      <c r="R53" s="34" t="s">
        <v>51</v>
      </c>
      <c r="S53" s="35" t="n">
        <f>4424.61</f>
        <v>4424.61</v>
      </c>
      <c r="T53" s="32" t="n">
        <f>1078020</f>
        <v>1078020.0</v>
      </c>
      <c r="U53" s="32" t="n">
        <f>372457</f>
        <v>372457.0</v>
      </c>
      <c r="V53" s="32" t="n">
        <f>4759898726</f>
        <v>4.759898726E9</v>
      </c>
      <c r="W53" s="32" t="n">
        <f>1661226580</f>
        <v>1.66122658E9</v>
      </c>
      <c r="X53" s="36" t="n">
        <f>18</f>
        <v>18.0</v>
      </c>
    </row>
    <row r="54">
      <c r="A54" s="27" t="s">
        <v>42</v>
      </c>
      <c r="B54" s="27" t="s">
        <v>198</v>
      </c>
      <c r="C54" s="27" t="s">
        <v>199</v>
      </c>
      <c r="D54" s="27" t="s">
        <v>200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43460</f>
        <v>43460.0</v>
      </c>
      <c r="L54" s="34" t="s">
        <v>201</v>
      </c>
      <c r="M54" s="33" t="n">
        <f>43780</f>
        <v>43780.0</v>
      </c>
      <c r="N54" s="34" t="s">
        <v>61</v>
      </c>
      <c r="O54" s="33" t="n">
        <f>43320</f>
        <v>43320.0</v>
      </c>
      <c r="P54" s="34" t="s">
        <v>61</v>
      </c>
      <c r="Q54" s="33" t="n">
        <f>43320</f>
        <v>43320.0</v>
      </c>
      <c r="R54" s="34" t="s">
        <v>61</v>
      </c>
      <c r="S54" s="35" t="n">
        <f>43413.33</f>
        <v>43413.33</v>
      </c>
      <c r="T54" s="32" t="n">
        <f>161</f>
        <v>161.0</v>
      </c>
      <c r="U54" s="32" t="str">
        <f>"－"</f>
        <v>－</v>
      </c>
      <c r="V54" s="32" t="n">
        <f>7027000</f>
        <v>7027000.0</v>
      </c>
      <c r="W54" s="32" t="str">
        <f>"－"</f>
        <v>－</v>
      </c>
      <c r="X54" s="36" t="n">
        <f>3</f>
        <v>3.0</v>
      </c>
    </row>
    <row r="55">
      <c r="A55" s="27" t="s">
        <v>42</v>
      </c>
      <c r="B55" s="27" t="s">
        <v>202</v>
      </c>
      <c r="C55" s="27" t="s">
        <v>203</v>
      </c>
      <c r="D55" s="27" t="s">
        <v>204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32330</f>
        <v>32330.0</v>
      </c>
      <c r="L55" s="34" t="s">
        <v>48</v>
      </c>
      <c r="M55" s="33" t="n">
        <f>32910</f>
        <v>32910.0</v>
      </c>
      <c r="N55" s="34" t="s">
        <v>50</v>
      </c>
      <c r="O55" s="33" t="n">
        <f>32210</f>
        <v>32210.0</v>
      </c>
      <c r="P55" s="34" t="s">
        <v>50</v>
      </c>
      <c r="Q55" s="33" t="n">
        <f>32420</f>
        <v>32420.0</v>
      </c>
      <c r="R55" s="34" t="s">
        <v>69</v>
      </c>
      <c r="S55" s="35" t="n">
        <f>32352</f>
        <v>32352.0</v>
      </c>
      <c r="T55" s="32" t="n">
        <f>60</f>
        <v>60.0</v>
      </c>
      <c r="U55" s="32" t="str">
        <f>"－"</f>
        <v>－</v>
      </c>
      <c r="V55" s="32" t="n">
        <f>1945790</f>
        <v>1945790.0</v>
      </c>
      <c r="W55" s="32" t="str">
        <f>"－"</f>
        <v>－</v>
      </c>
      <c r="X55" s="36" t="n">
        <f>5</f>
        <v>5.0</v>
      </c>
    </row>
    <row r="56">
      <c r="A56" s="27" t="s">
        <v>42</v>
      </c>
      <c r="B56" s="27" t="s">
        <v>205</v>
      </c>
      <c r="C56" s="27" t="s">
        <v>206</v>
      </c>
      <c r="D56" s="27" t="s">
        <v>207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3210</f>
        <v>3210.0</v>
      </c>
      <c r="L56" s="34" t="s">
        <v>48</v>
      </c>
      <c r="M56" s="33" t="n">
        <f>3307</f>
        <v>3307.0</v>
      </c>
      <c r="N56" s="34" t="s">
        <v>208</v>
      </c>
      <c r="O56" s="33" t="n">
        <f>3088</f>
        <v>3088.0</v>
      </c>
      <c r="P56" s="34" t="s">
        <v>50</v>
      </c>
      <c r="Q56" s="33" t="n">
        <f>3300</f>
        <v>3300.0</v>
      </c>
      <c r="R56" s="34" t="s">
        <v>51</v>
      </c>
      <c r="S56" s="35" t="n">
        <f>3209.18</f>
        <v>3209.18</v>
      </c>
      <c r="T56" s="32" t="n">
        <f>566</f>
        <v>566.0</v>
      </c>
      <c r="U56" s="32" t="n">
        <f>1</f>
        <v>1.0</v>
      </c>
      <c r="V56" s="32" t="n">
        <f>1819872</f>
        <v>1819872.0</v>
      </c>
      <c r="W56" s="32" t="n">
        <f>3224</f>
        <v>3224.0</v>
      </c>
      <c r="X56" s="36" t="n">
        <f>17</f>
        <v>17.0</v>
      </c>
    </row>
    <row r="57">
      <c r="A57" s="27" t="s">
        <v>42</v>
      </c>
      <c r="B57" s="27" t="s">
        <v>209</v>
      </c>
      <c r="C57" s="27" t="s">
        <v>210</v>
      </c>
      <c r="D57" s="27" t="s">
        <v>211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1643</f>
        <v>1643.0</v>
      </c>
      <c r="L57" s="34" t="s">
        <v>48</v>
      </c>
      <c r="M57" s="33" t="n">
        <f>1661</f>
        <v>1661.0</v>
      </c>
      <c r="N57" s="34" t="s">
        <v>51</v>
      </c>
      <c r="O57" s="33" t="n">
        <f>1638</f>
        <v>1638.0</v>
      </c>
      <c r="P57" s="34" t="s">
        <v>191</v>
      </c>
      <c r="Q57" s="33" t="n">
        <f>1660</f>
        <v>1660.0</v>
      </c>
      <c r="R57" s="34" t="s">
        <v>51</v>
      </c>
      <c r="S57" s="35" t="n">
        <f>1647</f>
        <v>1647.0</v>
      </c>
      <c r="T57" s="32" t="n">
        <f>4851632</f>
        <v>4851632.0</v>
      </c>
      <c r="U57" s="32" t="n">
        <f>3166721</f>
        <v>3166721.0</v>
      </c>
      <c r="V57" s="32" t="n">
        <f>7988952566</f>
        <v>7.988952566E9</v>
      </c>
      <c r="W57" s="32" t="n">
        <f>5212411851</f>
        <v>5.212411851E9</v>
      </c>
      <c r="X57" s="36" t="n">
        <f>18</f>
        <v>18.0</v>
      </c>
    </row>
    <row r="58">
      <c r="A58" s="27" t="s">
        <v>42</v>
      </c>
      <c r="B58" s="27" t="s">
        <v>212</v>
      </c>
      <c r="C58" s="27" t="s">
        <v>213</v>
      </c>
      <c r="D58" s="27" t="s">
        <v>214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3141</f>
        <v>3141.0</v>
      </c>
      <c r="L58" s="34" t="s">
        <v>48</v>
      </c>
      <c r="M58" s="33" t="n">
        <f>3279</f>
        <v>3279.0</v>
      </c>
      <c r="N58" s="34" t="s">
        <v>69</v>
      </c>
      <c r="O58" s="33" t="n">
        <f>3068</f>
        <v>3068.0</v>
      </c>
      <c r="P58" s="34" t="s">
        <v>50</v>
      </c>
      <c r="Q58" s="33" t="n">
        <f>3279</f>
        <v>3279.0</v>
      </c>
      <c r="R58" s="34" t="s">
        <v>51</v>
      </c>
      <c r="S58" s="35" t="n">
        <f>3183.82</f>
        <v>3183.82</v>
      </c>
      <c r="T58" s="32" t="n">
        <f>821</f>
        <v>821.0</v>
      </c>
      <c r="U58" s="32" t="str">
        <f>"－"</f>
        <v>－</v>
      </c>
      <c r="V58" s="32" t="n">
        <f>2617530</f>
        <v>2617530.0</v>
      </c>
      <c r="W58" s="32" t="str">
        <f>"－"</f>
        <v>－</v>
      </c>
      <c r="X58" s="36" t="n">
        <f>17</f>
        <v>17.0</v>
      </c>
    </row>
    <row r="59">
      <c r="A59" s="27" t="s">
        <v>42</v>
      </c>
      <c r="B59" s="27" t="s">
        <v>215</v>
      </c>
      <c r="C59" s="27" t="s">
        <v>216</v>
      </c>
      <c r="D59" s="27" t="s">
        <v>217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3105</f>
        <v>3105.0</v>
      </c>
      <c r="L59" s="34" t="s">
        <v>48</v>
      </c>
      <c r="M59" s="33" t="n">
        <f>3295</f>
        <v>3295.0</v>
      </c>
      <c r="N59" s="34" t="s">
        <v>69</v>
      </c>
      <c r="O59" s="33" t="n">
        <f>3076</f>
        <v>3076.0</v>
      </c>
      <c r="P59" s="34" t="s">
        <v>50</v>
      </c>
      <c r="Q59" s="33" t="n">
        <f>3269</f>
        <v>3269.0</v>
      </c>
      <c r="R59" s="34" t="s">
        <v>51</v>
      </c>
      <c r="S59" s="35" t="n">
        <f>3174.82</f>
        <v>3174.82</v>
      </c>
      <c r="T59" s="32" t="n">
        <f>4330</f>
        <v>4330.0</v>
      </c>
      <c r="U59" s="32" t="str">
        <f>"－"</f>
        <v>－</v>
      </c>
      <c r="V59" s="32" t="n">
        <f>13680020</f>
        <v>1.368002E7</v>
      </c>
      <c r="W59" s="32" t="str">
        <f>"－"</f>
        <v>－</v>
      </c>
      <c r="X59" s="36" t="n">
        <f>17</f>
        <v>17.0</v>
      </c>
    </row>
    <row r="60">
      <c r="A60" s="27" t="s">
        <v>42</v>
      </c>
      <c r="B60" s="27" t="s">
        <v>218</v>
      </c>
      <c r="C60" s="27" t="s">
        <v>219</v>
      </c>
      <c r="D60" s="27" t="s">
        <v>220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str">
        <f>"－"</f>
        <v>－</v>
      </c>
      <c r="L60" s="34"/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5" t="str">
        <f>"－"</f>
        <v>－</v>
      </c>
      <c r="T60" s="32" t="str">
        <f>"－"</f>
        <v>－</v>
      </c>
      <c r="U60" s="32" t="str">
        <f>"－"</f>
        <v>－</v>
      </c>
      <c r="V60" s="32" t="str">
        <f>"－"</f>
        <v>－</v>
      </c>
      <c r="W60" s="32" t="str">
        <f>"－"</f>
        <v>－</v>
      </c>
      <c r="X60" s="36" t="str">
        <f>"－"</f>
        <v>－</v>
      </c>
    </row>
    <row r="61">
      <c r="A61" s="27" t="s">
        <v>42</v>
      </c>
      <c r="B61" s="27" t="s">
        <v>221</v>
      </c>
      <c r="C61" s="27" t="s">
        <v>222</v>
      </c>
      <c r="D61" s="27" t="s">
        <v>223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24355</f>
        <v>24355.0</v>
      </c>
      <c r="L61" s="34" t="s">
        <v>48</v>
      </c>
      <c r="M61" s="33" t="n">
        <f>25040</f>
        <v>25040.0</v>
      </c>
      <c r="N61" s="34" t="s">
        <v>114</v>
      </c>
      <c r="O61" s="33" t="n">
        <f>24200</f>
        <v>24200.0</v>
      </c>
      <c r="P61" s="34" t="s">
        <v>89</v>
      </c>
      <c r="Q61" s="33" t="n">
        <f>25020</f>
        <v>25020.0</v>
      </c>
      <c r="R61" s="34" t="s">
        <v>51</v>
      </c>
      <c r="S61" s="35" t="n">
        <f>24608.33</f>
        <v>24608.33</v>
      </c>
      <c r="T61" s="32" t="n">
        <f>78710</f>
        <v>78710.0</v>
      </c>
      <c r="U61" s="32" t="n">
        <f>43574</f>
        <v>43574.0</v>
      </c>
      <c r="V61" s="32" t="n">
        <f>1931951334</f>
        <v>1.931951334E9</v>
      </c>
      <c r="W61" s="32" t="n">
        <f>1068698584</f>
        <v>1.068698584E9</v>
      </c>
      <c r="X61" s="36" t="n">
        <f>18</f>
        <v>18.0</v>
      </c>
    </row>
    <row r="62">
      <c r="A62" s="27" t="s">
        <v>42</v>
      </c>
      <c r="B62" s="27" t="s">
        <v>224</v>
      </c>
      <c r="C62" s="27" t="s">
        <v>225</v>
      </c>
      <c r="D62" s="27" t="s">
        <v>226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12745</f>
        <v>12745.0</v>
      </c>
      <c r="L62" s="34" t="s">
        <v>48</v>
      </c>
      <c r="M62" s="33" t="n">
        <f>12895</f>
        <v>12895.0</v>
      </c>
      <c r="N62" s="34" t="s">
        <v>51</v>
      </c>
      <c r="O62" s="33" t="n">
        <f>12695</f>
        <v>12695.0</v>
      </c>
      <c r="P62" s="34" t="s">
        <v>191</v>
      </c>
      <c r="Q62" s="33" t="n">
        <f>12845</f>
        <v>12845.0</v>
      </c>
      <c r="R62" s="34" t="s">
        <v>51</v>
      </c>
      <c r="S62" s="35" t="n">
        <f>12767.22</f>
        <v>12767.22</v>
      </c>
      <c r="T62" s="32" t="n">
        <f>564943</f>
        <v>564943.0</v>
      </c>
      <c r="U62" s="32" t="n">
        <f>497440</f>
        <v>497440.0</v>
      </c>
      <c r="V62" s="32" t="n">
        <f>7219176530</f>
        <v>7.21917653E9</v>
      </c>
      <c r="W62" s="32" t="n">
        <f>6357737140</f>
        <v>6.35773714E9</v>
      </c>
      <c r="X62" s="36" t="n">
        <f>18</f>
        <v>18.0</v>
      </c>
    </row>
    <row r="63">
      <c r="A63" s="27" t="s">
        <v>42</v>
      </c>
      <c r="B63" s="27" t="s">
        <v>227</v>
      </c>
      <c r="C63" s="27" t="s">
        <v>228</v>
      </c>
      <c r="D63" s="27" t="s">
        <v>229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2037</f>
        <v>2037.0</v>
      </c>
      <c r="L63" s="34" t="s">
        <v>48</v>
      </c>
      <c r="M63" s="33" t="n">
        <f>2125</f>
        <v>2125.0</v>
      </c>
      <c r="N63" s="34" t="s">
        <v>51</v>
      </c>
      <c r="O63" s="33" t="n">
        <f>2026</f>
        <v>2026.0</v>
      </c>
      <c r="P63" s="34" t="s">
        <v>50</v>
      </c>
      <c r="Q63" s="33" t="n">
        <f>2104</f>
        <v>2104.0</v>
      </c>
      <c r="R63" s="34" t="s">
        <v>51</v>
      </c>
      <c r="S63" s="35" t="n">
        <f>2075.56</f>
        <v>2075.56</v>
      </c>
      <c r="T63" s="32" t="n">
        <f>5297232</f>
        <v>5297232.0</v>
      </c>
      <c r="U63" s="32" t="n">
        <f>2955839</f>
        <v>2955839.0</v>
      </c>
      <c r="V63" s="32" t="n">
        <f>10956465651</f>
        <v>1.0956465651E10</v>
      </c>
      <c r="W63" s="32" t="n">
        <f>6109882267</f>
        <v>6.109882267E9</v>
      </c>
      <c r="X63" s="36" t="n">
        <f>18</f>
        <v>18.0</v>
      </c>
    </row>
    <row r="64">
      <c r="A64" s="27" t="s">
        <v>42</v>
      </c>
      <c r="B64" s="27" t="s">
        <v>230</v>
      </c>
      <c r="C64" s="27" t="s">
        <v>231</v>
      </c>
      <c r="D64" s="27" t="s">
        <v>232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2602</f>
        <v>2602.0</v>
      </c>
      <c r="L64" s="34" t="s">
        <v>48</v>
      </c>
      <c r="M64" s="33" t="n">
        <f>2782</f>
        <v>2782.0</v>
      </c>
      <c r="N64" s="34" t="s">
        <v>51</v>
      </c>
      <c r="O64" s="33" t="n">
        <f>2526</f>
        <v>2526.0</v>
      </c>
      <c r="P64" s="34" t="s">
        <v>50</v>
      </c>
      <c r="Q64" s="33" t="n">
        <f>2780</f>
        <v>2780.0</v>
      </c>
      <c r="R64" s="34" t="s">
        <v>51</v>
      </c>
      <c r="S64" s="35" t="n">
        <f>2675.94</f>
        <v>2675.94</v>
      </c>
      <c r="T64" s="32" t="n">
        <f>10444472</f>
        <v>1.0444472E7</v>
      </c>
      <c r="U64" s="32" t="n">
        <f>1612726</f>
        <v>1612726.0</v>
      </c>
      <c r="V64" s="32" t="n">
        <f>27810911056</f>
        <v>2.7810911056E10</v>
      </c>
      <c r="W64" s="32" t="n">
        <f>4300202497</f>
        <v>4.300202497E9</v>
      </c>
      <c r="X64" s="36" t="n">
        <f>18</f>
        <v>18.0</v>
      </c>
    </row>
    <row r="65">
      <c r="A65" s="27" t="s">
        <v>42</v>
      </c>
      <c r="B65" s="27" t="s">
        <v>233</v>
      </c>
      <c r="C65" s="27" t="s">
        <v>234</v>
      </c>
      <c r="D65" s="27" t="s">
        <v>235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7335</f>
        <v>7335.0</v>
      </c>
      <c r="L65" s="34" t="s">
        <v>48</v>
      </c>
      <c r="M65" s="33" t="n">
        <f>7650</f>
        <v>7650.0</v>
      </c>
      <c r="N65" s="34" t="s">
        <v>51</v>
      </c>
      <c r="O65" s="33" t="n">
        <f>7254</f>
        <v>7254.0</v>
      </c>
      <c r="P65" s="34" t="s">
        <v>49</v>
      </c>
      <c r="Q65" s="33" t="n">
        <f>7432</f>
        <v>7432.0</v>
      </c>
      <c r="R65" s="34" t="s">
        <v>51</v>
      </c>
      <c r="S65" s="35" t="n">
        <f>7432.18</f>
        <v>7432.18</v>
      </c>
      <c r="T65" s="32" t="n">
        <f>668</f>
        <v>668.0</v>
      </c>
      <c r="U65" s="32" t="n">
        <f>1</f>
        <v>1.0</v>
      </c>
      <c r="V65" s="32" t="n">
        <f>4969871</f>
        <v>4969871.0</v>
      </c>
      <c r="W65" s="32" t="n">
        <f>7289</f>
        <v>7289.0</v>
      </c>
      <c r="X65" s="36" t="n">
        <f>11</f>
        <v>11.0</v>
      </c>
    </row>
    <row r="66">
      <c r="A66" s="27" t="s">
        <v>42</v>
      </c>
      <c r="B66" s="27" t="s">
        <v>236</v>
      </c>
      <c r="C66" s="27" t="s">
        <v>237</v>
      </c>
      <c r="D66" s="27" t="s">
        <v>238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21355</f>
        <v>21355.0</v>
      </c>
      <c r="L66" s="34" t="s">
        <v>48</v>
      </c>
      <c r="M66" s="33" t="n">
        <f>22165</f>
        <v>22165.0</v>
      </c>
      <c r="N66" s="34" t="s">
        <v>51</v>
      </c>
      <c r="O66" s="33" t="n">
        <f>20700</f>
        <v>20700.0</v>
      </c>
      <c r="P66" s="34" t="s">
        <v>50</v>
      </c>
      <c r="Q66" s="33" t="n">
        <f>22110</f>
        <v>22110.0</v>
      </c>
      <c r="R66" s="34" t="s">
        <v>51</v>
      </c>
      <c r="S66" s="35" t="n">
        <f>21423.61</f>
        <v>21423.61</v>
      </c>
      <c r="T66" s="32" t="n">
        <f>2658</f>
        <v>2658.0</v>
      </c>
      <c r="U66" s="32" t="n">
        <f>6</f>
        <v>6.0</v>
      </c>
      <c r="V66" s="32" t="n">
        <f>56817901</f>
        <v>5.6817901E7</v>
      </c>
      <c r="W66" s="32" t="n">
        <f>126641</f>
        <v>126641.0</v>
      </c>
      <c r="X66" s="36" t="n">
        <f>18</f>
        <v>18.0</v>
      </c>
    </row>
    <row r="67">
      <c r="A67" s="27" t="s">
        <v>42</v>
      </c>
      <c r="B67" s="27" t="s">
        <v>239</v>
      </c>
      <c r="C67" s="27" t="s">
        <v>240</v>
      </c>
      <c r="D67" s="27" t="s">
        <v>241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35860</f>
        <v>35860.0</v>
      </c>
      <c r="L67" s="34" t="s">
        <v>48</v>
      </c>
      <c r="M67" s="33" t="n">
        <f>38590</f>
        <v>38590.0</v>
      </c>
      <c r="N67" s="34" t="s">
        <v>51</v>
      </c>
      <c r="O67" s="33" t="n">
        <f>35090</f>
        <v>35090.0</v>
      </c>
      <c r="P67" s="34" t="s">
        <v>50</v>
      </c>
      <c r="Q67" s="33" t="n">
        <f>38580</f>
        <v>38580.0</v>
      </c>
      <c r="R67" s="34" t="s">
        <v>51</v>
      </c>
      <c r="S67" s="35" t="n">
        <f>36723.89</f>
        <v>36723.89</v>
      </c>
      <c r="T67" s="32" t="n">
        <f>34589</f>
        <v>34589.0</v>
      </c>
      <c r="U67" s="32" t="n">
        <f>419</f>
        <v>419.0</v>
      </c>
      <c r="V67" s="32" t="n">
        <f>1268928537</f>
        <v>1.268928537E9</v>
      </c>
      <c r="W67" s="32" t="n">
        <f>14892747</f>
        <v>1.4892747E7</v>
      </c>
      <c r="X67" s="36" t="n">
        <f>18</f>
        <v>18.0</v>
      </c>
    </row>
    <row r="68">
      <c r="A68" s="27" t="s">
        <v>42</v>
      </c>
      <c r="B68" s="27" t="s">
        <v>242</v>
      </c>
      <c r="C68" s="27" t="s">
        <v>243</v>
      </c>
      <c r="D68" s="27" t="s">
        <v>244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11375</f>
        <v>11375.0</v>
      </c>
      <c r="L68" s="34" t="s">
        <v>48</v>
      </c>
      <c r="M68" s="33" t="n">
        <f>11610</f>
        <v>11610.0</v>
      </c>
      <c r="N68" s="34" t="s">
        <v>51</v>
      </c>
      <c r="O68" s="33" t="n">
        <f>11325</f>
        <v>11325.0</v>
      </c>
      <c r="P68" s="34" t="s">
        <v>245</v>
      </c>
      <c r="Q68" s="33" t="n">
        <f>11540</f>
        <v>11540.0</v>
      </c>
      <c r="R68" s="34" t="s">
        <v>51</v>
      </c>
      <c r="S68" s="35" t="n">
        <f>11499.44</f>
        <v>11499.44</v>
      </c>
      <c r="T68" s="32" t="n">
        <f>5084</f>
        <v>5084.0</v>
      </c>
      <c r="U68" s="32" t="n">
        <f>21</f>
        <v>21.0</v>
      </c>
      <c r="V68" s="32" t="n">
        <f>58370566</f>
        <v>5.8370566E7</v>
      </c>
      <c r="W68" s="32" t="n">
        <f>241096</f>
        <v>241096.0</v>
      </c>
      <c r="X68" s="36" t="n">
        <f>18</f>
        <v>18.0</v>
      </c>
    </row>
    <row r="69">
      <c r="A69" s="27" t="s">
        <v>42</v>
      </c>
      <c r="B69" s="27" t="s">
        <v>246</v>
      </c>
      <c r="C69" s="27" t="s">
        <v>247</v>
      </c>
      <c r="D69" s="27" t="s">
        <v>248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1757</f>
        <v>1757.0</v>
      </c>
      <c r="L69" s="34" t="s">
        <v>48</v>
      </c>
      <c r="M69" s="33" t="n">
        <f>1765</f>
        <v>1765.0</v>
      </c>
      <c r="N69" s="34" t="s">
        <v>69</v>
      </c>
      <c r="O69" s="33" t="n">
        <f>1738</f>
        <v>1738.0</v>
      </c>
      <c r="P69" s="34" t="s">
        <v>249</v>
      </c>
      <c r="Q69" s="33" t="n">
        <f>1763</f>
        <v>1763.0</v>
      </c>
      <c r="R69" s="34" t="s">
        <v>51</v>
      </c>
      <c r="S69" s="35" t="n">
        <f>1748.17</f>
        <v>1748.17</v>
      </c>
      <c r="T69" s="32" t="n">
        <f>1143786</f>
        <v>1143786.0</v>
      </c>
      <c r="U69" s="32" t="n">
        <f>794096</f>
        <v>794096.0</v>
      </c>
      <c r="V69" s="32" t="n">
        <f>1995867459</f>
        <v>1.995867459E9</v>
      </c>
      <c r="W69" s="32" t="n">
        <f>1384783457</f>
        <v>1.384783457E9</v>
      </c>
      <c r="X69" s="36" t="n">
        <f>18</f>
        <v>18.0</v>
      </c>
    </row>
    <row r="70">
      <c r="A70" s="27" t="s">
        <v>42</v>
      </c>
      <c r="B70" s="27" t="s">
        <v>250</v>
      </c>
      <c r="C70" s="27" t="s">
        <v>251</v>
      </c>
      <c r="D70" s="27" t="s">
        <v>252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1800</f>
        <v>1800.0</v>
      </c>
      <c r="L70" s="34" t="s">
        <v>48</v>
      </c>
      <c r="M70" s="33" t="n">
        <f>1813</f>
        <v>1813.0</v>
      </c>
      <c r="N70" s="34" t="s">
        <v>69</v>
      </c>
      <c r="O70" s="33" t="n">
        <f>1792</f>
        <v>1792.0</v>
      </c>
      <c r="P70" s="34" t="s">
        <v>68</v>
      </c>
      <c r="Q70" s="33" t="n">
        <f>1813</f>
        <v>1813.0</v>
      </c>
      <c r="R70" s="34" t="s">
        <v>51</v>
      </c>
      <c r="S70" s="35" t="n">
        <f>1800.11</f>
        <v>1800.11</v>
      </c>
      <c r="T70" s="32" t="n">
        <f>303888</f>
        <v>303888.0</v>
      </c>
      <c r="U70" s="32" t="n">
        <f>47220</f>
        <v>47220.0</v>
      </c>
      <c r="V70" s="32" t="n">
        <f>547755192</f>
        <v>5.47755192E8</v>
      </c>
      <c r="W70" s="32" t="n">
        <f>85432442</f>
        <v>8.5432442E7</v>
      </c>
      <c r="X70" s="36" t="n">
        <f>18</f>
        <v>18.0</v>
      </c>
    </row>
    <row r="71">
      <c r="A71" s="27" t="s">
        <v>42</v>
      </c>
      <c r="B71" s="27" t="s">
        <v>253</v>
      </c>
      <c r="C71" s="27" t="s">
        <v>254</v>
      </c>
      <c r="D71" s="27" t="s">
        <v>255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26900</f>
        <v>26900.0</v>
      </c>
      <c r="L71" s="34" t="s">
        <v>48</v>
      </c>
      <c r="M71" s="33" t="n">
        <f>27415</f>
        <v>27415.0</v>
      </c>
      <c r="N71" s="34" t="s">
        <v>49</v>
      </c>
      <c r="O71" s="33" t="n">
        <f>25945</f>
        <v>25945.0</v>
      </c>
      <c r="P71" s="34" t="s">
        <v>50</v>
      </c>
      <c r="Q71" s="33" t="n">
        <f>27415</f>
        <v>27415.0</v>
      </c>
      <c r="R71" s="34" t="s">
        <v>51</v>
      </c>
      <c r="S71" s="35" t="n">
        <f>26860.83</f>
        <v>26860.83</v>
      </c>
      <c r="T71" s="32" t="n">
        <f>20089</f>
        <v>20089.0</v>
      </c>
      <c r="U71" s="32" t="n">
        <f>17708</f>
        <v>17708.0</v>
      </c>
      <c r="V71" s="32" t="n">
        <f>532838046</f>
        <v>5.32838046E8</v>
      </c>
      <c r="W71" s="32" t="n">
        <f>468959101</f>
        <v>4.68959101E8</v>
      </c>
      <c r="X71" s="36" t="n">
        <f>18</f>
        <v>18.0</v>
      </c>
    </row>
    <row r="72">
      <c r="A72" s="27" t="s">
        <v>42</v>
      </c>
      <c r="B72" s="27" t="s">
        <v>256</v>
      </c>
      <c r="C72" s="27" t="s">
        <v>257</v>
      </c>
      <c r="D72" s="27" t="s">
        <v>258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8745</f>
        <v>8745.0</v>
      </c>
      <c r="L72" s="34" t="s">
        <v>48</v>
      </c>
      <c r="M72" s="33" t="n">
        <f>8948</f>
        <v>8948.0</v>
      </c>
      <c r="N72" s="34" t="s">
        <v>69</v>
      </c>
      <c r="O72" s="33" t="n">
        <f>8687</f>
        <v>8687.0</v>
      </c>
      <c r="P72" s="34" t="s">
        <v>48</v>
      </c>
      <c r="Q72" s="33" t="n">
        <f>8940</f>
        <v>8940.0</v>
      </c>
      <c r="R72" s="34" t="s">
        <v>51</v>
      </c>
      <c r="S72" s="35" t="n">
        <f>8840.72</f>
        <v>8840.72</v>
      </c>
      <c r="T72" s="32" t="n">
        <f>7427</f>
        <v>7427.0</v>
      </c>
      <c r="U72" s="32" t="str">
        <f>"－"</f>
        <v>－</v>
      </c>
      <c r="V72" s="32" t="n">
        <f>65890347</f>
        <v>6.5890347E7</v>
      </c>
      <c r="W72" s="32" t="str">
        <f>"－"</f>
        <v>－</v>
      </c>
      <c r="X72" s="36" t="n">
        <f>18</f>
        <v>18.0</v>
      </c>
    </row>
    <row r="73">
      <c r="A73" s="27" t="s">
        <v>42</v>
      </c>
      <c r="B73" s="27" t="s">
        <v>259</v>
      </c>
      <c r="C73" s="27" t="s">
        <v>260</v>
      </c>
      <c r="D73" s="27" t="s">
        <v>261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19430</f>
        <v>19430.0</v>
      </c>
      <c r="L73" s="34" t="s">
        <v>48</v>
      </c>
      <c r="M73" s="33" t="n">
        <f>20265</f>
        <v>20265.0</v>
      </c>
      <c r="N73" s="34" t="s">
        <v>262</v>
      </c>
      <c r="O73" s="33" t="n">
        <f>18525</f>
        <v>18525.0</v>
      </c>
      <c r="P73" s="34" t="s">
        <v>50</v>
      </c>
      <c r="Q73" s="33" t="n">
        <f>20065</f>
        <v>20065.0</v>
      </c>
      <c r="R73" s="34" t="s">
        <v>51</v>
      </c>
      <c r="S73" s="35" t="n">
        <f>19526.94</f>
        <v>19526.94</v>
      </c>
      <c r="T73" s="32" t="n">
        <f>13068199</f>
        <v>1.3068199E7</v>
      </c>
      <c r="U73" s="32" t="n">
        <f>607014</f>
        <v>607014.0</v>
      </c>
      <c r="V73" s="32" t="n">
        <f>255575669805</f>
        <v>2.55575669805E11</v>
      </c>
      <c r="W73" s="32" t="n">
        <f>11940774975</f>
        <v>1.1940774975E10</v>
      </c>
      <c r="X73" s="36" t="n">
        <f>18</f>
        <v>18.0</v>
      </c>
    </row>
    <row r="74">
      <c r="A74" s="27" t="s">
        <v>42</v>
      </c>
      <c r="B74" s="27" t="s">
        <v>263</v>
      </c>
      <c r="C74" s="27" t="s">
        <v>264</v>
      </c>
      <c r="D74" s="27" t="s">
        <v>265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7478</f>
        <v>7478.0</v>
      </c>
      <c r="L74" s="34" t="s">
        <v>48</v>
      </c>
      <c r="M74" s="33" t="n">
        <f>7620</f>
        <v>7620.0</v>
      </c>
      <c r="N74" s="34" t="s">
        <v>49</v>
      </c>
      <c r="O74" s="33" t="n">
        <f>6855</f>
        <v>6855.0</v>
      </c>
      <c r="P74" s="34" t="s">
        <v>50</v>
      </c>
      <c r="Q74" s="33" t="n">
        <f>7485</f>
        <v>7485.0</v>
      </c>
      <c r="R74" s="34" t="s">
        <v>51</v>
      </c>
      <c r="S74" s="35" t="n">
        <f>7179.06</f>
        <v>7179.06</v>
      </c>
      <c r="T74" s="32" t="n">
        <f>1409387</f>
        <v>1409387.0</v>
      </c>
      <c r="U74" s="32" t="n">
        <f>3638</f>
        <v>3638.0</v>
      </c>
      <c r="V74" s="32" t="n">
        <f>10160753713</f>
        <v>1.0160753713E10</v>
      </c>
      <c r="W74" s="32" t="n">
        <f>25936812</f>
        <v>2.5936812E7</v>
      </c>
      <c r="X74" s="36" t="n">
        <f>18</f>
        <v>18.0</v>
      </c>
    </row>
    <row r="75">
      <c r="A75" s="27" t="s">
        <v>42</v>
      </c>
      <c r="B75" s="27" t="s">
        <v>266</v>
      </c>
      <c r="C75" s="27" t="s">
        <v>267</v>
      </c>
      <c r="D75" s="27" t="s">
        <v>268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21900</f>
        <v>21900.0</v>
      </c>
      <c r="L75" s="34" t="s">
        <v>48</v>
      </c>
      <c r="M75" s="33" t="n">
        <f>24900</f>
        <v>24900.0</v>
      </c>
      <c r="N75" s="34" t="s">
        <v>49</v>
      </c>
      <c r="O75" s="33" t="n">
        <f>20565</f>
        <v>20565.0</v>
      </c>
      <c r="P75" s="34" t="s">
        <v>50</v>
      </c>
      <c r="Q75" s="33" t="n">
        <f>24780</f>
        <v>24780.0</v>
      </c>
      <c r="R75" s="34" t="s">
        <v>51</v>
      </c>
      <c r="S75" s="35" t="n">
        <f>23056.94</f>
        <v>23056.94</v>
      </c>
      <c r="T75" s="32" t="n">
        <f>1317864</f>
        <v>1317864.0</v>
      </c>
      <c r="U75" s="32" t="n">
        <f>12363</f>
        <v>12363.0</v>
      </c>
      <c r="V75" s="32" t="n">
        <f>30501700323</f>
        <v>3.0501700323E10</v>
      </c>
      <c r="W75" s="32" t="n">
        <f>278073028</f>
        <v>2.78073028E8</v>
      </c>
      <c r="X75" s="36" t="n">
        <f>18</f>
        <v>18.0</v>
      </c>
    </row>
    <row r="76">
      <c r="A76" s="27" t="s">
        <v>42</v>
      </c>
      <c r="B76" s="27" t="s">
        <v>269</v>
      </c>
      <c r="C76" s="27" t="s">
        <v>270</v>
      </c>
      <c r="D76" s="27" t="s">
        <v>271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65890</f>
        <v>65890.0</v>
      </c>
      <c r="L76" s="34" t="s">
        <v>48</v>
      </c>
      <c r="M76" s="33" t="n">
        <f>66730</f>
        <v>66730.0</v>
      </c>
      <c r="N76" s="34" t="s">
        <v>49</v>
      </c>
      <c r="O76" s="33" t="n">
        <f>59650</f>
        <v>59650.0</v>
      </c>
      <c r="P76" s="34" t="s">
        <v>50</v>
      </c>
      <c r="Q76" s="33" t="n">
        <f>64420</f>
        <v>64420.0</v>
      </c>
      <c r="R76" s="34" t="s">
        <v>51</v>
      </c>
      <c r="S76" s="35" t="n">
        <f>63055.56</f>
        <v>63055.56</v>
      </c>
      <c r="T76" s="32" t="n">
        <f>25872</f>
        <v>25872.0</v>
      </c>
      <c r="U76" s="32" t="n">
        <f>543</f>
        <v>543.0</v>
      </c>
      <c r="V76" s="32" t="n">
        <f>1625436980</f>
        <v>1.62543698E9</v>
      </c>
      <c r="W76" s="32" t="n">
        <f>33983650</f>
        <v>3.398365E7</v>
      </c>
      <c r="X76" s="36" t="n">
        <f>18</f>
        <v>18.0</v>
      </c>
    </row>
    <row r="77">
      <c r="A77" s="27" t="s">
        <v>42</v>
      </c>
      <c r="B77" s="27" t="s">
        <v>272</v>
      </c>
      <c r="C77" s="27" t="s">
        <v>273</v>
      </c>
      <c r="D77" s="27" t="s">
        <v>274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40400</f>
        <v>40400.0</v>
      </c>
      <c r="L77" s="34" t="s">
        <v>48</v>
      </c>
      <c r="M77" s="33" t="n">
        <f>40410</f>
        <v>40410.0</v>
      </c>
      <c r="N77" s="34" t="s">
        <v>48</v>
      </c>
      <c r="O77" s="33" t="n">
        <f>38160</f>
        <v>38160.0</v>
      </c>
      <c r="P77" s="34" t="s">
        <v>148</v>
      </c>
      <c r="Q77" s="33" t="n">
        <f>40070</f>
        <v>40070.0</v>
      </c>
      <c r="R77" s="34" t="s">
        <v>51</v>
      </c>
      <c r="S77" s="35" t="n">
        <f>39420</f>
        <v>39420.0</v>
      </c>
      <c r="T77" s="32" t="n">
        <f>831912</f>
        <v>831912.0</v>
      </c>
      <c r="U77" s="32" t="n">
        <f>23758</f>
        <v>23758.0</v>
      </c>
      <c r="V77" s="32" t="n">
        <f>32709938236</f>
        <v>3.2709938236E10</v>
      </c>
      <c r="W77" s="32" t="n">
        <f>917949676</f>
        <v>9.17949676E8</v>
      </c>
      <c r="X77" s="36" t="n">
        <f>18</f>
        <v>18.0</v>
      </c>
    </row>
    <row r="78">
      <c r="A78" s="27" t="s">
        <v>42</v>
      </c>
      <c r="B78" s="27" t="s">
        <v>275</v>
      </c>
      <c r="C78" s="27" t="s">
        <v>276</v>
      </c>
      <c r="D78" s="27" t="s">
        <v>277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70860</f>
        <v>70860.0</v>
      </c>
      <c r="L78" s="34" t="s">
        <v>48</v>
      </c>
      <c r="M78" s="33" t="n">
        <f>72880</f>
        <v>72880.0</v>
      </c>
      <c r="N78" s="34" t="s">
        <v>49</v>
      </c>
      <c r="O78" s="33" t="n">
        <f>69450</f>
        <v>69450.0</v>
      </c>
      <c r="P78" s="34" t="s">
        <v>73</v>
      </c>
      <c r="Q78" s="33" t="n">
        <f>72460</f>
        <v>72460.0</v>
      </c>
      <c r="R78" s="34" t="s">
        <v>51</v>
      </c>
      <c r="S78" s="35" t="n">
        <f>70986.67</f>
        <v>70986.67</v>
      </c>
      <c r="T78" s="32" t="n">
        <f>42177</f>
        <v>42177.0</v>
      </c>
      <c r="U78" s="32" t="n">
        <f>52</f>
        <v>52.0</v>
      </c>
      <c r="V78" s="32" t="n">
        <f>2994292907</f>
        <v>2.994292907E9</v>
      </c>
      <c r="W78" s="32" t="n">
        <f>3724157</f>
        <v>3724157.0</v>
      </c>
      <c r="X78" s="36" t="n">
        <f>18</f>
        <v>18.0</v>
      </c>
    </row>
    <row r="79">
      <c r="A79" s="27" t="s">
        <v>42</v>
      </c>
      <c r="B79" s="27" t="s">
        <v>278</v>
      </c>
      <c r="C79" s="27" t="s">
        <v>279</v>
      </c>
      <c r="D79" s="27" t="s">
        <v>280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11515</f>
        <v>11515.0</v>
      </c>
      <c r="L79" s="34" t="s">
        <v>48</v>
      </c>
      <c r="M79" s="33" t="n">
        <f>11660</f>
        <v>11660.0</v>
      </c>
      <c r="N79" s="34" t="s">
        <v>51</v>
      </c>
      <c r="O79" s="33" t="n">
        <f>11170</f>
        <v>11170.0</v>
      </c>
      <c r="P79" s="34" t="s">
        <v>73</v>
      </c>
      <c r="Q79" s="33" t="n">
        <f>11655</f>
        <v>11655.0</v>
      </c>
      <c r="R79" s="34" t="s">
        <v>51</v>
      </c>
      <c r="S79" s="35" t="n">
        <f>11427.78</f>
        <v>11427.78</v>
      </c>
      <c r="T79" s="32" t="n">
        <f>818368</f>
        <v>818368.0</v>
      </c>
      <c r="U79" s="32" t="n">
        <f>79056</f>
        <v>79056.0</v>
      </c>
      <c r="V79" s="32" t="n">
        <f>9337255715</f>
        <v>9.337255715E9</v>
      </c>
      <c r="W79" s="32" t="n">
        <f>891032735</f>
        <v>8.91032735E8</v>
      </c>
      <c r="X79" s="36" t="n">
        <f>18</f>
        <v>18.0</v>
      </c>
    </row>
    <row r="80">
      <c r="A80" s="27" t="s">
        <v>42</v>
      </c>
      <c r="B80" s="27" t="s">
        <v>281</v>
      </c>
      <c r="C80" s="27" t="s">
        <v>282</v>
      </c>
      <c r="D80" s="27" t="s">
        <v>283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7030</f>
        <v>7030.0</v>
      </c>
      <c r="L80" s="34" t="s">
        <v>48</v>
      </c>
      <c r="M80" s="33" t="n">
        <f>7169</f>
        <v>7169.0</v>
      </c>
      <c r="N80" s="34" t="s">
        <v>51</v>
      </c>
      <c r="O80" s="33" t="n">
        <f>6865</f>
        <v>6865.0</v>
      </c>
      <c r="P80" s="34" t="s">
        <v>50</v>
      </c>
      <c r="Q80" s="33" t="n">
        <f>7169</f>
        <v>7169.0</v>
      </c>
      <c r="R80" s="34" t="s">
        <v>51</v>
      </c>
      <c r="S80" s="35" t="n">
        <f>7012.39</f>
        <v>7012.39</v>
      </c>
      <c r="T80" s="32" t="n">
        <f>155958</f>
        <v>155958.0</v>
      </c>
      <c r="U80" s="32" t="n">
        <f>56431</f>
        <v>56431.0</v>
      </c>
      <c r="V80" s="32" t="n">
        <f>1084917992</f>
        <v>1.084917992E9</v>
      </c>
      <c r="W80" s="32" t="n">
        <f>389696825</f>
        <v>3.89696825E8</v>
      </c>
      <c r="X80" s="36" t="n">
        <f>18</f>
        <v>18.0</v>
      </c>
    </row>
    <row r="81">
      <c r="A81" s="27" t="s">
        <v>42</v>
      </c>
      <c r="B81" s="27" t="s">
        <v>284</v>
      </c>
      <c r="C81" s="27" t="s">
        <v>285</v>
      </c>
      <c r="D81" s="27" t="s">
        <v>286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6050</f>
        <v>6050.0</v>
      </c>
      <c r="L81" s="34" t="s">
        <v>48</v>
      </c>
      <c r="M81" s="33" t="n">
        <f>6099</f>
        <v>6099.0</v>
      </c>
      <c r="N81" s="34" t="s">
        <v>49</v>
      </c>
      <c r="O81" s="33" t="n">
        <f>5882</f>
        <v>5882.0</v>
      </c>
      <c r="P81" s="34" t="s">
        <v>50</v>
      </c>
      <c r="Q81" s="33" t="n">
        <f>5981</f>
        <v>5981.0</v>
      </c>
      <c r="R81" s="34" t="s">
        <v>51</v>
      </c>
      <c r="S81" s="35" t="n">
        <f>6009.78</f>
        <v>6009.78</v>
      </c>
      <c r="T81" s="32" t="n">
        <f>1950</f>
        <v>1950.0</v>
      </c>
      <c r="U81" s="32" t="n">
        <f>30</f>
        <v>30.0</v>
      </c>
      <c r="V81" s="32" t="n">
        <f>11718980</f>
        <v>1.171898E7</v>
      </c>
      <c r="W81" s="32" t="n">
        <f>181430</f>
        <v>181430.0</v>
      </c>
      <c r="X81" s="36" t="n">
        <f>18</f>
        <v>18.0</v>
      </c>
    </row>
    <row r="82">
      <c r="A82" s="27" t="s">
        <v>42</v>
      </c>
      <c r="B82" s="27" t="s">
        <v>287</v>
      </c>
      <c r="C82" s="27" t="s">
        <v>288</v>
      </c>
      <c r="D82" s="27" t="s">
        <v>289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5853</f>
        <v>5853.0</v>
      </c>
      <c r="L82" s="34" t="s">
        <v>48</v>
      </c>
      <c r="M82" s="33" t="n">
        <f>5930</f>
        <v>5930.0</v>
      </c>
      <c r="N82" s="34" t="s">
        <v>49</v>
      </c>
      <c r="O82" s="33" t="n">
        <f>5694</f>
        <v>5694.0</v>
      </c>
      <c r="P82" s="34" t="s">
        <v>50</v>
      </c>
      <c r="Q82" s="33" t="n">
        <f>5896</f>
        <v>5896.0</v>
      </c>
      <c r="R82" s="34" t="s">
        <v>51</v>
      </c>
      <c r="S82" s="35" t="n">
        <f>5819.94</f>
        <v>5819.94</v>
      </c>
      <c r="T82" s="32" t="n">
        <f>49063</f>
        <v>49063.0</v>
      </c>
      <c r="U82" s="32" t="n">
        <f>420</f>
        <v>420.0</v>
      </c>
      <c r="V82" s="32" t="n">
        <f>285896329</f>
        <v>2.85896329E8</v>
      </c>
      <c r="W82" s="32" t="n">
        <f>2444296</f>
        <v>2444296.0</v>
      </c>
      <c r="X82" s="36" t="n">
        <f>18</f>
        <v>18.0</v>
      </c>
    </row>
    <row r="83">
      <c r="A83" s="27" t="s">
        <v>42</v>
      </c>
      <c r="B83" s="27" t="s">
        <v>290</v>
      </c>
      <c r="C83" s="27" t="s">
        <v>291</v>
      </c>
      <c r="D83" s="27" t="s">
        <v>292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2486</f>
        <v>2486.0</v>
      </c>
      <c r="L83" s="34" t="s">
        <v>48</v>
      </c>
      <c r="M83" s="33" t="n">
        <f>2487</f>
        <v>2487.0</v>
      </c>
      <c r="N83" s="34" t="s">
        <v>48</v>
      </c>
      <c r="O83" s="33" t="n">
        <f>2350</f>
        <v>2350.0</v>
      </c>
      <c r="P83" s="34" t="s">
        <v>68</v>
      </c>
      <c r="Q83" s="33" t="n">
        <f>2427</f>
        <v>2427.0</v>
      </c>
      <c r="R83" s="34" t="s">
        <v>51</v>
      </c>
      <c r="S83" s="35" t="n">
        <f>2410.33</f>
        <v>2410.33</v>
      </c>
      <c r="T83" s="32" t="n">
        <f>50803</f>
        <v>50803.0</v>
      </c>
      <c r="U83" s="32" t="n">
        <f>700</f>
        <v>700.0</v>
      </c>
      <c r="V83" s="32" t="n">
        <f>122578941</f>
        <v>1.22578941E8</v>
      </c>
      <c r="W83" s="32" t="n">
        <f>1642172</f>
        <v>1642172.0</v>
      </c>
      <c r="X83" s="36" t="n">
        <f>18</f>
        <v>18.0</v>
      </c>
    </row>
    <row r="84">
      <c r="A84" s="27" t="s">
        <v>42</v>
      </c>
      <c r="B84" s="27" t="s">
        <v>293</v>
      </c>
      <c r="C84" s="27" t="s">
        <v>294</v>
      </c>
      <c r="D84" s="27" t="s">
        <v>295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105300</f>
        <v>105300.0</v>
      </c>
      <c r="L84" s="34" t="s">
        <v>48</v>
      </c>
      <c r="M84" s="33" t="n">
        <f>106800</f>
        <v>106800.0</v>
      </c>
      <c r="N84" s="34" t="s">
        <v>51</v>
      </c>
      <c r="O84" s="33" t="n">
        <f>102200</f>
        <v>102200.0</v>
      </c>
      <c r="P84" s="34" t="s">
        <v>73</v>
      </c>
      <c r="Q84" s="33" t="n">
        <f>106800</f>
        <v>106800.0</v>
      </c>
      <c r="R84" s="34" t="s">
        <v>51</v>
      </c>
      <c r="S84" s="35" t="n">
        <f>104550</f>
        <v>104550.0</v>
      </c>
      <c r="T84" s="32" t="n">
        <f>70564</f>
        <v>70564.0</v>
      </c>
      <c r="U84" s="32" t="n">
        <f>2955</f>
        <v>2955.0</v>
      </c>
      <c r="V84" s="32" t="n">
        <f>7383330121</f>
        <v>7.383330121E9</v>
      </c>
      <c r="W84" s="32" t="n">
        <f>307568121</f>
        <v>3.07568121E8</v>
      </c>
      <c r="X84" s="36" t="n">
        <f>18</f>
        <v>18.0</v>
      </c>
    </row>
    <row r="85">
      <c r="A85" s="27" t="s">
        <v>42</v>
      </c>
      <c r="B85" s="27" t="s">
        <v>296</v>
      </c>
      <c r="C85" s="27" t="s">
        <v>297</v>
      </c>
      <c r="D85" s="27" t="s">
        <v>298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3775</f>
        <v>3775.0</v>
      </c>
      <c r="L85" s="34" t="s">
        <v>48</v>
      </c>
      <c r="M85" s="33" t="n">
        <f>3780</f>
        <v>3780.0</v>
      </c>
      <c r="N85" s="34" t="s">
        <v>148</v>
      </c>
      <c r="O85" s="33" t="n">
        <f>3620</f>
        <v>3620.0</v>
      </c>
      <c r="P85" s="34" t="s">
        <v>50</v>
      </c>
      <c r="Q85" s="33" t="n">
        <f>3700</f>
        <v>3700.0</v>
      </c>
      <c r="R85" s="34" t="s">
        <v>51</v>
      </c>
      <c r="S85" s="35" t="n">
        <f>3707.28</f>
        <v>3707.28</v>
      </c>
      <c r="T85" s="32" t="n">
        <f>12560</f>
        <v>12560.0</v>
      </c>
      <c r="U85" s="32" t="str">
        <f>"－"</f>
        <v>－</v>
      </c>
      <c r="V85" s="32" t="n">
        <f>46566960</f>
        <v>4.656696E7</v>
      </c>
      <c r="W85" s="32" t="str">
        <f>"－"</f>
        <v>－</v>
      </c>
      <c r="X85" s="36" t="n">
        <f>18</f>
        <v>18.0</v>
      </c>
    </row>
    <row r="86">
      <c r="A86" s="27" t="s">
        <v>42</v>
      </c>
      <c r="B86" s="27" t="s">
        <v>299</v>
      </c>
      <c r="C86" s="27" t="s">
        <v>300</v>
      </c>
      <c r="D86" s="27" t="s">
        <v>301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5674</f>
        <v>5674.0</v>
      </c>
      <c r="L86" s="34" t="s">
        <v>48</v>
      </c>
      <c r="M86" s="33" t="n">
        <f>5940</f>
        <v>5940.0</v>
      </c>
      <c r="N86" s="34" t="s">
        <v>302</v>
      </c>
      <c r="O86" s="33" t="n">
        <f>5641</f>
        <v>5641.0</v>
      </c>
      <c r="P86" s="34" t="s">
        <v>50</v>
      </c>
      <c r="Q86" s="33" t="n">
        <f>5843</f>
        <v>5843.0</v>
      </c>
      <c r="R86" s="34" t="s">
        <v>51</v>
      </c>
      <c r="S86" s="35" t="n">
        <f>5820.22</f>
        <v>5820.22</v>
      </c>
      <c r="T86" s="32" t="n">
        <f>10329</f>
        <v>10329.0</v>
      </c>
      <c r="U86" s="32" t="str">
        <f>"－"</f>
        <v>－</v>
      </c>
      <c r="V86" s="32" t="n">
        <f>60395015</f>
        <v>6.0395015E7</v>
      </c>
      <c r="W86" s="32" t="str">
        <f>"－"</f>
        <v>－</v>
      </c>
      <c r="X86" s="36" t="n">
        <f>18</f>
        <v>18.0</v>
      </c>
    </row>
    <row r="87">
      <c r="A87" s="27" t="s">
        <v>42</v>
      </c>
      <c r="B87" s="27" t="s">
        <v>303</v>
      </c>
      <c r="C87" s="27" t="s">
        <v>304</v>
      </c>
      <c r="D87" s="27" t="s">
        <v>305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2159</f>
        <v>2159.0</v>
      </c>
      <c r="L87" s="34" t="s">
        <v>48</v>
      </c>
      <c r="M87" s="33" t="n">
        <f>2195</f>
        <v>2195.0</v>
      </c>
      <c r="N87" s="34" t="s">
        <v>302</v>
      </c>
      <c r="O87" s="33" t="n">
        <f>2018</f>
        <v>2018.0</v>
      </c>
      <c r="P87" s="34" t="s">
        <v>73</v>
      </c>
      <c r="Q87" s="33" t="n">
        <f>2130</f>
        <v>2130.0</v>
      </c>
      <c r="R87" s="34" t="s">
        <v>51</v>
      </c>
      <c r="S87" s="35" t="n">
        <f>2121.5</f>
        <v>2121.5</v>
      </c>
      <c r="T87" s="32" t="n">
        <f>475866</f>
        <v>475866.0</v>
      </c>
      <c r="U87" s="32" t="n">
        <f>25950</f>
        <v>25950.0</v>
      </c>
      <c r="V87" s="32" t="n">
        <f>1004893254</f>
        <v>1.004893254E9</v>
      </c>
      <c r="W87" s="32" t="n">
        <f>55754214</f>
        <v>5.5754214E7</v>
      </c>
      <c r="X87" s="36" t="n">
        <f>18</f>
        <v>18.0</v>
      </c>
    </row>
    <row r="88">
      <c r="A88" s="27" t="s">
        <v>42</v>
      </c>
      <c r="B88" s="27" t="s">
        <v>306</v>
      </c>
      <c r="C88" s="27" t="s">
        <v>307</v>
      </c>
      <c r="D88" s="27" t="s">
        <v>308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52940</f>
        <v>52940.0</v>
      </c>
      <c r="L88" s="34" t="s">
        <v>48</v>
      </c>
      <c r="M88" s="33" t="n">
        <f>54030</f>
        <v>54030.0</v>
      </c>
      <c r="N88" s="34" t="s">
        <v>61</v>
      </c>
      <c r="O88" s="33" t="n">
        <f>51880</f>
        <v>51880.0</v>
      </c>
      <c r="P88" s="34" t="s">
        <v>89</v>
      </c>
      <c r="Q88" s="33" t="n">
        <f>53710</f>
        <v>53710.0</v>
      </c>
      <c r="R88" s="34" t="s">
        <v>51</v>
      </c>
      <c r="S88" s="35" t="n">
        <f>52906.11</f>
        <v>52906.11</v>
      </c>
      <c r="T88" s="32" t="n">
        <f>16553</f>
        <v>16553.0</v>
      </c>
      <c r="U88" s="32" t="n">
        <f>3904</f>
        <v>3904.0</v>
      </c>
      <c r="V88" s="32" t="n">
        <f>878659993</f>
        <v>8.78659993E8</v>
      </c>
      <c r="W88" s="32" t="n">
        <f>207488773</f>
        <v>2.07488773E8</v>
      </c>
      <c r="X88" s="36" t="n">
        <f>18</f>
        <v>18.0</v>
      </c>
    </row>
    <row r="89">
      <c r="A89" s="27" t="s">
        <v>42</v>
      </c>
      <c r="B89" s="27" t="s">
        <v>309</v>
      </c>
      <c r="C89" s="27" t="s">
        <v>310</v>
      </c>
      <c r="D89" s="27" t="s">
        <v>311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10.0</v>
      </c>
      <c r="K89" s="33" t="n">
        <f>683.3</f>
        <v>683.3</v>
      </c>
      <c r="L89" s="34" t="s">
        <v>48</v>
      </c>
      <c r="M89" s="33" t="n">
        <f>709.7</f>
        <v>709.7</v>
      </c>
      <c r="N89" s="34" t="s">
        <v>49</v>
      </c>
      <c r="O89" s="33" t="n">
        <f>631.8</f>
        <v>631.8</v>
      </c>
      <c r="P89" s="34" t="s">
        <v>50</v>
      </c>
      <c r="Q89" s="33" t="n">
        <f>702.8</f>
        <v>702.8</v>
      </c>
      <c r="R89" s="34" t="s">
        <v>51</v>
      </c>
      <c r="S89" s="35" t="n">
        <f>680.33</f>
        <v>680.33</v>
      </c>
      <c r="T89" s="32" t="n">
        <f>140455090</f>
        <v>1.4045509E8</v>
      </c>
      <c r="U89" s="32" t="n">
        <f>80670</f>
        <v>80670.0</v>
      </c>
      <c r="V89" s="32" t="n">
        <f>95266656932</f>
        <v>9.5266656932E10</v>
      </c>
      <c r="W89" s="32" t="n">
        <f>54878809</f>
        <v>5.4878809E7</v>
      </c>
      <c r="X89" s="36" t="n">
        <f>18</f>
        <v>18.0</v>
      </c>
    </row>
    <row r="90">
      <c r="A90" s="27" t="s">
        <v>42</v>
      </c>
      <c r="B90" s="27" t="s">
        <v>312</v>
      </c>
      <c r="C90" s="27" t="s">
        <v>313</v>
      </c>
      <c r="D90" s="27" t="s">
        <v>314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950.7</f>
        <v>950.7</v>
      </c>
      <c r="L90" s="34" t="s">
        <v>48</v>
      </c>
      <c r="M90" s="33" t="n">
        <f>987.8</f>
        <v>987.8</v>
      </c>
      <c r="N90" s="34" t="s">
        <v>50</v>
      </c>
      <c r="O90" s="33" t="n">
        <f>933</f>
        <v>933.0</v>
      </c>
      <c r="P90" s="34" t="s">
        <v>49</v>
      </c>
      <c r="Q90" s="33" t="n">
        <f>936.5</f>
        <v>936.5</v>
      </c>
      <c r="R90" s="34" t="s">
        <v>51</v>
      </c>
      <c r="S90" s="35" t="n">
        <f>951.96</f>
        <v>951.96</v>
      </c>
      <c r="T90" s="32" t="n">
        <f>5059660</f>
        <v>5059660.0</v>
      </c>
      <c r="U90" s="32" t="n">
        <f>2873140</f>
        <v>2873140.0</v>
      </c>
      <c r="V90" s="32" t="n">
        <f>4865220783</f>
        <v>4.865220783E9</v>
      </c>
      <c r="W90" s="32" t="n">
        <f>2766076780</f>
        <v>2.76607678E9</v>
      </c>
      <c r="X90" s="36" t="n">
        <f>18</f>
        <v>18.0</v>
      </c>
    </row>
    <row r="91">
      <c r="A91" s="27" t="s">
        <v>42</v>
      </c>
      <c r="B91" s="27" t="s">
        <v>315</v>
      </c>
      <c r="C91" s="27" t="s">
        <v>316</v>
      </c>
      <c r="D91" s="27" t="s">
        <v>317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47160</f>
        <v>47160.0</v>
      </c>
      <c r="L91" s="34" t="s">
        <v>48</v>
      </c>
      <c r="M91" s="33" t="n">
        <f>47580</f>
        <v>47580.0</v>
      </c>
      <c r="N91" s="34" t="s">
        <v>48</v>
      </c>
      <c r="O91" s="33" t="n">
        <f>39820</f>
        <v>39820.0</v>
      </c>
      <c r="P91" s="34" t="s">
        <v>73</v>
      </c>
      <c r="Q91" s="33" t="n">
        <f>43060</f>
        <v>43060.0</v>
      </c>
      <c r="R91" s="34" t="s">
        <v>51</v>
      </c>
      <c r="S91" s="35" t="n">
        <f>43025.56</f>
        <v>43025.56</v>
      </c>
      <c r="T91" s="32" t="n">
        <f>73525429</f>
        <v>7.3525429E7</v>
      </c>
      <c r="U91" s="32" t="n">
        <f>693948</f>
        <v>693948.0</v>
      </c>
      <c r="V91" s="32" t="n">
        <f>3163055526894</f>
        <v>3.163055526894E12</v>
      </c>
      <c r="W91" s="32" t="n">
        <f>29845312404</f>
        <v>2.9845312404E10</v>
      </c>
      <c r="X91" s="36" t="n">
        <f>18</f>
        <v>18.0</v>
      </c>
    </row>
    <row r="92">
      <c r="A92" s="27" t="s">
        <v>42</v>
      </c>
      <c r="B92" s="27" t="s">
        <v>318</v>
      </c>
      <c r="C92" s="27" t="s">
        <v>319</v>
      </c>
      <c r="D92" s="27" t="s">
        <v>320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403</f>
        <v>403.0</v>
      </c>
      <c r="L92" s="34" t="s">
        <v>48</v>
      </c>
      <c r="M92" s="33" t="n">
        <f>437</f>
        <v>437.0</v>
      </c>
      <c r="N92" s="34" t="s">
        <v>73</v>
      </c>
      <c r="O92" s="33" t="n">
        <f>401</f>
        <v>401.0</v>
      </c>
      <c r="P92" s="34" t="s">
        <v>48</v>
      </c>
      <c r="Q92" s="33" t="n">
        <f>419</f>
        <v>419.0</v>
      </c>
      <c r="R92" s="34" t="s">
        <v>51</v>
      </c>
      <c r="S92" s="35" t="n">
        <f>420.67</f>
        <v>420.67</v>
      </c>
      <c r="T92" s="32" t="n">
        <f>44757099</f>
        <v>4.4757099E7</v>
      </c>
      <c r="U92" s="32" t="n">
        <f>3148496</f>
        <v>3148496.0</v>
      </c>
      <c r="V92" s="32" t="n">
        <f>18799114335</f>
        <v>1.8799114335E10</v>
      </c>
      <c r="W92" s="32" t="n">
        <f>1331204001</f>
        <v>1.331204001E9</v>
      </c>
      <c r="X92" s="36" t="n">
        <f>18</f>
        <v>18.0</v>
      </c>
    </row>
    <row r="93">
      <c r="A93" s="27" t="s">
        <v>42</v>
      </c>
      <c r="B93" s="27" t="s">
        <v>321</v>
      </c>
      <c r="C93" s="27" t="s">
        <v>322</v>
      </c>
      <c r="D93" s="27" t="s">
        <v>323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8331</f>
        <v>8331.0</v>
      </c>
      <c r="L93" s="34" t="s">
        <v>48</v>
      </c>
      <c r="M93" s="33" t="n">
        <f>8950</f>
        <v>8950.0</v>
      </c>
      <c r="N93" s="34" t="s">
        <v>302</v>
      </c>
      <c r="O93" s="33" t="n">
        <f>7880</f>
        <v>7880.0</v>
      </c>
      <c r="P93" s="34" t="s">
        <v>50</v>
      </c>
      <c r="Q93" s="33" t="n">
        <f>8236</f>
        <v>8236.0</v>
      </c>
      <c r="R93" s="34" t="s">
        <v>51</v>
      </c>
      <c r="S93" s="35" t="n">
        <f>8411.78</f>
        <v>8411.78</v>
      </c>
      <c r="T93" s="32" t="n">
        <f>120960</f>
        <v>120960.0</v>
      </c>
      <c r="U93" s="32" t="str">
        <f>"－"</f>
        <v>－</v>
      </c>
      <c r="V93" s="32" t="n">
        <f>1011020810</f>
        <v>1.01102081E9</v>
      </c>
      <c r="W93" s="32" t="str">
        <f>"－"</f>
        <v>－</v>
      </c>
      <c r="X93" s="36" t="n">
        <f>18</f>
        <v>18.0</v>
      </c>
    </row>
    <row r="94">
      <c r="A94" s="27" t="s">
        <v>42</v>
      </c>
      <c r="B94" s="27" t="s">
        <v>324</v>
      </c>
      <c r="C94" s="27" t="s">
        <v>325</v>
      </c>
      <c r="D94" s="27" t="s">
        <v>326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7635</f>
        <v>7635.0</v>
      </c>
      <c r="L94" s="34" t="s">
        <v>48</v>
      </c>
      <c r="M94" s="33" t="n">
        <f>8050</f>
        <v>8050.0</v>
      </c>
      <c r="N94" s="34" t="s">
        <v>148</v>
      </c>
      <c r="O94" s="33" t="n">
        <f>7368</f>
        <v>7368.0</v>
      </c>
      <c r="P94" s="34" t="s">
        <v>302</v>
      </c>
      <c r="Q94" s="33" t="n">
        <f>7750</f>
        <v>7750.0</v>
      </c>
      <c r="R94" s="34" t="s">
        <v>51</v>
      </c>
      <c r="S94" s="35" t="n">
        <f>7632.83</f>
        <v>7632.83</v>
      </c>
      <c r="T94" s="32" t="n">
        <f>13570</f>
        <v>13570.0</v>
      </c>
      <c r="U94" s="32" t="str">
        <f>"－"</f>
        <v>－</v>
      </c>
      <c r="V94" s="32" t="n">
        <f>104250700</f>
        <v>1.042507E8</v>
      </c>
      <c r="W94" s="32" t="str">
        <f>"－"</f>
        <v>－</v>
      </c>
      <c r="X94" s="36" t="n">
        <f>18</f>
        <v>18.0</v>
      </c>
    </row>
    <row r="95">
      <c r="A95" s="27" t="s">
        <v>42</v>
      </c>
      <c r="B95" s="27" t="s">
        <v>327</v>
      </c>
      <c r="C95" s="27" t="s">
        <v>328</v>
      </c>
      <c r="D95" s="27" t="s">
        <v>329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44340</f>
        <v>44340.0</v>
      </c>
      <c r="L95" s="34" t="s">
        <v>48</v>
      </c>
      <c r="M95" s="33" t="n">
        <f>47630</f>
        <v>47630.0</v>
      </c>
      <c r="N95" s="34" t="s">
        <v>51</v>
      </c>
      <c r="O95" s="33" t="n">
        <f>43370</f>
        <v>43370.0</v>
      </c>
      <c r="P95" s="34" t="s">
        <v>50</v>
      </c>
      <c r="Q95" s="33" t="n">
        <f>47500</f>
        <v>47500.0</v>
      </c>
      <c r="R95" s="34" t="s">
        <v>51</v>
      </c>
      <c r="S95" s="35" t="n">
        <f>45892.78</f>
        <v>45892.78</v>
      </c>
      <c r="T95" s="32" t="n">
        <f>226940</f>
        <v>226940.0</v>
      </c>
      <c r="U95" s="32" t="n">
        <f>148665</f>
        <v>148665.0</v>
      </c>
      <c r="V95" s="32" t="n">
        <f>10236569681</f>
        <v>1.0236569681E10</v>
      </c>
      <c r="W95" s="32" t="n">
        <f>6665389081</f>
        <v>6.665389081E9</v>
      </c>
      <c r="X95" s="36" t="n">
        <f>18</f>
        <v>18.0</v>
      </c>
    </row>
    <row r="96">
      <c r="A96" s="27" t="s">
        <v>42</v>
      </c>
      <c r="B96" s="27" t="s">
        <v>330</v>
      </c>
      <c r="C96" s="27" t="s">
        <v>331</v>
      </c>
      <c r="D96" s="27" t="s">
        <v>332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4210</f>
        <v>4210.0</v>
      </c>
      <c r="L96" s="34" t="s">
        <v>48</v>
      </c>
      <c r="M96" s="33" t="n">
        <f>4226</f>
        <v>4226.0</v>
      </c>
      <c r="N96" s="34" t="s">
        <v>48</v>
      </c>
      <c r="O96" s="33" t="n">
        <f>3873</f>
        <v>3873.0</v>
      </c>
      <c r="P96" s="34" t="s">
        <v>73</v>
      </c>
      <c r="Q96" s="33" t="n">
        <f>4028</f>
        <v>4028.0</v>
      </c>
      <c r="R96" s="34" t="s">
        <v>51</v>
      </c>
      <c r="S96" s="35" t="n">
        <f>4025.33</f>
        <v>4025.33</v>
      </c>
      <c r="T96" s="32" t="n">
        <f>394770</f>
        <v>394770.0</v>
      </c>
      <c r="U96" s="32" t="n">
        <f>263541</f>
        <v>263541.0</v>
      </c>
      <c r="V96" s="32" t="n">
        <f>1570649063</f>
        <v>1.570649063E9</v>
      </c>
      <c r="W96" s="32" t="n">
        <f>1044118164</f>
        <v>1.044118164E9</v>
      </c>
      <c r="X96" s="36" t="n">
        <f>18</f>
        <v>18.0</v>
      </c>
    </row>
    <row r="97">
      <c r="A97" s="27" t="s">
        <v>42</v>
      </c>
      <c r="B97" s="27" t="s">
        <v>333</v>
      </c>
      <c r="C97" s="27" t="s">
        <v>334</v>
      </c>
      <c r="D97" s="27" t="s">
        <v>335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507.7</f>
        <v>507.7</v>
      </c>
      <c r="L97" s="34" t="s">
        <v>48</v>
      </c>
      <c r="M97" s="33" t="n">
        <f>512.1</f>
        <v>512.1</v>
      </c>
      <c r="N97" s="34" t="s">
        <v>48</v>
      </c>
      <c r="O97" s="33" t="n">
        <f>428.3</f>
        <v>428.3</v>
      </c>
      <c r="P97" s="34" t="s">
        <v>73</v>
      </c>
      <c r="Q97" s="33" t="n">
        <f>463.5</f>
        <v>463.5</v>
      </c>
      <c r="R97" s="34" t="s">
        <v>51</v>
      </c>
      <c r="S97" s="35" t="n">
        <f>462.82</f>
        <v>462.82</v>
      </c>
      <c r="T97" s="32" t="n">
        <f>514482250</f>
        <v>5.1448225E8</v>
      </c>
      <c r="U97" s="32" t="n">
        <f>13418350</f>
        <v>1.341835E7</v>
      </c>
      <c r="V97" s="32" t="n">
        <f>237453607094</f>
        <v>2.37453607094E11</v>
      </c>
      <c r="W97" s="32" t="n">
        <f>6198889026</f>
        <v>6.198889026E9</v>
      </c>
      <c r="X97" s="36" t="n">
        <f>18</f>
        <v>18.0</v>
      </c>
    </row>
    <row r="98">
      <c r="A98" s="27" t="s">
        <v>42</v>
      </c>
      <c r="B98" s="27" t="s">
        <v>336</v>
      </c>
      <c r="C98" s="27" t="s">
        <v>337</v>
      </c>
      <c r="D98" s="27" t="s">
        <v>338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1069.5</f>
        <v>1069.5</v>
      </c>
      <c r="L98" s="34" t="s">
        <v>48</v>
      </c>
      <c r="M98" s="33" t="n">
        <f>1159</f>
        <v>1159.0</v>
      </c>
      <c r="N98" s="34" t="s">
        <v>73</v>
      </c>
      <c r="O98" s="33" t="n">
        <f>1065.5</f>
        <v>1065.5</v>
      </c>
      <c r="P98" s="34" t="s">
        <v>48</v>
      </c>
      <c r="Q98" s="33" t="n">
        <f>1111</f>
        <v>1111.0</v>
      </c>
      <c r="R98" s="34" t="s">
        <v>51</v>
      </c>
      <c r="S98" s="35" t="n">
        <f>1116.83</f>
        <v>1116.83</v>
      </c>
      <c r="T98" s="32" t="n">
        <f>7352160</f>
        <v>7352160.0</v>
      </c>
      <c r="U98" s="32" t="n">
        <f>936290</f>
        <v>936290.0</v>
      </c>
      <c r="V98" s="32" t="n">
        <f>8237264292</f>
        <v>8.237264292E9</v>
      </c>
      <c r="W98" s="32" t="n">
        <f>1038196772</f>
        <v>1.038196772E9</v>
      </c>
      <c r="X98" s="36" t="n">
        <f>18</f>
        <v>18.0</v>
      </c>
    </row>
    <row r="99">
      <c r="A99" s="27" t="s">
        <v>42</v>
      </c>
      <c r="B99" s="27" t="s">
        <v>339</v>
      </c>
      <c r="C99" s="27" t="s">
        <v>340</v>
      </c>
      <c r="D99" s="27" t="s">
        <v>341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2251</f>
        <v>2251.0</v>
      </c>
      <c r="L99" s="34" t="s">
        <v>48</v>
      </c>
      <c r="M99" s="33" t="n">
        <f>2299.5</f>
        <v>2299.5</v>
      </c>
      <c r="N99" s="34" t="s">
        <v>302</v>
      </c>
      <c r="O99" s="33" t="n">
        <f>2210</f>
        <v>2210.0</v>
      </c>
      <c r="P99" s="34" t="s">
        <v>50</v>
      </c>
      <c r="Q99" s="33" t="n">
        <f>2295</f>
        <v>2295.0</v>
      </c>
      <c r="R99" s="34" t="s">
        <v>69</v>
      </c>
      <c r="S99" s="35" t="n">
        <f>2260.96</f>
        <v>2260.96</v>
      </c>
      <c r="T99" s="32" t="n">
        <f>177330</f>
        <v>177330.0</v>
      </c>
      <c r="U99" s="32" t="n">
        <f>174000</f>
        <v>174000.0</v>
      </c>
      <c r="V99" s="32" t="n">
        <f>407365160</f>
        <v>4.0736516E8</v>
      </c>
      <c r="W99" s="32" t="n">
        <f>399891985</f>
        <v>3.99891985E8</v>
      </c>
      <c r="X99" s="36" t="n">
        <f>12</f>
        <v>12.0</v>
      </c>
    </row>
    <row r="100">
      <c r="A100" s="27" t="s">
        <v>42</v>
      </c>
      <c r="B100" s="27" t="s">
        <v>342</v>
      </c>
      <c r="C100" s="27" t="s">
        <v>343</v>
      </c>
      <c r="D100" s="27" t="s">
        <v>344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2643</f>
        <v>2643.0</v>
      </c>
      <c r="L100" s="34" t="s">
        <v>48</v>
      </c>
      <c r="M100" s="33" t="n">
        <f>2700</f>
        <v>2700.0</v>
      </c>
      <c r="N100" s="34" t="s">
        <v>302</v>
      </c>
      <c r="O100" s="33" t="n">
        <f>2554</f>
        <v>2554.0</v>
      </c>
      <c r="P100" s="34" t="s">
        <v>50</v>
      </c>
      <c r="Q100" s="33" t="n">
        <f>2677</f>
        <v>2677.0</v>
      </c>
      <c r="R100" s="34" t="s">
        <v>51</v>
      </c>
      <c r="S100" s="35" t="n">
        <f>2635.53</f>
        <v>2635.53</v>
      </c>
      <c r="T100" s="32" t="n">
        <f>7183</f>
        <v>7183.0</v>
      </c>
      <c r="U100" s="32" t="str">
        <f>"－"</f>
        <v>－</v>
      </c>
      <c r="V100" s="32" t="n">
        <f>18939152</f>
        <v>1.8939152E7</v>
      </c>
      <c r="W100" s="32" t="str">
        <f>"－"</f>
        <v>－</v>
      </c>
      <c r="X100" s="36" t="n">
        <f>17</f>
        <v>17.0</v>
      </c>
    </row>
    <row r="101">
      <c r="A101" s="27" t="s">
        <v>42</v>
      </c>
      <c r="B101" s="27" t="s">
        <v>345</v>
      </c>
      <c r="C101" s="27" t="s">
        <v>346</v>
      </c>
      <c r="D101" s="27" t="s">
        <v>347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30170</f>
        <v>30170.0</v>
      </c>
      <c r="L101" s="34" t="s">
        <v>48</v>
      </c>
      <c r="M101" s="33" t="n">
        <f>30620</f>
        <v>30620.0</v>
      </c>
      <c r="N101" s="34" t="s">
        <v>49</v>
      </c>
      <c r="O101" s="33" t="n">
        <f>29000</f>
        <v>29000.0</v>
      </c>
      <c r="P101" s="34" t="s">
        <v>50</v>
      </c>
      <c r="Q101" s="33" t="n">
        <f>30440</f>
        <v>30440.0</v>
      </c>
      <c r="R101" s="34" t="s">
        <v>51</v>
      </c>
      <c r="S101" s="35" t="n">
        <f>29969.72</f>
        <v>29969.72</v>
      </c>
      <c r="T101" s="32" t="n">
        <f>45832</f>
        <v>45832.0</v>
      </c>
      <c r="U101" s="32" t="n">
        <f>21878</f>
        <v>21878.0</v>
      </c>
      <c r="V101" s="32" t="n">
        <f>1372061052</f>
        <v>1.372061052E9</v>
      </c>
      <c r="W101" s="32" t="n">
        <f>654957667</f>
        <v>6.54957667E8</v>
      </c>
      <c r="X101" s="36" t="n">
        <f>18</f>
        <v>18.0</v>
      </c>
    </row>
    <row r="102">
      <c r="A102" s="27" t="s">
        <v>42</v>
      </c>
      <c r="B102" s="27" t="s">
        <v>348</v>
      </c>
      <c r="C102" s="27" t="s">
        <v>349</v>
      </c>
      <c r="D102" s="27" t="s">
        <v>350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2780</f>
        <v>2780.0</v>
      </c>
      <c r="L102" s="34" t="s">
        <v>48</v>
      </c>
      <c r="M102" s="33" t="n">
        <f>2828</f>
        <v>2828.0</v>
      </c>
      <c r="N102" s="34" t="s">
        <v>49</v>
      </c>
      <c r="O102" s="33" t="n">
        <f>2677</f>
        <v>2677.0</v>
      </c>
      <c r="P102" s="34" t="s">
        <v>50</v>
      </c>
      <c r="Q102" s="33" t="n">
        <f>2817</f>
        <v>2817.0</v>
      </c>
      <c r="R102" s="34" t="s">
        <v>51</v>
      </c>
      <c r="S102" s="35" t="n">
        <f>2771.33</f>
        <v>2771.33</v>
      </c>
      <c r="T102" s="32" t="n">
        <f>205951</f>
        <v>205951.0</v>
      </c>
      <c r="U102" s="32" t="n">
        <f>107155</f>
        <v>107155.0</v>
      </c>
      <c r="V102" s="32" t="n">
        <f>568826852</f>
        <v>5.68826852E8</v>
      </c>
      <c r="W102" s="32" t="n">
        <f>296157415</f>
        <v>2.96157415E8</v>
      </c>
      <c r="X102" s="36" t="n">
        <f>18</f>
        <v>18.0</v>
      </c>
    </row>
    <row r="103">
      <c r="A103" s="27" t="s">
        <v>42</v>
      </c>
      <c r="B103" s="27" t="s">
        <v>351</v>
      </c>
      <c r="C103" s="27" t="s">
        <v>352</v>
      </c>
      <c r="D103" s="27" t="s">
        <v>353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31130</f>
        <v>31130.0</v>
      </c>
      <c r="L103" s="34" t="s">
        <v>48</v>
      </c>
      <c r="M103" s="33" t="n">
        <f>31600</f>
        <v>31600.0</v>
      </c>
      <c r="N103" s="34" t="s">
        <v>49</v>
      </c>
      <c r="O103" s="33" t="n">
        <f>29930</f>
        <v>29930.0</v>
      </c>
      <c r="P103" s="34" t="s">
        <v>50</v>
      </c>
      <c r="Q103" s="33" t="n">
        <f>31490</f>
        <v>31490.0</v>
      </c>
      <c r="R103" s="34" t="s">
        <v>51</v>
      </c>
      <c r="S103" s="35" t="n">
        <f>30983.89</f>
        <v>30983.89</v>
      </c>
      <c r="T103" s="32" t="n">
        <f>26392</f>
        <v>26392.0</v>
      </c>
      <c r="U103" s="32" t="n">
        <f>8653</f>
        <v>8653.0</v>
      </c>
      <c r="V103" s="32" t="n">
        <f>812898408</f>
        <v>8.12898408E8</v>
      </c>
      <c r="W103" s="32" t="n">
        <f>265035283</f>
        <v>2.65035283E8</v>
      </c>
      <c r="X103" s="36" t="n">
        <f>18</f>
        <v>18.0</v>
      </c>
    </row>
    <row r="104">
      <c r="A104" s="27" t="s">
        <v>42</v>
      </c>
      <c r="B104" s="27" t="s">
        <v>354</v>
      </c>
      <c r="C104" s="27" t="s">
        <v>355</v>
      </c>
      <c r="D104" s="27" t="s">
        <v>356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10.0</v>
      </c>
      <c r="K104" s="33" t="n">
        <f>2007</f>
        <v>2007.0</v>
      </c>
      <c r="L104" s="34" t="s">
        <v>48</v>
      </c>
      <c r="M104" s="33" t="n">
        <f>2092</f>
        <v>2092.0</v>
      </c>
      <c r="N104" s="34" t="s">
        <v>69</v>
      </c>
      <c r="O104" s="33" t="n">
        <f>2000</f>
        <v>2000.0</v>
      </c>
      <c r="P104" s="34" t="s">
        <v>50</v>
      </c>
      <c r="Q104" s="33" t="n">
        <f>2071.5</f>
        <v>2071.5</v>
      </c>
      <c r="R104" s="34" t="s">
        <v>51</v>
      </c>
      <c r="S104" s="35" t="n">
        <f>2045.42</f>
        <v>2045.42</v>
      </c>
      <c r="T104" s="32" t="n">
        <f>2926310</f>
        <v>2926310.0</v>
      </c>
      <c r="U104" s="32" t="n">
        <f>2211980</f>
        <v>2211980.0</v>
      </c>
      <c r="V104" s="32" t="n">
        <f>5972376113</f>
        <v>5.972376113E9</v>
      </c>
      <c r="W104" s="32" t="n">
        <f>4513719458</f>
        <v>4.513719458E9</v>
      </c>
      <c r="X104" s="36" t="n">
        <f>18</f>
        <v>18.0</v>
      </c>
    </row>
    <row r="105">
      <c r="A105" s="27" t="s">
        <v>42</v>
      </c>
      <c r="B105" s="27" t="s">
        <v>357</v>
      </c>
      <c r="C105" s="27" t="s">
        <v>358</v>
      </c>
      <c r="D105" s="27" t="s">
        <v>359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2495</f>
        <v>2495.0</v>
      </c>
      <c r="L105" s="34" t="s">
        <v>48</v>
      </c>
      <c r="M105" s="33" t="n">
        <f>2650</f>
        <v>2650.0</v>
      </c>
      <c r="N105" s="34" t="s">
        <v>302</v>
      </c>
      <c r="O105" s="33" t="n">
        <f>2391</f>
        <v>2391.0</v>
      </c>
      <c r="P105" s="34" t="s">
        <v>50</v>
      </c>
      <c r="Q105" s="33" t="n">
        <f>2650</f>
        <v>2650.0</v>
      </c>
      <c r="R105" s="34" t="s">
        <v>302</v>
      </c>
      <c r="S105" s="35" t="n">
        <f>2480.33</f>
        <v>2480.33</v>
      </c>
      <c r="T105" s="32" t="n">
        <f>280</f>
        <v>280.0</v>
      </c>
      <c r="U105" s="32" t="str">
        <f>"－"</f>
        <v>－</v>
      </c>
      <c r="V105" s="32" t="n">
        <f>697010</f>
        <v>697010.0</v>
      </c>
      <c r="W105" s="32" t="str">
        <f>"－"</f>
        <v>－</v>
      </c>
      <c r="X105" s="36" t="n">
        <f>6</f>
        <v>6.0</v>
      </c>
    </row>
    <row r="106">
      <c r="A106" s="27" t="s">
        <v>42</v>
      </c>
      <c r="B106" s="27" t="s">
        <v>360</v>
      </c>
      <c r="C106" s="27" t="s">
        <v>361</v>
      </c>
      <c r="D106" s="27" t="s">
        <v>362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2027</f>
        <v>2027.0</v>
      </c>
      <c r="L106" s="34" t="s">
        <v>48</v>
      </c>
      <c r="M106" s="33" t="n">
        <f>2132</f>
        <v>2132.0</v>
      </c>
      <c r="N106" s="34" t="s">
        <v>50</v>
      </c>
      <c r="O106" s="33" t="n">
        <f>2016</f>
        <v>2016.0</v>
      </c>
      <c r="P106" s="34" t="s">
        <v>50</v>
      </c>
      <c r="Q106" s="33" t="n">
        <f>2091</f>
        <v>2091.0</v>
      </c>
      <c r="R106" s="34" t="s">
        <v>51</v>
      </c>
      <c r="S106" s="35" t="n">
        <f>2070.44</f>
        <v>2070.44</v>
      </c>
      <c r="T106" s="32" t="n">
        <f>6816344</f>
        <v>6816344.0</v>
      </c>
      <c r="U106" s="32" t="n">
        <f>4608908</f>
        <v>4608908.0</v>
      </c>
      <c r="V106" s="32" t="n">
        <f>14006888786</f>
        <v>1.4006888786E10</v>
      </c>
      <c r="W106" s="32" t="n">
        <f>9459891687</f>
        <v>9.459891687E9</v>
      </c>
      <c r="X106" s="36" t="n">
        <f>18</f>
        <v>18.0</v>
      </c>
    </row>
    <row r="107">
      <c r="A107" s="27" t="s">
        <v>42</v>
      </c>
      <c r="B107" s="27" t="s">
        <v>363</v>
      </c>
      <c r="C107" s="27" t="s">
        <v>364</v>
      </c>
      <c r="D107" s="27" t="s">
        <v>365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30810</f>
        <v>30810.0</v>
      </c>
      <c r="L107" s="34" t="s">
        <v>48</v>
      </c>
      <c r="M107" s="33" t="n">
        <f>31250</f>
        <v>31250.0</v>
      </c>
      <c r="N107" s="34" t="s">
        <v>49</v>
      </c>
      <c r="O107" s="33" t="n">
        <f>29650</f>
        <v>29650.0</v>
      </c>
      <c r="P107" s="34" t="s">
        <v>50</v>
      </c>
      <c r="Q107" s="33" t="n">
        <f>31010</f>
        <v>31010.0</v>
      </c>
      <c r="R107" s="34" t="s">
        <v>69</v>
      </c>
      <c r="S107" s="35" t="n">
        <f>30612.94</f>
        <v>30612.94</v>
      </c>
      <c r="T107" s="32" t="n">
        <f>39399</f>
        <v>39399.0</v>
      </c>
      <c r="U107" s="32" t="n">
        <f>14013</f>
        <v>14013.0</v>
      </c>
      <c r="V107" s="32" t="n">
        <f>1189148665</f>
        <v>1.189148665E9</v>
      </c>
      <c r="W107" s="32" t="n">
        <f>419920060</f>
        <v>4.1992006E8</v>
      </c>
      <c r="X107" s="36" t="n">
        <f>17</f>
        <v>17.0</v>
      </c>
    </row>
    <row r="108">
      <c r="A108" s="27" t="s">
        <v>42</v>
      </c>
      <c r="B108" s="27" t="s">
        <v>366</v>
      </c>
      <c r="C108" s="27" t="s">
        <v>367</v>
      </c>
      <c r="D108" s="27" t="s">
        <v>368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630.7</f>
        <v>630.7</v>
      </c>
      <c r="L108" s="34" t="s">
        <v>48</v>
      </c>
      <c r="M108" s="33" t="n">
        <f>640</f>
        <v>640.0</v>
      </c>
      <c r="N108" s="34" t="s">
        <v>69</v>
      </c>
      <c r="O108" s="33" t="n">
        <f>603.4</f>
        <v>603.4</v>
      </c>
      <c r="P108" s="34" t="s">
        <v>50</v>
      </c>
      <c r="Q108" s="33" t="n">
        <f>625.8</f>
        <v>625.8</v>
      </c>
      <c r="R108" s="34" t="s">
        <v>51</v>
      </c>
      <c r="S108" s="35" t="n">
        <f>623.67</f>
        <v>623.67</v>
      </c>
      <c r="T108" s="32" t="n">
        <f>255620</f>
        <v>255620.0</v>
      </c>
      <c r="U108" s="32" t="str">
        <f>"－"</f>
        <v>－</v>
      </c>
      <c r="V108" s="32" t="n">
        <f>159008592</f>
        <v>1.59008592E8</v>
      </c>
      <c r="W108" s="32" t="str">
        <f>"－"</f>
        <v>－</v>
      </c>
      <c r="X108" s="36" t="n">
        <f>18</f>
        <v>18.0</v>
      </c>
    </row>
    <row r="109">
      <c r="A109" s="27" t="s">
        <v>42</v>
      </c>
      <c r="B109" s="27" t="s">
        <v>369</v>
      </c>
      <c r="C109" s="27" t="s">
        <v>370</v>
      </c>
      <c r="D109" s="27" t="s">
        <v>371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468.2</f>
        <v>468.2</v>
      </c>
      <c r="L109" s="34" t="s">
        <v>48</v>
      </c>
      <c r="M109" s="33" t="n">
        <f>511.4</f>
        <v>511.4</v>
      </c>
      <c r="N109" s="34" t="s">
        <v>69</v>
      </c>
      <c r="O109" s="33" t="n">
        <f>449.6</f>
        <v>449.6</v>
      </c>
      <c r="P109" s="34" t="s">
        <v>48</v>
      </c>
      <c r="Q109" s="33" t="n">
        <f>505.5</f>
        <v>505.5</v>
      </c>
      <c r="R109" s="34" t="s">
        <v>51</v>
      </c>
      <c r="S109" s="35" t="n">
        <f>481.7</f>
        <v>481.7</v>
      </c>
      <c r="T109" s="32" t="n">
        <f>84358850</f>
        <v>8.435885E7</v>
      </c>
      <c r="U109" s="32" t="n">
        <f>29498920</f>
        <v>2.949892E7</v>
      </c>
      <c r="V109" s="32" t="n">
        <f>40502936642</f>
        <v>4.0502936642E10</v>
      </c>
      <c r="W109" s="32" t="n">
        <f>13978260998</f>
        <v>1.3978260998E10</v>
      </c>
      <c r="X109" s="36" t="n">
        <f>18</f>
        <v>18.0</v>
      </c>
    </row>
    <row r="110">
      <c r="A110" s="27" t="s">
        <v>42</v>
      </c>
      <c r="B110" s="27" t="s">
        <v>372</v>
      </c>
      <c r="C110" s="27" t="s">
        <v>373</v>
      </c>
      <c r="D110" s="27" t="s">
        <v>374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40500</f>
        <v>40500.0</v>
      </c>
      <c r="L110" s="34" t="s">
        <v>48</v>
      </c>
      <c r="M110" s="33" t="n">
        <f>42620</f>
        <v>42620.0</v>
      </c>
      <c r="N110" s="34" t="s">
        <v>51</v>
      </c>
      <c r="O110" s="33" t="n">
        <f>39830</f>
        <v>39830.0</v>
      </c>
      <c r="P110" s="34" t="s">
        <v>89</v>
      </c>
      <c r="Q110" s="33" t="n">
        <f>42380</f>
        <v>42380.0</v>
      </c>
      <c r="R110" s="34" t="s">
        <v>51</v>
      </c>
      <c r="S110" s="35" t="n">
        <f>41339.44</f>
        <v>41339.44</v>
      </c>
      <c r="T110" s="32" t="n">
        <f>12574</f>
        <v>12574.0</v>
      </c>
      <c r="U110" s="32" t="n">
        <f>7087</f>
        <v>7087.0</v>
      </c>
      <c r="V110" s="32" t="n">
        <f>511547785</f>
        <v>5.11547785E8</v>
      </c>
      <c r="W110" s="32" t="n">
        <f>286940975</f>
        <v>2.86940975E8</v>
      </c>
      <c r="X110" s="36" t="n">
        <f>18</f>
        <v>18.0</v>
      </c>
    </row>
    <row r="111">
      <c r="A111" s="27" t="s">
        <v>42</v>
      </c>
      <c r="B111" s="27" t="s">
        <v>375</v>
      </c>
      <c r="C111" s="27" t="s">
        <v>376</v>
      </c>
      <c r="D111" s="27" t="s">
        <v>377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26145</f>
        <v>26145.0</v>
      </c>
      <c r="L111" s="34" t="s">
        <v>48</v>
      </c>
      <c r="M111" s="33" t="n">
        <f>29205</f>
        <v>29205.0</v>
      </c>
      <c r="N111" s="34" t="s">
        <v>69</v>
      </c>
      <c r="O111" s="33" t="n">
        <f>25340</f>
        <v>25340.0</v>
      </c>
      <c r="P111" s="34" t="s">
        <v>50</v>
      </c>
      <c r="Q111" s="33" t="n">
        <f>29055</f>
        <v>29055.0</v>
      </c>
      <c r="R111" s="34" t="s">
        <v>51</v>
      </c>
      <c r="S111" s="35" t="n">
        <f>27736.94</f>
        <v>27736.94</v>
      </c>
      <c r="T111" s="32" t="n">
        <f>13251</f>
        <v>13251.0</v>
      </c>
      <c r="U111" s="32" t="n">
        <f>31</f>
        <v>31.0</v>
      </c>
      <c r="V111" s="32" t="n">
        <f>367147050</f>
        <v>3.6714705E8</v>
      </c>
      <c r="W111" s="32" t="n">
        <f>858715</f>
        <v>858715.0</v>
      </c>
      <c r="X111" s="36" t="n">
        <f>18</f>
        <v>18.0</v>
      </c>
    </row>
    <row r="112">
      <c r="A112" s="27" t="s">
        <v>42</v>
      </c>
      <c r="B112" s="27" t="s">
        <v>378</v>
      </c>
      <c r="C112" s="27" t="s">
        <v>379</v>
      </c>
      <c r="D112" s="27" t="s">
        <v>380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39060</f>
        <v>39060.0</v>
      </c>
      <c r="L112" s="34" t="s">
        <v>48</v>
      </c>
      <c r="M112" s="33" t="n">
        <f>42730</f>
        <v>42730.0</v>
      </c>
      <c r="N112" s="34" t="s">
        <v>51</v>
      </c>
      <c r="O112" s="33" t="n">
        <f>38000</f>
        <v>38000.0</v>
      </c>
      <c r="P112" s="34" t="s">
        <v>50</v>
      </c>
      <c r="Q112" s="33" t="n">
        <f>42700</f>
        <v>42700.0</v>
      </c>
      <c r="R112" s="34" t="s">
        <v>51</v>
      </c>
      <c r="S112" s="35" t="n">
        <f>40817.22</f>
        <v>40817.22</v>
      </c>
      <c r="T112" s="32" t="n">
        <f>94372</f>
        <v>94372.0</v>
      </c>
      <c r="U112" s="32" t="n">
        <f>80144</f>
        <v>80144.0</v>
      </c>
      <c r="V112" s="32" t="n">
        <f>3837765802</f>
        <v>3.837765802E9</v>
      </c>
      <c r="W112" s="32" t="n">
        <f>3260305082</f>
        <v>3.260305082E9</v>
      </c>
      <c r="X112" s="36" t="n">
        <f>18</f>
        <v>18.0</v>
      </c>
    </row>
    <row r="113">
      <c r="A113" s="27" t="s">
        <v>42</v>
      </c>
      <c r="B113" s="27" t="s">
        <v>381</v>
      </c>
      <c r="C113" s="27" t="s">
        <v>382</v>
      </c>
      <c r="D113" s="27" t="s">
        <v>383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30150</f>
        <v>30150.0</v>
      </c>
      <c r="L113" s="34" t="s">
        <v>48</v>
      </c>
      <c r="M113" s="33" t="n">
        <f>30970</f>
        <v>30970.0</v>
      </c>
      <c r="N113" s="34" t="s">
        <v>51</v>
      </c>
      <c r="O113" s="33" t="n">
        <f>29405</f>
        <v>29405.0</v>
      </c>
      <c r="P113" s="34" t="s">
        <v>73</v>
      </c>
      <c r="Q113" s="33" t="n">
        <f>30950</f>
        <v>30950.0</v>
      </c>
      <c r="R113" s="34" t="s">
        <v>51</v>
      </c>
      <c r="S113" s="35" t="n">
        <f>30202.78</f>
        <v>30202.78</v>
      </c>
      <c r="T113" s="32" t="n">
        <f>18321</f>
        <v>18321.0</v>
      </c>
      <c r="U113" s="32" t="n">
        <f>15042</f>
        <v>15042.0</v>
      </c>
      <c r="V113" s="32" t="n">
        <f>551052070</f>
        <v>5.5105207E8</v>
      </c>
      <c r="W113" s="32" t="n">
        <f>452034245</f>
        <v>4.52034245E8</v>
      </c>
      <c r="X113" s="36" t="n">
        <f>18</f>
        <v>18.0</v>
      </c>
    </row>
    <row r="114">
      <c r="A114" s="27" t="s">
        <v>42</v>
      </c>
      <c r="B114" s="27" t="s">
        <v>384</v>
      </c>
      <c r="C114" s="27" t="s">
        <v>385</v>
      </c>
      <c r="D114" s="27" t="s">
        <v>386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26710</f>
        <v>26710.0</v>
      </c>
      <c r="L114" s="34" t="s">
        <v>48</v>
      </c>
      <c r="M114" s="33" t="n">
        <f>29940</f>
        <v>29940.0</v>
      </c>
      <c r="N114" s="34" t="s">
        <v>208</v>
      </c>
      <c r="O114" s="33" t="n">
        <f>26285</f>
        <v>26285.0</v>
      </c>
      <c r="P114" s="34" t="s">
        <v>50</v>
      </c>
      <c r="Q114" s="33" t="n">
        <f>29445</f>
        <v>29445.0</v>
      </c>
      <c r="R114" s="34" t="s">
        <v>51</v>
      </c>
      <c r="S114" s="35" t="n">
        <f>28006.39</f>
        <v>28006.39</v>
      </c>
      <c r="T114" s="32" t="n">
        <f>9347</f>
        <v>9347.0</v>
      </c>
      <c r="U114" s="32" t="n">
        <f>278</f>
        <v>278.0</v>
      </c>
      <c r="V114" s="32" t="n">
        <f>260021397</f>
        <v>2.60021397E8</v>
      </c>
      <c r="W114" s="32" t="n">
        <f>7966427</f>
        <v>7966427.0</v>
      </c>
      <c r="X114" s="36" t="n">
        <f>18</f>
        <v>18.0</v>
      </c>
    </row>
    <row r="115">
      <c r="A115" s="27" t="s">
        <v>42</v>
      </c>
      <c r="B115" s="27" t="s">
        <v>387</v>
      </c>
      <c r="C115" s="27" t="s">
        <v>388</v>
      </c>
      <c r="D115" s="27" t="s">
        <v>389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34490</f>
        <v>34490.0</v>
      </c>
      <c r="L115" s="34" t="s">
        <v>48</v>
      </c>
      <c r="M115" s="33" t="n">
        <f>35150</f>
        <v>35150.0</v>
      </c>
      <c r="N115" s="34" t="s">
        <v>49</v>
      </c>
      <c r="O115" s="33" t="n">
        <f>32940</f>
        <v>32940.0</v>
      </c>
      <c r="P115" s="34" t="s">
        <v>50</v>
      </c>
      <c r="Q115" s="33" t="n">
        <f>34850</f>
        <v>34850.0</v>
      </c>
      <c r="R115" s="34" t="s">
        <v>51</v>
      </c>
      <c r="S115" s="35" t="n">
        <f>34387.22</f>
        <v>34387.22</v>
      </c>
      <c r="T115" s="32" t="n">
        <f>8730</f>
        <v>8730.0</v>
      </c>
      <c r="U115" s="32" t="n">
        <f>186</f>
        <v>186.0</v>
      </c>
      <c r="V115" s="32" t="n">
        <f>300281300</f>
        <v>3.002813E8</v>
      </c>
      <c r="W115" s="32" t="n">
        <f>6368180</f>
        <v>6368180.0</v>
      </c>
      <c r="X115" s="36" t="n">
        <f>18</f>
        <v>18.0</v>
      </c>
    </row>
    <row r="116">
      <c r="A116" s="27" t="s">
        <v>42</v>
      </c>
      <c r="B116" s="27" t="s">
        <v>390</v>
      </c>
      <c r="C116" s="27" t="s">
        <v>391</v>
      </c>
      <c r="D116" s="27" t="s">
        <v>392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44320</f>
        <v>44320.0</v>
      </c>
      <c r="L116" s="34" t="s">
        <v>48</v>
      </c>
      <c r="M116" s="33" t="n">
        <f>45290</f>
        <v>45290.0</v>
      </c>
      <c r="N116" s="34" t="s">
        <v>48</v>
      </c>
      <c r="O116" s="33" t="n">
        <f>40520</f>
        <v>40520.0</v>
      </c>
      <c r="P116" s="34" t="s">
        <v>73</v>
      </c>
      <c r="Q116" s="33" t="n">
        <f>42770</f>
        <v>42770.0</v>
      </c>
      <c r="R116" s="34" t="s">
        <v>51</v>
      </c>
      <c r="S116" s="35" t="n">
        <f>42798.33</f>
        <v>42798.33</v>
      </c>
      <c r="T116" s="32" t="n">
        <f>61537</f>
        <v>61537.0</v>
      </c>
      <c r="U116" s="32" t="n">
        <f>34024</f>
        <v>34024.0</v>
      </c>
      <c r="V116" s="32" t="n">
        <f>2616492164</f>
        <v>2.616492164E9</v>
      </c>
      <c r="W116" s="32" t="n">
        <f>1447580864</f>
        <v>1.447580864E9</v>
      </c>
      <c r="X116" s="36" t="n">
        <f>18</f>
        <v>18.0</v>
      </c>
    </row>
    <row r="117">
      <c r="A117" s="27" t="s">
        <v>42</v>
      </c>
      <c r="B117" s="27" t="s">
        <v>393</v>
      </c>
      <c r="C117" s="27" t="s">
        <v>394</v>
      </c>
      <c r="D117" s="27" t="s">
        <v>395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76850</f>
        <v>76850.0</v>
      </c>
      <c r="L117" s="34" t="s">
        <v>48</v>
      </c>
      <c r="M117" s="33" t="n">
        <f>77460</f>
        <v>77460.0</v>
      </c>
      <c r="N117" s="34" t="s">
        <v>48</v>
      </c>
      <c r="O117" s="33" t="n">
        <f>70030</f>
        <v>70030.0</v>
      </c>
      <c r="P117" s="34" t="s">
        <v>73</v>
      </c>
      <c r="Q117" s="33" t="n">
        <f>73700</f>
        <v>73700.0</v>
      </c>
      <c r="R117" s="34" t="s">
        <v>51</v>
      </c>
      <c r="S117" s="35" t="n">
        <f>74246.11</f>
        <v>74246.11</v>
      </c>
      <c r="T117" s="32" t="n">
        <f>5716</f>
        <v>5716.0</v>
      </c>
      <c r="U117" s="32" t="n">
        <f>33</f>
        <v>33.0</v>
      </c>
      <c r="V117" s="32" t="n">
        <f>422751208</f>
        <v>4.22751208E8</v>
      </c>
      <c r="W117" s="32" t="n">
        <f>2429358</f>
        <v>2429358.0</v>
      </c>
      <c r="X117" s="36" t="n">
        <f>18</f>
        <v>18.0</v>
      </c>
    </row>
    <row r="118">
      <c r="A118" s="27" t="s">
        <v>42</v>
      </c>
      <c r="B118" s="27" t="s">
        <v>396</v>
      </c>
      <c r="C118" s="27" t="s">
        <v>397</v>
      </c>
      <c r="D118" s="27" t="s">
        <v>398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50300</f>
        <v>50300.0</v>
      </c>
      <c r="L118" s="34" t="s">
        <v>48</v>
      </c>
      <c r="M118" s="33" t="n">
        <f>50780</f>
        <v>50780.0</v>
      </c>
      <c r="N118" s="34" t="s">
        <v>48</v>
      </c>
      <c r="O118" s="33" t="n">
        <f>46520</f>
        <v>46520.0</v>
      </c>
      <c r="P118" s="34" t="s">
        <v>73</v>
      </c>
      <c r="Q118" s="33" t="n">
        <f>48960</f>
        <v>48960.0</v>
      </c>
      <c r="R118" s="34" t="s">
        <v>51</v>
      </c>
      <c r="S118" s="35" t="n">
        <f>48711.11</f>
        <v>48711.11</v>
      </c>
      <c r="T118" s="32" t="n">
        <f>32577</f>
        <v>32577.0</v>
      </c>
      <c r="U118" s="32" t="n">
        <f>21483</f>
        <v>21483.0</v>
      </c>
      <c r="V118" s="32" t="n">
        <f>1557636320</f>
        <v>1.55763632E9</v>
      </c>
      <c r="W118" s="32" t="n">
        <f>1020576840</f>
        <v>1.02057684E9</v>
      </c>
      <c r="X118" s="36" t="n">
        <f>18</f>
        <v>18.0</v>
      </c>
    </row>
    <row r="119">
      <c r="A119" s="27" t="s">
        <v>42</v>
      </c>
      <c r="B119" s="27" t="s">
        <v>399</v>
      </c>
      <c r="C119" s="27" t="s">
        <v>400</v>
      </c>
      <c r="D119" s="27" t="s">
        <v>401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45600</f>
        <v>45600.0</v>
      </c>
      <c r="L119" s="34" t="s">
        <v>48</v>
      </c>
      <c r="M119" s="33" t="n">
        <f>46330</f>
        <v>46330.0</v>
      </c>
      <c r="N119" s="34" t="s">
        <v>48</v>
      </c>
      <c r="O119" s="33" t="n">
        <f>42000</f>
        <v>42000.0</v>
      </c>
      <c r="P119" s="34" t="s">
        <v>114</v>
      </c>
      <c r="Q119" s="33" t="n">
        <f>43000</f>
        <v>43000.0</v>
      </c>
      <c r="R119" s="34" t="s">
        <v>51</v>
      </c>
      <c r="S119" s="35" t="n">
        <f>43598.89</f>
        <v>43598.89</v>
      </c>
      <c r="T119" s="32" t="n">
        <f>10120</f>
        <v>10120.0</v>
      </c>
      <c r="U119" s="32" t="n">
        <f>5035</f>
        <v>5035.0</v>
      </c>
      <c r="V119" s="32" t="n">
        <f>446271922</f>
        <v>4.46271922E8</v>
      </c>
      <c r="W119" s="32" t="n">
        <f>224675922</f>
        <v>2.24675922E8</v>
      </c>
      <c r="X119" s="36" t="n">
        <f>18</f>
        <v>18.0</v>
      </c>
    </row>
    <row r="120">
      <c r="A120" s="27" t="s">
        <v>42</v>
      </c>
      <c r="B120" s="27" t="s">
        <v>402</v>
      </c>
      <c r="C120" s="27" t="s">
        <v>403</v>
      </c>
      <c r="D120" s="27" t="s">
        <v>404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10665</f>
        <v>10665.0</v>
      </c>
      <c r="L120" s="34" t="s">
        <v>48</v>
      </c>
      <c r="M120" s="33" t="n">
        <f>12200</f>
        <v>12200.0</v>
      </c>
      <c r="N120" s="34" t="s">
        <v>69</v>
      </c>
      <c r="O120" s="33" t="n">
        <f>10455</f>
        <v>10455.0</v>
      </c>
      <c r="P120" s="34" t="s">
        <v>50</v>
      </c>
      <c r="Q120" s="33" t="n">
        <f>12040</f>
        <v>12040.0</v>
      </c>
      <c r="R120" s="34" t="s">
        <v>51</v>
      </c>
      <c r="S120" s="35" t="n">
        <f>11413.33</f>
        <v>11413.33</v>
      </c>
      <c r="T120" s="32" t="n">
        <f>240222</f>
        <v>240222.0</v>
      </c>
      <c r="U120" s="32" t="n">
        <f>143893</f>
        <v>143893.0</v>
      </c>
      <c r="V120" s="32" t="n">
        <f>2744600908</f>
        <v>2.744600908E9</v>
      </c>
      <c r="W120" s="32" t="n">
        <f>1623559028</f>
        <v>1.623559028E9</v>
      </c>
      <c r="X120" s="36" t="n">
        <f>18</f>
        <v>18.0</v>
      </c>
    </row>
    <row r="121">
      <c r="A121" s="27" t="s">
        <v>42</v>
      </c>
      <c r="B121" s="27" t="s">
        <v>405</v>
      </c>
      <c r="C121" s="27" t="s">
        <v>406</v>
      </c>
      <c r="D121" s="27" t="s">
        <v>407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20170</f>
        <v>20170.0</v>
      </c>
      <c r="L121" s="34" t="s">
        <v>48</v>
      </c>
      <c r="M121" s="33" t="n">
        <f>20915</f>
        <v>20915.0</v>
      </c>
      <c r="N121" s="34" t="s">
        <v>69</v>
      </c>
      <c r="O121" s="33" t="n">
        <f>20005</f>
        <v>20005.0</v>
      </c>
      <c r="P121" s="34" t="s">
        <v>48</v>
      </c>
      <c r="Q121" s="33" t="n">
        <f>20770</f>
        <v>20770.0</v>
      </c>
      <c r="R121" s="34" t="s">
        <v>51</v>
      </c>
      <c r="S121" s="35" t="n">
        <f>20368.89</f>
        <v>20368.89</v>
      </c>
      <c r="T121" s="32" t="n">
        <f>10452</f>
        <v>10452.0</v>
      </c>
      <c r="U121" s="32" t="n">
        <f>32</f>
        <v>32.0</v>
      </c>
      <c r="V121" s="32" t="n">
        <f>212112692</f>
        <v>2.12112692E8</v>
      </c>
      <c r="W121" s="32" t="n">
        <f>645172</f>
        <v>645172.0</v>
      </c>
      <c r="X121" s="36" t="n">
        <f>18</f>
        <v>18.0</v>
      </c>
    </row>
    <row r="122">
      <c r="A122" s="27" t="s">
        <v>42</v>
      </c>
      <c r="B122" s="27" t="s">
        <v>408</v>
      </c>
      <c r="C122" s="27" t="s">
        <v>409</v>
      </c>
      <c r="D122" s="27" t="s">
        <v>410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103800</f>
        <v>103800.0</v>
      </c>
      <c r="L122" s="34" t="s">
        <v>48</v>
      </c>
      <c r="M122" s="33" t="n">
        <f>109300</f>
        <v>109300.0</v>
      </c>
      <c r="N122" s="34" t="s">
        <v>262</v>
      </c>
      <c r="O122" s="33" t="n">
        <f>101150</f>
        <v>101150.0</v>
      </c>
      <c r="P122" s="34" t="s">
        <v>50</v>
      </c>
      <c r="Q122" s="33" t="n">
        <f>108900</f>
        <v>108900.0</v>
      </c>
      <c r="R122" s="34" t="s">
        <v>51</v>
      </c>
      <c r="S122" s="35" t="n">
        <f>106783.33</f>
        <v>106783.33</v>
      </c>
      <c r="T122" s="32" t="n">
        <f>47180</f>
        <v>47180.0</v>
      </c>
      <c r="U122" s="32" t="n">
        <f>28510</f>
        <v>28510.0</v>
      </c>
      <c r="V122" s="32" t="n">
        <f>4986844921</f>
        <v>4.986844921E9</v>
      </c>
      <c r="W122" s="32" t="n">
        <f>3009309021</f>
        <v>3.009309021E9</v>
      </c>
      <c r="X122" s="36" t="n">
        <f>18</f>
        <v>18.0</v>
      </c>
    </row>
    <row r="123">
      <c r="A123" s="27" t="s">
        <v>42</v>
      </c>
      <c r="B123" s="27" t="s">
        <v>411</v>
      </c>
      <c r="C123" s="27" t="s">
        <v>412</v>
      </c>
      <c r="D123" s="27" t="s">
        <v>413</v>
      </c>
      <c r="E123" s="28" t="s">
        <v>46</v>
      </c>
      <c r="F123" s="29" t="s">
        <v>46</v>
      </c>
      <c r="G123" s="30" t="s">
        <v>46</v>
      </c>
      <c r="H123" s="31"/>
      <c r="I123" s="31" t="s">
        <v>414</v>
      </c>
      <c r="J123" s="32" t="n">
        <v>1.0</v>
      </c>
      <c r="K123" s="33" t="n">
        <f>12920</f>
        <v>12920.0</v>
      </c>
      <c r="L123" s="34" t="s">
        <v>48</v>
      </c>
      <c r="M123" s="33" t="n">
        <f>12945</f>
        <v>12945.0</v>
      </c>
      <c r="N123" s="34" t="s">
        <v>48</v>
      </c>
      <c r="O123" s="33" t="n">
        <f>11860</f>
        <v>11860.0</v>
      </c>
      <c r="P123" s="34" t="s">
        <v>73</v>
      </c>
      <c r="Q123" s="33" t="n">
        <f>12470</f>
        <v>12470.0</v>
      </c>
      <c r="R123" s="34" t="s">
        <v>51</v>
      </c>
      <c r="S123" s="35" t="n">
        <f>12400.31</f>
        <v>12400.31</v>
      </c>
      <c r="T123" s="32" t="n">
        <f>3545</f>
        <v>3545.0</v>
      </c>
      <c r="U123" s="32" t="str">
        <f>"－"</f>
        <v>－</v>
      </c>
      <c r="V123" s="32" t="n">
        <f>44443795</f>
        <v>4.4443795E7</v>
      </c>
      <c r="W123" s="32" t="str">
        <f>"－"</f>
        <v>－</v>
      </c>
      <c r="X123" s="36" t="n">
        <f>16</f>
        <v>16.0</v>
      </c>
    </row>
    <row r="124">
      <c r="A124" s="27" t="s">
        <v>42</v>
      </c>
      <c r="B124" s="27" t="s">
        <v>415</v>
      </c>
      <c r="C124" s="27" t="s">
        <v>416</v>
      </c>
      <c r="D124" s="27" t="s">
        <v>417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35900</f>
        <v>35900.0</v>
      </c>
      <c r="L124" s="34" t="s">
        <v>48</v>
      </c>
      <c r="M124" s="33" t="n">
        <f>38270</f>
        <v>38270.0</v>
      </c>
      <c r="N124" s="34" t="s">
        <v>69</v>
      </c>
      <c r="O124" s="33" t="n">
        <f>35070</f>
        <v>35070.0</v>
      </c>
      <c r="P124" s="34" t="s">
        <v>48</v>
      </c>
      <c r="Q124" s="33" t="n">
        <f>37960</f>
        <v>37960.0</v>
      </c>
      <c r="R124" s="34" t="s">
        <v>51</v>
      </c>
      <c r="S124" s="35" t="n">
        <f>36653.33</f>
        <v>36653.33</v>
      </c>
      <c r="T124" s="32" t="n">
        <f>48848</f>
        <v>48848.0</v>
      </c>
      <c r="U124" s="32" t="n">
        <f>33056</f>
        <v>33056.0</v>
      </c>
      <c r="V124" s="32" t="n">
        <f>1749354471</f>
        <v>1.749354471E9</v>
      </c>
      <c r="W124" s="32" t="n">
        <f>1183305071</f>
        <v>1.183305071E9</v>
      </c>
      <c r="X124" s="36" t="n">
        <f>18</f>
        <v>18.0</v>
      </c>
    </row>
    <row r="125">
      <c r="A125" s="27" t="s">
        <v>42</v>
      </c>
      <c r="B125" s="27" t="s">
        <v>418</v>
      </c>
      <c r="C125" s="27" t="s">
        <v>419</v>
      </c>
      <c r="D125" s="27" t="s">
        <v>420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25040</f>
        <v>25040.0</v>
      </c>
      <c r="L125" s="34" t="s">
        <v>48</v>
      </c>
      <c r="M125" s="33" t="n">
        <f>28275</f>
        <v>28275.0</v>
      </c>
      <c r="N125" s="34" t="s">
        <v>69</v>
      </c>
      <c r="O125" s="33" t="n">
        <f>24215</f>
        <v>24215.0</v>
      </c>
      <c r="P125" s="34" t="s">
        <v>50</v>
      </c>
      <c r="Q125" s="33" t="n">
        <f>27100</f>
        <v>27100.0</v>
      </c>
      <c r="R125" s="34" t="s">
        <v>51</v>
      </c>
      <c r="S125" s="35" t="n">
        <f>25812.78</f>
        <v>25812.78</v>
      </c>
      <c r="T125" s="32" t="n">
        <f>106868</f>
        <v>106868.0</v>
      </c>
      <c r="U125" s="32" t="n">
        <f>37082</f>
        <v>37082.0</v>
      </c>
      <c r="V125" s="32" t="n">
        <f>2755011544</f>
        <v>2.755011544E9</v>
      </c>
      <c r="W125" s="32" t="n">
        <f>956709829</f>
        <v>9.56709829E8</v>
      </c>
      <c r="X125" s="36" t="n">
        <f>18</f>
        <v>18.0</v>
      </c>
    </row>
    <row r="126">
      <c r="A126" s="27" t="s">
        <v>42</v>
      </c>
      <c r="B126" s="27" t="s">
        <v>421</v>
      </c>
      <c r="C126" s="27" t="s">
        <v>422</v>
      </c>
      <c r="D126" s="27" t="s">
        <v>423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30850</f>
        <v>30850.0</v>
      </c>
      <c r="L126" s="34" t="s">
        <v>48</v>
      </c>
      <c r="M126" s="33" t="n">
        <f>32250</f>
        <v>32250.0</v>
      </c>
      <c r="N126" s="34" t="s">
        <v>49</v>
      </c>
      <c r="O126" s="33" t="n">
        <f>29990</f>
        <v>29990.0</v>
      </c>
      <c r="P126" s="34" t="s">
        <v>50</v>
      </c>
      <c r="Q126" s="33" t="n">
        <f>32110</f>
        <v>32110.0</v>
      </c>
      <c r="R126" s="34" t="s">
        <v>51</v>
      </c>
      <c r="S126" s="35" t="n">
        <f>31401.67</f>
        <v>31401.67</v>
      </c>
      <c r="T126" s="32" t="n">
        <f>13243</f>
        <v>13243.0</v>
      </c>
      <c r="U126" s="32" t="n">
        <f>1247</f>
        <v>1247.0</v>
      </c>
      <c r="V126" s="32" t="n">
        <f>413744110</f>
        <v>4.1374411E8</v>
      </c>
      <c r="W126" s="32" t="n">
        <f>39334600</f>
        <v>3.93346E7</v>
      </c>
      <c r="X126" s="36" t="n">
        <f>18</f>
        <v>18.0</v>
      </c>
    </row>
    <row r="127">
      <c r="A127" s="27" t="s">
        <v>42</v>
      </c>
      <c r="B127" s="27" t="s">
        <v>424</v>
      </c>
      <c r="C127" s="27" t="s">
        <v>425</v>
      </c>
      <c r="D127" s="27" t="s">
        <v>426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47040</f>
        <v>47040.0</v>
      </c>
      <c r="L127" s="34" t="s">
        <v>48</v>
      </c>
      <c r="M127" s="33" t="n">
        <f>52630</f>
        <v>52630.0</v>
      </c>
      <c r="N127" s="34" t="s">
        <v>69</v>
      </c>
      <c r="O127" s="33" t="n">
        <f>46200</f>
        <v>46200.0</v>
      </c>
      <c r="P127" s="34" t="s">
        <v>50</v>
      </c>
      <c r="Q127" s="33" t="n">
        <f>52350</f>
        <v>52350.0</v>
      </c>
      <c r="R127" s="34" t="s">
        <v>51</v>
      </c>
      <c r="S127" s="35" t="n">
        <f>49342.78</f>
        <v>49342.78</v>
      </c>
      <c r="T127" s="32" t="n">
        <f>6370</f>
        <v>6370.0</v>
      </c>
      <c r="U127" s="32" t="n">
        <f>94</f>
        <v>94.0</v>
      </c>
      <c r="V127" s="32" t="n">
        <f>314352633</f>
        <v>3.14352633E8</v>
      </c>
      <c r="W127" s="32" t="n">
        <f>4543993</f>
        <v>4543993.0</v>
      </c>
      <c r="X127" s="36" t="n">
        <f>18</f>
        <v>18.0</v>
      </c>
    </row>
    <row r="128">
      <c r="A128" s="27" t="s">
        <v>42</v>
      </c>
      <c r="B128" s="27" t="s">
        <v>427</v>
      </c>
      <c r="C128" s="27" t="s">
        <v>428</v>
      </c>
      <c r="D128" s="27" t="s">
        <v>429</v>
      </c>
      <c r="E128" s="28" t="s">
        <v>46</v>
      </c>
      <c r="F128" s="29" t="s">
        <v>46</v>
      </c>
      <c r="G128" s="30" t="s">
        <v>46</v>
      </c>
      <c r="H128" s="31"/>
      <c r="I128" s="31" t="s">
        <v>414</v>
      </c>
      <c r="J128" s="32" t="n">
        <v>1.0</v>
      </c>
      <c r="K128" s="33" t="n">
        <f>12860</f>
        <v>12860.0</v>
      </c>
      <c r="L128" s="34" t="s">
        <v>48</v>
      </c>
      <c r="M128" s="33" t="n">
        <f>13200</f>
        <v>13200.0</v>
      </c>
      <c r="N128" s="34" t="s">
        <v>48</v>
      </c>
      <c r="O128" s="33" t="n">
        <f>11165</f>
        <v>11165.0</v>
      </c>
      <c r="P128" s="34" t="s">
        <v>73</v>
      </c>
      <c r="Q128" s="33" t="n">
        <f>11825</f>
        <v>11825.0</v>
      </c>
      <c r="R128" s="34" t="s">
        <v>51</v>
      </c>
      <c r="S128" s="35" t="n">
        <f>11946.94</f>
        <v>11946.94</v>
      </c>
      <c r="T128" s="32" t="n">
        <f>107001</f>
        <v>107001.0</v>
      </c>
      <c r="U128" s="32" t="str">
        <f>"－"</f>
        <v>－</v>
      </c>
      <c r="V128" s="32" t="n">
        <f>1303113200</f>
        <v>1.3031132E9</v>
      </c>
      <c r="W128" s="32" t="str">
        <f>"－"</f>
        <v>－</v>
      </c>
      <c r="X128" s="36" t="n">
        <f>18</f>
        <v>18.0</v>
      </c>
    </row>
    <row r="129">
      <c r="A129" s="27" t="s">
        <v>42</v>
      </c>
      <c r="B129" s="27" t="s">
        <v>430</v>
      </c>
      <c r="C129" s="27" t="s">
        <v>431</v>
      </c>
      <c r="D129" s="27" t="s">
        <v>432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2454</f>
        <v>2454.0</v>
      </c>
      <c r="L129" s="34" t="s">
        <v>48</v>
      </c>
      <c r="M129" s="33" t="n">
        <f>2552</f>
        <v>2552.0</v>
      </c>
      <c r="N129" s="34" t="s">
        <v>69</v>
      </c>
      <c r="O129" s="33" t="n">
        <f>2387</f>
        <v>2387.0</v>
      </c>
      <c r="P129" s="34" t="s">
        <v>50</v>
      </c>
      <c r="Q129" s="33" t="n">
        <f>2545</f>
        <v>2545.0</v>
      </c>
      <c r="R129" s="34" t="s">
        <v>51</v>
      </c>
      <c r="S129" s="35" t="n">
        <f>2486.17</f>
        <v>2486.17</v>
      </c>
      <c r="T129" s="32" t="n">
        <f>1706826</f>
        <v>1706826.0</v>
      </c>
      <c r="U129" s="32" t="n">
        <f>1048982</f>
        <v>1048982.0</v>
      </c>
      <c r="V129" s="32" t="n">
        <f>4192053497</f>
        <v>4.192053497E9</v>
      </c>
      <c r="W129" s="32" t="n">
        <f>2564502122</f>
        <v>2.564502122E9</v>
      </c>
      <c r="X129" s="36" t="n">
        <f>18</f>
        <v>18.0</v>
      </c>
    </row>
    <row r="130">
      <c r="A130" s="27" t="s">
        <v>42</v>
      </c>
      <c r="B130" s="27" t="s">
        <v>433</v>
      </c>
      <c r="C130" s="27" t="s">
        <v>434</v>
      </c>
      <c r="D130" s="27" t="s">
        <v>435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3990</f>
        <v>3990.0</v>
      </c>
      <c r="L130" s="34" t="s">
        <v>48</v>
      </c>
      <c r="M130" s="33" t="n">
        <f>4830</f>
        <v>4830.0</v>
      </c>
      <c r="N130" s="34" t="s">
        <v>51</v>
      </c>
      <c r="O130" s="33" t="n">
        <f>3848</f>
        <v>3848.0</v>
      </c>
      <c r="P130" s="34" t="s">
        <v>148</v>
      </c>
      <c r="Q130" s="33" t="n">
        <f>4830</f>
        <v>4830.0</v>
      </c>
      <c r="R130" s="34" t="s">
        <v>51</v>
      </c>
      <c r="S130" s="35" t="n">
        <f>4103</f>
        <v>4103.0</v>
      </c>
      <c r="T130" s="32" t="n">
        <f>55420</f>
        <v>55420.0</v>
      </c>
      <c r="U130" s="32" t="n">
        <f>50000</f>
        <v>50000.0</v>
      </c>
      <c r="V130" s="32" t="n">
        <f>218245430</f>
        <v>2.1824543E8</v>
      </c>
      <c r="W130" s="32" t="n">
        <f>196857620</f>
        <v>1.9685762E8</v>
      </c>
      <c r="X130" s="36" t="n">
        <f>10</f>
        <v>10.0</v>
      </c>
    </row>
    <row r="131">
      <c r="A131" s="27" t="s">
        <v>42</v>
      </c>
      <c r="B131" s="27" t="s">
        <v>436</v>
      </c>
      <c r="C131" s="27" t="s">
        <v>437</v>
      </c>
      <c r="D131" s="27" t="s">
        <v>438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4458</f>
        <v>4458.0</v>
      </c>
      <c r="L131" s="34" t="s">
        <v>48</v>
      </c>
      <c r="M131" s="33" t="n">
        <f>4487</f>
        <v>4487.0</v>
      </c>
      <c r="N131" s="34" t="s">
        <v>49</v>
      </c>
      <c r="O131" s="33" t="n">
        <f>4255</f>
        <v>4255.0</v>
      </c>
      <c r="P131" s="34" t="s">
        <v>50</v>
      </c>
      <c r="Q131" s="33" t="n">
        <f>4432</f>
        <v>4432.0</v>
      </c>
      <c r="R131" s="34" t="s">
        <v>51</v>
      </c>
      <c r="S131" s="35" t="n">
        <f>4393.75</f>
        <v>4393.75</v>
      </c>
      <c r="T131" s="32" t="n">
        <f>80230</f>
        <v>80230.0</v>
      </c>
      <c r="U131" s="32" t="n">
        <f>39500</f>
        <v>39500.0</v>
      </c>
      <c r="V131" s="32" t="n">
        <f>349524740</f>
        <v>3.4952474E8</v>
      </c>
      <c r="W131" s="32" t="n">
        <f>171544550</f>
        <v>1.7154455E8</v>
      </c>
      <c r="X131" s="36" t="n">
        <f>16</f>
        <v>16.0</v>
      </c>
    </row>
    <row r="132">
      <c r="A132" s="27" t="s">
        <v>42</v>
      </c>
      <c r="B132" s="27" t="s">
        <v>439</v>
      </c>
      <c r="C132" s="27" t="s">
        <v>440</v>
      </c>
      <c r="D132" s="27" t="s">
        <v>441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2745</f>
        <v>2745.0</v>
      </c>
      <c r="L132" s="34" t="s">
        <v>48</v>
      </c>
      <c r="M132" s="33" t="n">
        <f>2870</f>
        <v>2870.0</v>
      </c>
      <c r="N132" s="34" t="s">
        <v>51</v>
      </c>
      <c r="O132" s="33" t="n">
        <f>2620</f>
        <v>2620.0</v>
      </c>
      <c r="P132" s="34" t="s">
        <v>51</v>
      </c>
      <c r="Q132" s="33" t="n">
        <f>2776.5</f>
        <v>2776.5</v>
      </c>
      <c r="R132" s="34" t="s">
        <v>51</v>
      </c>
      <c r="S132" s="35" t="n">
        <f>2731.38</f>
        <v>2731.38</v>
      </c>
      <c r="T132" s="32" t="n">
        <f>222150</f>
        <v>222150.0</v>
      </c>
      <c r="U132" s="32" t="n">
        <f>171000</f>
        <v>171000.0</v>
      </c>
      <c r="V132" s="32" t="n">
        <f>605978340</f>
        <v>6.0597834E8</v>
      </c>
      <c r="W132" s="32" t="n">
        <f>464665200</f>
        <v>4.646652E8</v>
      </c>
      <c r="X132" s="36" t="n">
        <f>8</f>
        <v>8.0</v>
      </c>
    </row>
    <row r="133">
      <c r="A133" s="27" t="s">
        <v>42</v>
      </c>
      <c r="B133" s="27" t="s">
        <v>442</v>
      </c>
      <c r="C133" s="27" t="s">
        <v>443</v>
      </c>
      <c r="D133" s="27" t="s">
        <v>444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761</f>
        <v>761.0</v>
      </c>
      <c r="L133" s="34" t="s">
        <v>48</v>
      </c>
      <c r="M133" s="33" t="n">
        <f>773.2</f>
        <v>773.2</v>
      </c>
      <c r="N133" s="34" t="s">
        <v>51</v>
      </c>
      <c r="O133" s="33" t="n">
        <f>738.5</f>
        <v>738.5</v>
      </c>
      <c r="P133" s="34" t="s">
        <v>73</v>
      </c>
      <c r="Q133" s="33" t="n">
        <f>773.2</f>
        <v>773.2</v>
      </c>
      <c r="R133" s="34" t="s">
        <v>51</v>
      </c>
      <c r="S133" s="35" t="n">
        <f>755.95</f>
        <v>755.95</v>
      </c>
      <c r="T133" s="32" t="n">
        <f>40662650</f>
        <v>4.066265E7</v>
      </c>
      <c r="U133" s="32" t="n">
        <f>3401250</f>
        <v>3401250.0</v>
      </c>
      <c r="V133" s="32" t="n">
        <f>30649367612</f>
        <v>3.0649367612E10</v>
      </c>
      <c r="W133" s="32" t="n">
        <f>2545578233</f>
        <v>2.545578233E9</v>
      </c>
      <c r="X133" s="36" t="n">
        <f>18</f>
        <v>18.0</v>
      </c>
    </row>
    <row r="134">
      <c r="A134" s="27" t="s">
        <v>42</v>
      </c>
      <c r="B134" s="27" t="s">
        <v>445</v>
      </c>
      <c r="C134" s="27" t="s">
        <v>446</v>
      </c>
      <c r="D134" s="27" t="s">
        <v>447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311.8</f>
        <v>311.8</v>
      </c>
      <c r="L134" s="34" t="s">
        <v>48</v>
      </c>
      <c r="M134" s="33" t="n">
        <f>320.5</f>
        <v>320.5</v>
      </c>
      <c r="N134" s="34" t="s">
        <v>51</v>
      </c>
      <c r="O134" s="33" t="n">
        <f>309.4</f>
        <v>309.4</v>
      </c>
      <c r="P134" s="34" t="s">
        <v>89</v>
      </c>
      <c r="Q134" s="33" t="n">
        <f>319.3</f>
        <v>319.3</v>
      </c>
      <c r="R134" s="34" t="s">
        <v>51</v>
      </c>
      <c r="S134" s="35" t="n">
        <f>314.72</f>
        <v>314.72</v>
      </c>
      <c r="T134" s="32" t="n">
        <f>7008060</f>
        <v>7008060.0</v>
      </c>
      <c r="U134" s="32" t="n">
        <f>1906260</f>
        <v>1906260.0</v>
      </c>
      <c r="V134" s="32" t="n">
        <f>2205995073</f>
        <v>2.205995073E9</v>
      </c>
      <c r="W134" s="32" t="n">
        <f>597438079</f>
        <v>5.97438079E8</v>
      </c>
      <c r="X134" s="36" t="n">
        <f>18</f>
        <v>18.0</v>
      </c>
    </row>
    <row r="135">
      <c r="A135" s="27" t="s">
        <v>42</v>
      </c>
      <c r="B135" s="27" t="s">
        <v>448</v>
      </c>
      <c r="C135" s="27" t="s">
        <v>449</v>
      </c>
      <c r="D135" s="27" t="s">
        <v>450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6287</f>
        <v>6287.0</v>
      </c>
      <c r="L135" s="34" t="s">
        <v>48</v>
      </c>
      <c r="M135" s="33" t="n">
        <f>6400</f>
        <v>6400.0</v>
      </c>
      <c r="N135" s="34" t="s">
        <v>51</v>
      </c>
      <c r="O135" s="33" t="n">
        <f>6130</f>
        <v>6130.0</v>
      </c>
      <c r="P135" s="34" t="s">
        <v>50</v>
      </c>
      <c r="Q135" s="33" t="n">
        <f>6376</f>
        <v>6376.0</v>
      </c>
      <c r="R135" s="34" t="s">
        <v>51</v>
      </c>
      <c r="S135" s="35" t="n">
        <f>6267.61</f>
        <v>6267.61</v>
      </c>
      <c r="T135" s="32" t="n">
        <f>36254</f>
        <v>36254.0</v>
      </c>
      <c r="U135" s="32" t="n">
        <f>3200</f>
        <v>3200.0</v>
      </c>
      <c r="V135" s="32" t="n">
        <f>227159000</f>
        <v>2.27159E8</v>
      </c>
      <c r="W135" s="32" t="n">
        <f>20534080</f>
        <v>2.053408E7</v>
      </c>
      <c r="X135" s="36" t="n">
        <f>18</f>
        <v>18.0</v>
      </c>
    </row>
    <row r="136">
      <c r="A136" s="27" t="s">
        <v>42</v>
      </c>
      <c r="B136" s="27" t="s">
        <v>451</v>
      </c>
      <c r="C136" s="27" t="s">
        <v>452</v>
      </c>
      <c r="D136" s="27" t="s">
        <v>453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3555</f>
        <v>3555.0</v>
      </c>
      <c r="L136" s="34" t="s">
        <v>48</v>
      </c>
      <c r="M136" s="33" t="n">
        <f>3620</f>
        <v>3620.0</v>
      </c>
      <c r="N136" s="34" t="s">
        <v>61</v>
      </c>
      <c r="O136" s="33" t="n">
        <f>3421</f>
        <v>3421.0</v>
      </c>
      <c r="P136" s="34" t="s">
        <v>50</v>
      </c>
      <c r="Q136" s="33" t="n">
        <f>3553</f>
        <v>3553.0</v>
      </c>
      <c r="R136" s="34" t="s">
        <v>51</v>
      </c>
      <c r="S136" s="35" t="n">
        <f>3519.22</f>
        <v>3519.22</v>
      </c>
      <c r="T136" s="32" t="n">
        <f>261022</f>
        <v>261022.0</v>
      </c>
      <c r="U136" s="32" t="n">
        <f>144100</f>
        <v>144100.0</v>
      </c>
      <c r="V136" s="32" t="n">
        <f>916331024</f>
        <v>9.16331024E8</v>
      </c>
      <c r="W136" s="32" t="n">
        <f>503491780</f>
        <v>5.0349178E8</v>
      </c>
      <c r="X136" s="36" t="n">
        <f>18</f>
        <v>18.0</v>
      </c>
    </row>
    <row r="137">
      <c r="A137" s="27" t="s">
        <v>42</v>
      </c>
      <c r="B137" s="27" t="s">
        <v>454</v>
      </c>
      <c r="C137" s="27" t="s">
        <v>455</v>
      </c>
      <c r="D137" s="27" t="s">
        <v>456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3294</f>
        <v>3294.0</v>
      </c>
      <c r="L137" s="34" t="s">
        <v>48</v>
      </c>
      <c r="M137" s="33" t="n">
        <f>3405</f>
        <v>3405.0</v>
      </c>
      <c r="N137" s="34" t="s">
        <v>51</v>
      </c>
      <c r="O137" s="33" t="n">
        <f>3264</f>
        <v>3264.0</v>
      </c>
      <c r="P137" s="34" t="s">
        <v>89</v>
      </c>
      <c r="Q137" s="33" t="n">
        <f>3404</f>
        <v>3404.0</v>
      </c>
      <c r="R137" s="34" t="s">
        <v>51</v>
      </c>
      <c r="S137" s="35" t="n">
        <f>3332.28</f>
        <v>3332.28</v>
      </c>
      <c r="T137" s="32" t="n">
        <f>238826</f>
        <v>238826.0</v>
      </c>
      <c r="U137" s="32" t="str">
        <f>"－"</f>
        <v>－</v>
      </c>
      <c r="V137" s="32" t="n">
        <f>794605033</f>
        <v>7.94605033E8</v>
      </c>
      <c r="W137" s="32" t="str">
        <f>"－"</f>
        <v>－</v>
      </c>
      <c r="X137" s="36" t="n">
        <f>18</f>
        <v>18.0</v>
      </c>
    </row>
    <row r="138">
      <c r="A138" s="27" t="s">
        <v>42</v>
      </c>
      <c r="B138" s="27" t="s">
        <v>457</v>
      </c>
      <c r="C138" s="27" t="s">
        <v>458</v>
      </c>
      <c r="D138" s="27" t="s">
        <v>459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11440</f>
        <v>11440.0</v>
      </c>
      <c r="L138" s="34" t="s">
        <v>48</v>
      </c>
      <c r="M138" s="33" t="n">
        <f>11930</f>
        <v>11930.0</v>
      </c>
      <c r="N138" s="34" t="s">
        <v>69</v>
      </c>
      <c r="O138" s="33" t="n">
        <f>11430</f>
        <v>11430.0</v>
      </c>
      <c r="P138" s="34" t="s">
        <v>50</v>
      </c>
      <c r="Q138" s="33" t="n">
        <f>11825</f>
        <v>11825.0</v>
      </c>
      <c r="R138" s="34" t="s">
        <v>51</v>
      </c>
      <c r="S138" s="35" t="n">
        <f>11670.56</f>
        <v>11670.56</v>
      </c>
      <c r="T138" s="32" t="n">
        <f>665516</f>
        <v>665516.0</v>
      </c>
      <c r="U138" s="32" t="n">
        <f>527345</f>
        <v>527345.0</v>
      </c>
      <c r="V138" s="32" t="n">
        <f>7733369933</f>
        <v>7.733369933E9</v>
      </c>
      <c r="W138" s="32" t="n">
        <f>6123012308</f>
        <v>6.123012308E9</v>
      </c>
      <c r="X138" s="36" t="n">
        <f>18</f>
        <v>18.0</v>
      </c>
    </row>
    <row r="139">
      <c r="A139" s="27" t="s">
        <v>42</v>
      </c>
      <c r="B139" s="27" t="s">
        <v>460</v>
      </c>
      <c r="C139" s="27" t="s">
        <v>461</v>
      </c>
      <c r="D139" s="27" t="s">
        <v>462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3057</f>
        <v>3057.0</v>
      </c>
      <c r="L139" s="34" t="s">
        <v>48</v>
      </c>
      <c r="M139" s="33" t="n">
        <f>3082</f>
        <v>3082.0</v>
      </c>
      <c r="N139" s="34" t="s">
        <v>73</v>
      </c>
      <c r="O139" s="33" t="n">
        <f>2946</f>
        <v>2946.0</v>
      </c>
      <c r="P139" s="34" t="s">
        <v>49</v>
      </c>
      <c r="Q139" s="33" t="n">
        <f>2987</f>
        <v>2987.0</v>
      </c>
      <c r="R139" s="34" t="s">
        <v>51</v>
      </c>
      <c r="S139" s="35" t="n">
        <f>3012.89</f>
        <v>3012.89</v>
      </c>
      <c r="T139" s="32" t="n">
        <f>2416704</f>
        <v>2416704.0</v>
      </c>
      <c r="U139" s="32" t="n">
        <f>36520</f>
        <v>36520.0</v>
      </c>
      <c r="V139" s="32" t="n">
        <f>7279539811</f>
        <v>7.279539811E9</v>
      </c>
      <c r="W139" s="32" t="n">
        <f>109439249</f>
        <v>1.09439249E8</v>
      </c>
      <c r="X139" s="36" t="n">
        <f>18</f>
        <v>18.0</v>
      </c>
    </row>
    <row r="140">
      <c r="A140" s="27" t="s">
        <v>42</v>
      </c>
      <c r="B140" s="27" t="s">
        <v>463</v>
      </c>
      <c r="C140" s="27" t="s">
        <v>464</v>
      </c>
      <c r="D140" s="27" t="s">
        <v>465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57700</f>
        <v>57700.0</v>
      </c>
      <c r="L140" s="34" t="s">
        <v>48</v>
      </c>
      <c r="M140" s="33" t="n">
        <f>60980</f>
        <v>60980.0</v>
      </c>
      <c r="N140" s="34" t="s">
        <v>51</v>
      </c>
      <c r="O140" s="33" t="n">
        <f>56090</f>
        <v>56090.0</v>
      </c>
      <c r="P140" s="34" t="s">
        <v>50</v>
      </c>
      <c r="Q140" s="33" t="n">
        <f>60800</f>
        <v>60800.0</v>
      </c>
      <c r="R140" s="34" t="s">
        <v>51</v>
      </c>
      <c r="S140" s="35" t="n">
        <f>58947.78</f>
        <v>58947.78</v>
      </c>
      <c r="T140" s="32" t="n">
        <f>17603</f>
        <v>17603.0</v>
      </c>
      <c r="U140" s="32" t="str">
        <f>"－"</f>
        <v>－</v>
      </c>
      <c r="V140" s="32" t="n">
        <f>1037958350</f>
        <v>1.03795835E9</v>
      </c>
      <c r="W140" s="32" t="str">
        <f>"－"</f>
        <v>－</v>
      </c>
      <c r="X140" s="36" t="n">
        <f>18</f>
        <v>18.0</v>
      </c>
    </row>
    <row r="141">
      <c r="A141" s="27" t="s">
        <v>42</v>
      </c>
      <c r="B141" s="27" t="s">
        <v>466</v>
      </c>
      <c r="C141" s="27" t="s">
        <v>467</v>
      </c>
      <c r="D141" s="27" t="s">
        <v>468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6920</f>
        <v>6920.0</v>
      </c>
      <c r="L141" s="34" t="s">
        <v>48</v>
      </c>
      <c r="M141" s="33" t="n">
        <f>7763</f>
        <v>7763.0</v>
      </c>
      <c r="N141" s="34" t="s">
        <v>51</v>
      </c>
      <c r="O141" s="33" t="n">
        <f>6518</f>
        <v>6518.0</v>
      </c>
      <c r="P141" s="34" t="s">
        <v>50</v>
      </c>
      <c r="Q141" s="33" t="n">
        <f>7763</f>
        <v>7763.0</v>
      </c>
      <c r="R141" s="34" t="s">
        <v>51</v>
      </c>
      <c r="S141" s="35" t="n">
        <f>7192</f>
        <v>7192.0</v>
      </c>
      <c r="T141" s="32" t="n">
        <f>329420</f>
        <v>329420.0</v>
      </c>
      <c r="U141" s="32" t="str">
        <f>"－"</f>
        <v>－</v>
      </c>
      <c r="V141" s="32" t="n">
        <f>2365249090</f>
        <v>2.36524909E9</v>
      </c>
      <c r="W141" s="32" t="str">
        <f>"－"</f>
        <v>－</v>
      </c>
      <c r="X141" s="36" t="n">
        <f>18</f>
        <v>18.0</v>
      </c>
    </row>
    <row r="142">
      <c r="A142" s="27" t="s">
        <v>42</v>
      </c>
      <c r="B142" s="27" t="s">
        <v>469</v>
      </c>
      <c r="C142" s="27" t="s">
        <v>470</v>
      </c>
      <c r="D142" s="27" t="s">
        <v>471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22410</f>
        <v>22410.0</v>
      </c>
      <c r="L142" s="34" t="s">
        <v>48</v>
      </c>
      <c r="M142" s="33" t="n">
        <f>23555</f>
        <v>23555.0</v>
      </c>
      <c r="N142" s="34" t="s">
        <v>51</v>
      </c>
      <c r="O142" s="33" t="n">
        <f>21200</f>
        <v>21200.0</v>
      </c>
      <c r="P142" s="34" t="s">
        <v>50</v>
      </c>
      <c r="Q142" s="33" t="n">
        <f>23430</f>
        <v>23430.0</v>
      </c>
      <c r="R142" s="34" t="s">
        <v>51</v>
      </c>
      <c r="S142" s="35" t="n">
        <f>22215</f>
        <v>22215.0</v>
      </c>
      <c r="T142" s="32" t="n">
        <f>39994</f>
        <v>39994.0</v>
      </c>
      <c r="U142" s="32" t="str">
        <f>"－"</f>
        <v>－</v>
      </c>
      <c r="V142" s="32" t="n">
        <f>887993455</f>
        <v>8.87993455E8</v>
      </c>
      <c r="W142" s="32" t="str">
        <f>"－"</f>
        <v>－</v>
      </c>
      <c r="X142" s="36" t="n">
        <f>18</f>
        <v>18.0</v>
      </c>
    </row>
    <row r="143">
      <c r="A143" s="27" t="s">
        <v>42</v>
      </c>
      <c r="B143" s="27" t="s">
        <v>472</v>
      </c>
      <c r="C143" s="27" t="s">
        <v>473</v>
      </c>
      <c r="D143" s="27" t="s">
        <v>474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20190</f>
        <v>20190.0</v>
      </c>
      <c r="L143" s="34" t="s">
        <v>48</v>
      </c>
      <c r="M143" s="33" t="n">
        <f>21030</f>
        <v>21030.0</v>
      </c>
      <c r="N143" s="34" t="s">
        <v>49</v>
      </c>
      <c r="O143" s="33" t="n">
        <f>19200</f>
        <v>19200.0</v>
      </c>
      <c r="P143" s="34" t="s">
        <v>89</v>
      </c>
      <c r="Q143" s="33" t="n">
        <f>20100</f>
        <v>20100.0</v>
      </c>
      <c r="R143" s="34" t="s">
        <v>51</v>
      </c>
      <c r="S143" s="35" t="n">
        <f>19978.06</f>
        <v>19978.06</v>
      </c>
      <c r="T143" s="32" t="n">
        <f>16477</f>
        <v>16477.0</v>
      </c>
      <c r="U143" s="32" t="str">
        <f>"－"</f>
        <v>－</v>
      </c>
      <c r="V143" s="32" t="n">
        <f>328439080</f>
        <v>3.2843908E8</v>
      </c>
      <c r="W143" s="32" t="str">
        <f>"－"</f>
        <v>－</v>
      </c>
      <c r="X143" s="36" t="n">
        <f>18</f>
        <v>18.0</v>
      </c>
    </row>
    <row r="144">
      <c r="A144" s="27" t="s">
        <v>42</v>
      </c>
      <c r="B144" s="27" t="s">
        <v>475</v>
      </c>
      <c r="C144" s="27" t="s">
        <v>476</v>
      </c>
      <c r="D144" s="27" t="s">
        <v>477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37790</f>
        <v>37790.0</v>
      </c>
      <c r="L144" s="34" t="s">
        <v>48</v>
      </c>
      <c r="M144" s="33" t="n">
        <f>39890</f>
        <v>39890.0</v>
      </c>
      <c r="N144" s="34" t="s">
        <v>51</v>
      </c>
      <c r="O144" s="33" t="n">
        <f>35950</f>
        <v>35950.0</v>
      </c>
      <c r="P144" s="34" t="s">
        <v>50</v>
      </c>
      <c r="Q144" s="33" t="n">
        <f>39600</f>
        <v>39600.0</v>
      </c>
      <c r="R144" s="34" t="s">
        <v>51</v>
      </c>
      <c r="S144" s="35" t="n">
        <f>37982.22</f>
        <v>37982.22</v>
      </c>
      <c r="T144" s="32" t="n">
        <f>3848</f>
        <v>3848.0</v>
      </c>
      <c r="U144" s="32" t="str">
        <f>"－"</f>
        <v>－</v>
      </c>
      <c r="V144" s="32" t="n">
        <f>146667270</f>
        <v>1.4666727E8</v>
      </c>
      <c r="W144" s="32" t="str">
        <f>"－"</f>
        <v>－</v>
      </c>
      <c r="X144" s="36" t="n">
        <f>18</f>
        <v>18.0</v>
      </c>
    </row>
    <row r="145">
      <c r="A145" s="27" t="s">
        <v>42</v>
      </c>
      <c r="B145" s="27" t="s">
        <v>478</v>
      </c>
      <c r="C145" s="27" t="s">
        <v>479</v>
      </c>
      <c r="D145" s="27" t="s">
        <v>480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58750</f>
        <v>58750.0</v>
      </c>
      <c r="L145" s="34" t="s">
        <v>48</v>
      </c>
      <c r="M145" s="33" t="n">
        <f>59900</f>
        <v>59900.0</v>
      </c>
      <c r="N145" s="34" t="s">
        <v>61</v>
      </c>
      <c r="O145" s="33" t="n">
        <f>58270</f>
        <v>58270.0</v>
      </c>
      <c r="P145" s="34" t="s">
        <v>89</v>
      </c>
      <c r="Q145" s="33" t="n">
        <f>59900</f>
        <v>59900.0</v>
      </c>
      <c r="R145" s="34" t="s">
        <v>51</v>
      </c>
      <c r="S145" s="35" t="n">
        <f>59172.22</f>
        <v>59172.22</v>
      </c>
      <c r="T145" s="32" t="n">
        <f>3530</f>
        <v>3530.0</v>
      </c>
      <c r="U145" s="32" t="n">
        <f>30</f>
        <v>30.0</v>
      </c>
      <c r="V145" s="32" t="n">
        <f>209168402</f>
        <v>2.09168402E8</v>
      </c>
      <c r="W145" s="32" t="n">
        <f>1781902</f>
        <v>1781902.0</v>
      </c>
      <c r="X145" s="36" t="n">
        <f>18</f>
        <v>18.0</v>
      </c>
    </row>
    <row r="146">
      <c r="A146" s="27" t="s">
        <v>42</v>
      </c>
      <c r="B146" s="27" t="s">
        <v>481</v>
      </c>
      <c r="C146" s="27" t="s">
        <v>482</v>
      </c>
      <c r="D146" s="27" t="s">
        <v>483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355</f>
        <v>355.0</v>
      </c>
      <c r="L146" s="34" t="s">
        <v>48</v>
      </c>
      <c r="M146" s="33" t="n">
        <f>367.7</f>
        <v>367.7</v>
      </c>
      <c r="N146" s="34" t="s">
        <v>61</v>
      </c>
      <c r="O146" s="33" t="n">
        <f>341.1</f>
        <v>341.1</v>
      </c>
      <c r="P146" s="34" t="s">
        <v>89</v>
      </c>
      <c r="Q146" s="33" t="n">
        <f>363.4</f>
        <v>363.4</v>
      </c>
      <c r="R146" s="34" t="s">
        <v>51</v>
      </c>
      <c r="S146" s="35" t="n">
        <f>357.88</f>
        <v>357.88</v>
      </c>
      <c r="T146" s="32" t="n">
        <f>17779310</f>
        <v>1.777931E7</v>
      </c>
      <c r="U146" s="32" t="n">
        <f>372620</f>
        <v>372620.0</v>
      </c>
      <c r="V146" s="32" t="n">
        <f>6358964411</f>
        <v>6.358964411E9</v>
      </c>
      <c r="W146" s="32" t="n">
        <f>133396494</f>
        <v>1.33396494E8</v>
      </c>
      <c r="X146" s="36" t="n">
        <f>18</f>
        <v>18.0</v>
      </c>
    </row>
    <row r="147">
      <c r="A147" s="27" t="s">
        <v>42</v>
      </c>
      <c r="B147" s="27" t="s">
        <v>484</v>
      </c>
      <c r="C147" s="27" t="s">
        <v>485</v>
      </c>
      <c r="D147" s="27" t="s">
        <v>486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59120</f>
        <v>59120.0</v>
      </c>
      <c r="L147" s="34" t="s">
        <v>48</v>
      </c>
      <c r="M147" s="33" t="n">
        <f>70000</f>
        <v>70000.0</v>
      </c>
      <c r="N147" s="34" t="s">
        <v>249</v>
      </c>
      <c r="O147" s="33" t="n">
        <f>58680</f>
        <v>58680.0</v>
      </c>
      <c r="P147" s="34" t="s">
        <v>89</v>
      </c>
      <c r="Q147" s="33" t="n">
        <f>61500</f>
        <v>61500.0</v>
      </c>
      <c r="R147" s="34" t="s">
        <v>51</v>
      </c>
      <c r="S147" s="35" t="n">
        <f>61090.63</f>
        <v>61090.63</v>
      </c>
      <c r="T147" s="32" t="n">
        <f>800</f>
        <v>800.0</v>
      </c>
      <c r="U147" s="32" t="n">
        <f>10</f>
        <v>10.0</v>
      </c>
      <c r="V147" s="32" t="n">
        <f>50349300</f>
        <v>5.03493E7</v>
      </c>
      <c r="W147" s="32" t="n">
        <f>600800</f>
        <v>600800.0</v>
      </c>
      <c r="X147" s="36" t="n">
        <f>16</f>
        <v>16.0</v>
      </c>
    </row>
    <row r="148">
      <c r="A148" s="27" t="s">
        <v>42</v>
      </c>
      <c r="B148" s="27" t="s">
        <v>487</v>
      </c>
      <c r="C148" s="27" t="s">
        <v>488</v>
      </c>
      <c r="D148" s="27" t="s">
        <v>489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7242</f>
        <v>7242.0</v>
      </c>
      <c r="L148" s="34" t="s">
        <v>48</v>
      </c>
      <c r="M148" s="33" t="n">
        <f>7360</f>
        <v>7360.0</v>
      </c>
      <c r="N148" s="34" t="s">
        <v>51</v>
      </c>
      <c r="O148" s="33" t="n">
        <f>7058</f>
        <v>7058.0</v>
      </c>
      <c r="P148" s="34" t="s">
        <v>50</v>
      </c>
      <c r="Q148" s="33" t="n">
        <f>7360</f>
        <v>7360.0</v>
      </c>
      <c r="R148" s="34" t="s">
        <v>51</v>
      </c>
      <c r="S148" s="35" t="n">
        <f>7211.5</f>
        <v>7211.5</v>
      </c>
      <c r="T148" s="32" t="n">
        <f>88260</f>
        <v>88260.0</v>
      </c>
      <c r="U148" s="32" t="n">
        <f>336</f>
        <v>336.0</v>
      </c>
      <c r="V148" s="32" t="n">
        <f>636045653</f>
        <v>6.36045653E8</v>
      </c>
      <c r="W148" s="32" t="n">
        <f>2449014</f>
        <v>2449014.0</v>
      </c>
      <c r="X148" s="36" t="n">
        <f>18</f>
        <v>18.0</v>
      </c>
    </row>
    <row r="149">
      <c r="A149" s="27" t="s">
        <v>42</v>
      </c>
      <c r="B149" s="27" t="s">
        <v>490</v>
      </c>
      <c r="C149" s="27" t="s">
        <v>491</v>
      </c>
      <c r="D149" s="27" t="s">
        <v>492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2720</f>
        <v>2720.0</v>
      </c>
      <c r="L149" s="34" t="s">
        <v>48</v>
      </c>
      <c r="M149" s="33" t="n">
        <f>2760</f>
        <v>2760.0</v>
      </c>
      <c r="N149" s="34" t="s">
        <v>49</v>
      </c>
      <c r="O149" s="33" t="n">
        <f>2617</f>
        <v>2617.0</v>
      </c>
      <c r="P149" s="34" t="s">
        <v>50</v>
      </c>
      <c r="Q149" s="33" t="n">
        <f>2701</f>
        <v>2701.0</v>
      </c>
      <c r="R149" s="34" t="s">
        <v>51</v>
      </c>
      <c r="S149" s="35" t="n">
        <f>2699.28</f>
        <v>2699.28</v>
      </c>
      <c r="T149" s="32" t="n">
        <f>138935</f>
        <v>138935.0</v>
      </c>
      <c r="U149" s="32" t="n">
        <f>20051</f>
        <v>20051.0</v>
      </c>
      <c r="V149" s="32" t="n">
        <f>372533444</f>
        <v>3.72533444E8</v>
      </c>
      <c r="W149" s="32" t="n">
        <f>52769104</f>
        <v>5.2769104E7</v>
      </c>
      <c r="X149" s="36" t="n">
        <f>18</f>
        <v>18.0</v>
      </c>
    </row>
    <row r="150">
      <c r="A150" s="27" t="s">
        <v>42</v>
      </c>
      <c r="B150" s="27" t="s">
        <v>493</v>
      </c>
      <c r="C150" s="27" t="s">
        <v>494</v>
      </c>
      <c r="D150" s="27" t="s">
        <v>495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1779.5</f>
        <v>1779.5</v>
      </c>
      <c r="L150" s="34" t="s">
        <v>48</v>
      </c>
      <c r="M150" s="33" t="n">
        <f>2079</f>
        <v>2079.0</v>
      </c>
      <c r="N150" s="34" t="s">
        <v>73</v>
      </c>
      <c r="O150" s="33" t="n">
        <f>1779.5</f>
        <v>1779.5</v>
      </c>
      <c r="P150" s="34" t="s">
        <v>48</v>
      </c>
      <c r="Q150" s="33" t="n">
        <f>1955</f>
        <v>1955.0</v>
      </c>
      <c r="R150" s="34" t="s">
        <v>51</v>
      </c>
      <c r="S150" s="35" t="n">
        <f>1938.47</f>
        <v>1938.47</v>
      </c>
      <c r="T150" s="32" t="n">
        <f>1970</f>
        <v>1970.0</v>
      </c>
      <c r="U150" s="32" t="str">
        <f>"－"</f>
        <v>－</v>
      </c>
      <c r="V150" s="32" t="n">
        <f>3879985</f>
        <v>3879985.0</v>
      </c>
      <c r="W150" s="32" t="str">
        <f>"－"</f>
        <v>－</v>
      </c>
      <c r="X150" s="36" t="n">
        <f>17</f>
        <v>17.0</v>
      </c>
    </row>
    <row r="151">
      <c r="A151" s="27" t="s">
        <v>42</v>
      </c>
      <c r="B151" s="27" t="s">
        <v>496</v>
      </c>
      <c r="C151" s="27" t="s">
        <v>497</v>
      </c>
      <c r="D151" s="27" t="s">
        <v>498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508</f>
        <v>508.0</v>
      </c>
      <c r="L151" s="34" t="s">
        <v>48</v>
      </c>
      <c r="M151" s="33" t="n">
        <f>558</f>
        <v>558.0</v>
      </c>
      <c r="N151" s="34" t="s">
        <v>114</v>
      </c>
      <c r="O151" s="33" t="n">
        <f>508</f>
        <v>508.0</v>
      </c>
      <c r="P151" s="34" t="s">
        <v>48</v>
      </c>
      <c r="Q151" s="33" t="n">
        <f>528</f>
        <v>528.0</v>
      </c>
      <c r="R151" s="34" t="s">
        <v>51</v>
      </c>
      <c r="S151" s="35" t="n">
        <f>535.23</f>
        <v>535.23</v>
      </c>
      <c r="T151" s="32" t="n">
        <f>41700</f>
        <v>41700.0</v>
      </c>
      <c r="U151" s="32" t="str">
        <f>"－"</f>
        <v>－</v>
      </c>
      <c r="V151" s="32" t="n">
        <f>21892713</f>
        <v>2.1892713E7</v>
      </c>
      <c r="W151" s="32" t="str">
        <f>"－"</f>
        <v>－</v>
      </c>
      <c r="X151" s="36" t="n">
        <f>18</f>
        <v>18.0</v>
      </c>
    </row>
    <row r="152">
      <c r="A152" s="27" t="s">
        <v>42</v>
      </c>
      <c r="B152" s="27" t="s">
        <v>499</v>
      </c>
      <c r="C152" s="27" t="s">
        <v>500</v>
      </c>
      <c r="D152" s="27" t="s">
        <v>501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2569</f>
        <v>2569.0</v>
      </c>
      <c r="L152" s="34" t="s">
        <v>48</v>
      </c>
      <c r="M152" s="33" t="n">
        <f>2600</f>
        <v>2600.0</v>
      </c>
      <c r="N152" s="34" t="s">
        <v>191</v>
      </c>
      <c r="O152" s="33" t="n">
        <f>2440</f>
        <v>2440.0</v>
      </c>
      <c r="P152" s="34" t="s">
        <v>201</v>
      </c>
      <c r="Q152" s="33" t="n">
        <f>2589</f>
        <v>2589.0</v>
      </c>
      <c r="R152" s="34" t="s">
        <v>51</v>
      </c>
      <c r="S152" s="35" t="n">
        <f>2529.12</f>
        <v>2529.12</v>
      </c>
      <c r="T152" s="32" t="n">
        <f>2460</f>
        <v>2460.0</v>
      </c>
      <c r="U152" s="32" t="str">
        <f>"－"</f>
        <v>－</v>
      </c>
      <c r="V152" s="32" t="n">
        <f>6150285</f>
        <v>6150285.0</v>
      </c>
      <c r="W152" s="32" t="str">
        <f>"－"</f>
        <v>－</v>
      </c>
      <c r="X152" s="36" t="n">
        <f>17</f>
        <v>17.0</v>
      </c>
    </row>
    <row r="153">
      <c r="A153" s="27" t="s">
        <v>42</v>
      </c>
      <c r="B153" s="27" t="s">
        <v>502</v>
      </c>
      <c r="C153" s="27" t="s">
        <v>503</v>
      </c>
      <c r="D153" s="27" t="s">
        <v>504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947.6</f>
        <v>947.6</v>
      </c>
      <c r="L153" s="34" t="s">
        <v>48</v>
      </c>
      <c r="M153" s="33" t="n">
        <f>975.2</f>
        <v>975.2</v>
      </c>
      <c r="N153" s="34" t="s">
        <v>51</v>
      </c>
      <c r="O153" s="33" t="n">
        <f>930</f>
        <v>930.0</v>
      </c>
      <c r="P153" s="34" t="s">
        <v>89</v>
      </c>
      <c r="Q153" s="33" t="n">
        <f>969.8</f>
        <v>969.8</v>
      </c>
      <c r="R153" s="34" t="s">
        <v>51</v>
      </c>
      <c r="S153" s="35" t="n">
        <f>956.36</f>
        <v>956.36</v>
      </c>
      <c r="T153" s="32" t="n">
        <f>20180</f>
        <v>20180.0</v>
      </c>
      <c r="U153" s="32" t="str">
        <f>"－"</f>
        <v>－</v>
      </c>
      <c r="V153" s="32" t="n">
        <f>19320183</f>
        <v>1.9320183E7</v>
      </c>
      <c r="W153" s="32" t="str">
        <f>"－"</f>
        <v>－</v>
      </c>
      <c r="X153" s="36" t="n">
        <f>18</f>
        <v>18.0</v>
      </c>
    </row>
    <row r="154">
      <c r="A154" s="27" t="s">
        <v>42</v>
      </c>
      <c r="B154" s="27" t="s">
        <v>505</v>
      </c>
      <c r="C154" s="27" t="s">
        <v>506</v>
      </c>
      <c r="D154" s="27" t="s">
        <v>507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529</f>
        <v>529.0</v>
      </c>
      <c r="L154" s="34" t="s">
        <v>48</v>
      </c>
      <c r="M154" s="33" t="n">
        <f>542</f>
        <v>542.0</v>
      </c>
      <c r="N154" s="34" t="s">
        <v>73</v>
      </c>
      <c r="O154" s="33" t="n">
        <f>519.2</f>
        <v>519.2</v>
      </c>
      <c r="P154" s="34" t="s">
        <v>89</v>
      </c>
      <c r="Q154" s="33" t="n">
        <f>535.7</f>
        <v>535.7</v>
      </c>
      <c r="R154" s="34" t="s">
        <v>51</v>
      </c>
      <c r="S154" s="35" t="n">
        <f>532.79</f>
        <v>532.79</v>
      </c>
      <c r="T154" s="32" t="n">
        <f>176280</f>
        <v>176280.0</v>
      </c>
      <c r="U154" s="32" t="str">
        <f>"－"</f>
        <v>－</v>
      </c>
      <c r="V154" s="32" t="n">
        <f>94449093</f>
        <v>9.4449093E7</v>
      </c>
      <c r="W154" s="32" t="str">
        <f>"－"</f>
        <v>－</v>
      </c>
      <c r="X154" s="36" t="n">
        <f>18</f>
        <v>18.0</v>
      </c>
    </row>
    <row r="155">
      <c r="A155" s="27" t="s">
        <v>42</v>
      </c>
      <c r="B155" s="27" t="s">
        <v>508</v>
      </c>
      <c r="C155" s="27" t="s">
        <v>509</v>
      </c>
      <c r="D155" s="27" t="s">
        <v>510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1035</f>
        <v>1035.0</v>
      </c>
      <c r="L155" s="34" t="s">
        <v>48</v>
      </c>
      <c r="M155" s="33" t="n">
        <f>1147</f>
        <v>1147.0</v>
      </c>
      <c r="N155" s="34" t="s">
        <v>61</v>
      </c>
      <c r="O155" s="33" t="n">
        <f>1032</f>
        <v>1032.0</v>
      </c>
      <c r="P155" s="34" t="s">
        <v>48</v>
      </c>
      <c r="Q155" s="33" t="n">
        <f>1110</f>
        <v>1110.0</v>
      </c>
      <c r="R155" s="34" t="s">
        <v>51</v>
      </c>
      <c r="S155" s="35" t="n">
        <f>1096.67</f>
        <v>1096.67</v>
      </c>
      <c r="T155" s="32" t="n">
        <f>990912</f>
        <v>990912.0</v>
      </c>
      <c r="U155" s="32" t="str">
        <f>"－"</f>
        <v>－</v>
      </c>
      <c r="V155" s="32" t="n">
        <f>1086511520</f>
        <v>1.08651152E9</v>
      </c>
      <c r="W155" s="32" t="str">
        <f>"－"</f>
        <v>－</v>
      </c>
      <c r="X155" s="36" t="n">
        <f>18</f>
        <v>18.0</v>
      </c>
    </row>
    <row r="156">
      <c r="A156" s="27" t="s">
        <v>42</v>
      </c>
      <c r="B156" s="27" t="s">
        <v>511</v>
      </c>
      <c r="C156" s="27" t="s">
        <v>512</v>
      </c>
      <c r="D156" s="27" t="s">
        <v>513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1424.5</f>
        <v>1424.5</v>
      </c>
      <c r="L156" s="34" t="s">
        <v>48</v>
      </c>
      <c r="M156" s="33" t="n">
        <f>1447</f>
        <v>1447.0</v>
      </c>
      <c r="N156" s="34" t="s">
        <v>302</v>
      </c>
      <c r="O156" s="33" t="n">
        <f>1363</f>
        <v>1363.0</v>
      </c>
      <c r="P156" s="34" t="s">
        <v>262</v>
      </c>
      <c r="Q156" s="33" t="n">
        <f>1413</f>
        <v>1413.0</v>
      </c>
      <c r="R156" s="34" t="s">
        <v>51</v>
      </c>
      <c r="S156" s="35" t="n">
        <f>1412.97</f>
        <v>1412.97</v>
      </c>
      <c r="T156" s="32" t="n">
        <f>25590</f>
        <v>25590.0</v>
      </c>
      <c r="U156" s="32" t="str">
        <f>"－"</f>
        <v>－</v>
      </c>
      <c r="V156" s="32" t="n">
        <f>36312500</f>
        <v>3.63125E7</v>
      </c>
      <c r="W156" s="32" t="str">
        <f>"－"</f>
        <v>－</v>
      </c>
      <c r="X156" s="36" t="n">
        <f>18</f>
        <v>18.0</v>
      </c>
    </row>
    <row r="157">
      <c r="A157" s="27" t="s">
        <v>42</v>
      </c>
      <c r="B157" s="27" t="s">
        <v>514</v>
      </c>
      <c r="C157" s="27" t="s">
        <v>515</v>
      </c>
      <c r="D157" s="27" t="s">
        <v>516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8170</f>
        <v>8170.0</v>
      </c>
      <c r="L157" s="34" t="s">
        <v>48</v>
      </c>
      <c r="M157" s="33" t="n">
        <f>8655</f>
        <v>8655.0</v>
      </c>
      <c r="N157" s="34" t="s">
        <v>262</v>
      </c>
      <c r="O157" s="33" t="n">
        <f>8075</f>
        <v>8075.0</v>
      </c>
      <c r="P157" s="34" t="s">
        <v>245</v>
      </c>
      <c r="Q157" s="33" t="n">
        <f>8270</f>
        <v>8270.0</v>
      </c>
      <c r="R157" s="34" t="s">
        <v>51</v>
      </c>
      <c r="S157" s="35" t="n">
        <f>8336.78</f>
        <v>8336.78</v>
      </c>
      <c r="T157" s="32" t="n">
        <f>1972</f>
        <v>1972.0</v>
      </c>
      <c r="U157" s="32" t="str">
        <f>"－"</f>
        <v>－</v>
      </c>
      <c r="V157" s="32" t="n">
        <f>16357725</f>
        <v>1.6357725E7</v>
      </c>
      <c r="W157" s="32" t="str">
        <f>"－"</f>
        <v>－</v>
      </c>
      <c r="X157" s="36" t="n">
        <f>18</f>
        <v>18.0</v>
      </c>
    </row>
    <row r="158">
      <c r="A158" s="27" t="s">
        <v>42</v>
      </c>
      <c r="B158" s="27" t="s">
        <v>517</v>
      </c>
      <c r="C158" s="27" t="s">
        <v>518</v>
      </c>
      <c r="D158" s="27" t="s">
        <v>519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100.0</v>
      </c>
      <c r="K158" s="33" t="n">
        <f>572.2</f>
        <v>572.2</v>
      </c>
      <c r="L158" s="34" t="s">
        <v>48</v>
      </c>
      <c r="M158" s="33" t="n">
        <f>588.6</f>
        <v>588.6</v>
      </c>
      <c r="N158" s="34" t="s">
        <v>48</v>
      </c>
      <c r="O158" s="33" t="n">
        <f>555.6</f>
        <v>555.6</v>
      </c>
      <c r="P158" s="34" t="s">
        <v>50</v>
      </c>
      <c r="Q158" s="33" t="n">
        <f>586.8</f>
        <v>586.8</v>
      </c>
      <c r="R158" s="34" t="s">
        <v>51</v>
      </c>
      <c r="S158" s="35" t="n">
        <f>575.35</f>
        <v>575.35</v>
      </c>
      <c r="T158" s="32" t="n">
        <f>38600</f>
        <v>38600.0</v>
      </c>
      <c r="U158" s="32" t="str">
        <f>"－"</f>
        <v>－</v>
      </c>
      <c r="V158" s="32" t="n">
        <f>22031030</f>
        <v>2.203103E7</v>
      </c>
      <c r="W158" s="32" t="str">
        <f>"－"</f>
        <v>－</v>
      </c>
      <c r="X158" s="36" t="n">
        <f>18</f>
        <v>18.0</v>
      </c>
    </row>
    <row r="159">
      <c r="A159" s="27" t="s">
        <v>42</v>
      </c>
      <c r="B159" s="27" t="s">
        <v>520</v>
      </c>
      <c r="C159" s="27" t="s">
        <v>521</v>
      </c>
      <c r="D159" s="27" t="s">
        <v>522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6856</f>
        <v>6856.0</v>
      </c>
      <c r="L159" s="34" t="s">
        <v>48</v>
      </c>
      <c r="M159" s="33" t="n">
        <f>7078</f>
        <v>7078.0</v>
      </c>
      <c r="N159" s="34" t="s">
        <v>69</v>
      </c>
      <c r="O159" s="33" t="n">
        <f>6621</f>
        <v>6621.0</v>
      </c>
      <c r="P159" s="34" t="s">
        <v>50</v>
      </c>
      <c r="Q159" s="33" t="n">
        <f>7043</f>
        <v>7043.0</v>
      </c>
      <c r="R159" s="34" t="s">
        <v>51</v>
      </c>
      <c r="S159" s="35" t="n">
        <f>6890.61</f>
        <v>6890.61</v>
      </c>
      <c r="T159" s="32" t="n">
        <f>206630</f>
        <v>206630.0</v>
      </c>
      <c r="U159" s="32" t="str">
        <f>"－"</f>
        <v>－</v>
      </c>
      <c r="V159" s="32" t="n">
        <f>1419855050</f>
        <v>1.41985505E9</v>
      </c>
      <c r="W159" s="32" t="str">
        <f>"－"</f>
        <v>－</v>
      </c>
      <c r="X159" s="36" t="n">
        <f>18</f>
        <v>18.0</v>
      </c>
    </row>
    <row r="160">
      <c r="A160" s="27" t="s">
        <v>42</v>
      </c>
      <c r="B160" s="27" t="s">
        <v>523</v>
      </c>
      <c r="C160" s="27" t="s">
        <v>524</v>
      </c>
      <c r="D160" s="27" t="s">
        <v>525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2110</f>
        <v>2110.0</v>
      </c>
      <c r="L160" s="34" t="s">
        <v>48</v>
      </c>
      <c r="M160" s="33" t="n">
        <f>2110</f>
        <v>2110.0</v>
      </c>
      <c r="N160" s="34" t="s">
        <v>48</v>
      </c>
      <c r="O160" s="33" t="n">
        <f>1985</f>
        <v>1985.0</v>
      </c>
      <c r="P160" s="34" t="s">
        <v>73</v>
      </c>
      <c r="Q160" s="33" t="n">
        <f>2050</f>
        <v>2050.0</v>
      </c>
      <c r="R160" s="34" t="s">
        <v>51</v>
      </c>
      <c r="S160" s="35" t="n">
        <f>2049.67</f>
        <v>2049.67</v>
      </c>
      <c r="T160" s="32" t="n">
        <f>13190</f>
        <v>13190.0</v>
      </c>
      <c r="U160" s="32" t="str">
        <f>"－"</f>
        <v>－</v>
      </c>
      <c r="V160" s="32" t="n">
        <f>26955465</f>
        <v>2.6955465E7</v>
      </c>
      <c r="W160" s="32" t="str">
        <f>"－"</f>
        <v>－</v>
      </c>
      <c r="X160" s="36" t="n">
        <f>18</f>
        <v>18.0</v>
      </c>
    </row>
    <row r="161">
      <c r="A161" s="27" t="s">
        <v>42</v>
      </c>
      <c r="B161" s="27" t="s">
        <v>526</v>
      </c>
      <c r="C161" s="27" t="s">
        <v>527</v>
      </c>
      <c r="D161" s="27" t="s">
        <v>528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2865</f>
        <v>2865.0</v>
      </c>
      <c r="L161" s="34" t="s">
        <v>48</v>
      </c>
      <c r="M161" s="33" t="n">
        <f>2935</f>
        <v>2935.0</v>
      </c>
      <c r="N161" s="34" t="s">
        <v>191</v>
      </c>
      <c r="O161" s="33" t="n">
        <f>2788</f>
        <v>2788.0</v>
      </c>
      <c r="P161" s="34" t="s">
        <v>245</v>
      </c>
      <c r="Q161" s="33" t="n">
        <f>2810</f>
        <v>2810.0</v>
      </c>
      <c r="R161" s="34" t="s">
        <v>51</v>
      </c>
      <c r="S161" s="35" t="n">
        <f>2852.72</f>
        <v>2852.72</v>
      </c>
      <c r="T161" s="32" t="n">
        <f>178066</f>
        <v>178066.0</v>
      </c>
      <c r="U161" s="32" t="str">
        <f>"－"</f>
        <v>－</v>
      </c>
      <c r="V161" s="32" t="n">
        <f>511741834</f>
        <v>5.11741834E8</v>
      </c>
      <c r="W161" s="32" t="str">
        <f>"－"</f>
        <v>－</v>
      </c>
      <c r="X161" s="36" t="n">
        <f>18</f>
        <v>18.0</v>
      </c>
    </row>
    <row r="162">
      <c r="A162" s="27" t="s">
        <v>42</v>
      </c>
      <c r="B162" s="27" t="s">
        <v>529</v>
      </c>
      <c r="C162" s="27" t="s">
        <v>530</v>
      </c>
      <c r="D162" s="27" t="s">
        <v>531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2959</f>
        <v>2959.0</v>
      </c>
      <c r="L162" s="34" t="s">
        <v>48</v>
      </c>
      <c r="M162" s="33" t="n">
        <f>3003</f>
        <v>3003.0</v>
      </c>
      <c r="N162" s="34" t="s">
        <v>262</v>
      </c>
      <c r="O162" s="33" t="n">
        <f>2867</f>
        <v>2867.0</v>
      </c>
      <c r="P162" s="34" t="s">
        <v>245</v>
      </c>
      <c r="Q162" s="33" t="n">
        <f>2985</f>
        <v>2985.0</v>
      </c>
      <c r="R162" s="34" t="s">
        <v>51</v>
      </c>
      <c r="S162" s="35" t="n">
        <f>2943.28</f>
        <v>2943.28</v>
      </c>
      <c r="T162" s="32" t="n">
        <f>27191</f>
        <v>27191.0</v>
      </c>
      <c r="U162" s="32" t="str">
        <f>"－"</f>
        <v>－</v>
      </c>
      <c r="V162" s="32" t="n">
        <f>79952344</f>
        <v>7.9952344E7</v>
      </c>
      <c r="W162" s="32" t="str">
        <f>"－"</f>
        <v>－</v>
      </c>
      <c r="X162" s="36" t="n">
        <f>18</f>
        <v>18.0</v>
      </c>
    </row>
    <row r="163">
      <c r="A163" s="27" t="s">
        <v>42</v>
      </c>
      <c r="B163" s="27" t="s">
        <v>532</v>
      </c>
      <c r="C163" s="27" t="s">
        <v>533</v>
      </c>
      <c r="D163" s="27" t="s">
        <v>534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4280</f>
        <v>4280.0</v>
      </c>
      <c r="L163" s="34" t="s">
        <v>48</v>
      </c>
      <c r="M163" s="33" t="n">
        <f>4431</f>
        <v>4431.0</v>
      </c>
      <c r="N163" s="34" t="s">
        <v>68</v>
      </c>
      <c r="O163" s="33" t="n">
        <f>4150</f>
        <v>4150.0</v>
      </c>
      <c r="P163" s="34" t="s">
        <v>89</v>
      </c>
      <c r="Q163" s="33" t="n">
        <f>4361</f>
        <v>4361.0</v>
      </c>
      <c r="R163" s="34" t="s">
        <v>51</v>
      </c>
      <c r="S163" s="35" t="n">
        <f>4315.17</f>
        <v>4315.17</v>
      </c>
      <c r="T163" s="32" t="n">
        <f>18540</f>
        <v>18540.0</v>
      </c>
      <c r="U163" s="32" t="str">
        <f>"－"</f>
        <v>－</v>
      </c>
      <c r="V163" s="32" t="n">
        <f>79973970</f>
        <v>7.997397E7</v>
      </c>
      <c r="W163" s="32" t="str">
        <f>"－"</f>
        <v>－</v>
      </c>
      <c r="X163" s="36" t="n">
        <f>18</f>
        <v>18.0</v>
      </c>
    </row>
    <row r="164">
      <c r="A164" s="27" t="s">
        <v>42</v>
      </c>
      <c r="B164" s="27" t="s">
        <v>535</v>
      </c>
      <c r="C164" s="27" t="s">
        <v>536</v>
      </c>
      <c r="D164" s="27" t="s">
        <v>537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3470</f>
        <v>3470.0</v>
      </c>
      <c r="L164" s="34" t="s">
        <v>48</v>
      </c>
      <c r="M164" s="33" t="n">
        <f>3718</f>
        <v>3718.0</v>
      </c>
      <c r="N164" s="34" t="s">
        <v>69</v>
      </c>
      <c r="O164" s="33" t="n">
        <f>3390</f>
        <v>3390.0</v>
      </c>
      <c r="P164" s="34" t="s">
        <v>50</v>
      </c>
      <c r="Q164" s="33" t="n">
        <f>3690</f>
        <v>3690.0</v>
      </c>
      <c r="R164" s="34" t="s">
        <v>51</v>
      </c>
      <c r="S164" s="35" t="n">
        <f>3589.11</f>
        <v>3589.11</v>
      </c>
      <c r="T164" s="32" t="n">
        <f>215691</f>
        <v>215691.0</v>
      </c>
      <c r="U164" s="32" t="n">
        <f>6170</f>
        <v>6170.0</v>
      </c>
      <c r="V164" s="32" t="n">
        <f>772233131</f>
        <v>7.72233131E8</v>
      </c>
      <c r="W164" s="32" t="n">
        <f>22009669</f>
        <v>2.2009669E7</v>
      </c>
      <c r="X164" s="36" t="n">
        <f>18</f>
        <v>18.0</v>
      </c>
    </row>
    <row r="165">
      <c r="A165" s="27" t="s">
        <v>42</v>
      </c>
      <c r="B165" s="27" t="s">
        <v>538</v>
      </c>
      <c r="C165" s="27" t="s">
        <v>539</v>
      </c>
      <c r="D165" s="27" t="s">
        <v>540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395.2</f>
        <v>395.2</v>
      </c>
      <c r="L165" s="34" t="s">
        <v>48</v>
      </c>
      <c r="M165" s="33" t="n">
        <f>399.8</f>
        <v>399.8</v>
      </c>
      <c r="N165" s="34" t="s">
        <v>302</v>
      </c>
      <c r="O165" s="33" t="n">
        <f>383.4</f>
        <v>383.4</v>
      </c>
      <c r="P165" s="34" t="s">
        <v>49</v>
      </c>
      <c r="Q165" s="33" t="n">
        <f>386.9</f>
        <v>386.9</v>
      </c>
      <c r="R165" s="34" t="s">
        <v>51</v>
      </c>
      <c r="S165" s="35" t="n">
        <f>390.96</f>
        <v>390.96</v>
      </c>
      <c r="T165" s="32" t="n">
        <f>7392230</f>
        <v>7392230.0</v>
      </c>
      <c r="U165" s="32" t="n">
        <f>51460</f>
        <v>51460.0</v>
      </c>
      <c r="V165" s="32" t="n">
        <f>2893336543</f>
        <v>2.893336543E9</v>
      </c>
      <c r="W165" s="32" t="n">
        <f>20087722</f>
        <v>2.0087722E7</v>
      </c>
      <c r="X165" s="36" t="n">
        <f>18</f>
        <v>18.0</v>
      </c>
    </row>
    <row r="166">
      <c r="A166" s="27" t="s">
        <v>42</v>
      </c>
      <c r="B166" s="27" t="s">
        <v>541</v>
      </c>
      <c r="C166" s="27" t="s">
        <v>542</v>
      </c>
      <c r="D166" s="27" t="s">
        <v>543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2410</f>
        <v>2410.0</v>
      </c>
      <c r="L166" s="34" t="s">
        <v>48</v>
      </c>
      <c r="M166" s="33" t="n">
        <f>2778</f>
        <v>2778.0</v>
      </c>
      <c r="N166" s="34" t="s">
        <v>262</v>
      </c>
      <c r="O166" s="33" t="n">
        <f>2337</f>
        <v>2337.0</v>
      </c>
      <c r="P166" s="34" t="s">
        <v>50</v>
      </c>
      <c r="Q166" s="33" t="n">
        <f>2498</f>
        <v>2498.0</v>
      </c>
      <c r="R166" s="34" t="s">
        <v>51</v>
      </c>
      <c r="S166" s="35" t="n">
        <f>2443.94</f>
        <v>2443.94</v>
      </c>
      <c r="T166" s="32" t="n">
        <f>26059</f>
        <v>26059.0</v>
      </c>
      <c r="U166" s="32" t="str">
        <f>"－"</f>
        <v>－</v>
      </c>
      <c r="V166" s="32" t="n">
        <f>63351442</f>
        <v>6.3351442E7</v>
      </c>
      <c r="W166" s="32" t="str">
        <f>"－"</f>
        <v>－</v>
      </c>
      <c r="X166" s="36" t="n">
        <f>18</f>
        <v>18.0</v>
      </c>
    </row>
    <row r="167">
      <c r="A167" s="27" t="s">
        <v>42</v>
      </c>
      <c r="B167" s="27" t="s">
        <v>544</v>
      </c>
      <c r="C167" s="27" t="s">
        <v>545</v>
      </c>
      <c r="D167" s="27" t="s">
        <v>546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1510</f>
        <v>1510.0</v>
      </c>
      <c r="L167" s="34" t="s">
        <v>48</v>
      </c>
      <c r="M167" s="33" t="n">
        <f>1520</f>
        <v>1520.0</v>
      </c>
      <c r="N167" s="34" t="s">
        <v>191</v>
      </c>
      <c r="O167" s="33" t="n">
        <f>1429</f>
        <v>1429.0</v>
      </c>
      <c r="P167" s="34" t="s">
        <v>73</v>
      </c>
      <c r="Q167" s="33" t="n">
        <f>1505</f>
        <v>1505.0</v>
      </c>
      <c r="R167" s="34" t="s">
        <v>51</v>
      </c>
      <c r="S167" s="35" t="n">
        <f>1473.39</f>
        <v>1473.39</v>
      </c>
      <c r="T167" s="32" t="n">
        <f>717669</f>
        <v>717669.0</v>
      </c>
      <c r="U167" s="32" t="n">
        <f>371</f>
        <v>371.0</v>
      </c>
      <c r="V167" s="32" t="n">
        <f>1056351505</f>
        <v>1.056351505E9</v>
      </c>
      <c r="W167" s="32" t="n">
        <f>540917</f>
        <v>540917.0</v>
      </c>
      <c r="X167" s="36" t="n">
        <f>18</f>
        <v>18.0</v>
      </c>
    </row>
    <row r="168">
      <c r="A168" s="27" t="s">
        <v>42</v>
      </c>
      <c r="B168" s="27" t="s">
        <v>547</v>
      </c>
      <c r="C168" s="27" t="s">
        <v>548</v>
      </c>
      <c r="D168" s="27" t="s">
        <v>549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272</f>
        <v>272.0</v>
      </c>
      <c r="L168" s="34" t="s">
        <v>48</v>
      </c>
      <c r="M168" s="33" t="n">
        <f>273.6</f>
        <v>273.6</v>
      </c>
      <c r="N168" s="34" t="s">
        <v>50</v>
      </c>
      <c r="O168" s="33" t="n">
        <f>265.2</f>
        <v>265.2</v>
      </c>
      <c r="P168" s="34" t="s">
        <v>61</v>
      </c>
      <c r="Q168" s="33" t="n">
        <f>268.8</f>
        <v>268.8</v>
      </c>
      <c r="R168" s="34" t="s">
        <v>51</v>
      </c>
      <c r="S168" s="35" t="n">
        <f>269.75</f>
        <v>269.75</v>
      </c>
      <c r="T168" s="32" t="n">
        <f>3346930</f>
        <v>3346930.0</v>
      </c>
      <c r="U168" s="32" t="n">
        <f>180</f>
        <v>180.0</v>
      </c>
      <c r="V168" s="32" t="n">
        <f>903297888</f>
        <v>9.03297888E8</v>
      </c>
      <c r="W168" s="32" t="n">
        <f>48370</f>
        <v>48370.0</v>
      </c>
      <c r="X168" s="36" t="n">
        <f>18</f>
        <v>18.0</v>
      </c>
    </row>
    <row r="169">
      <c r="A169" s="27" t="s">
        <v>42</v>
      </c>
      <c r="B169" s="27" t="s">
        <v>550</v>
      </c>
      <c r="C169" s="27" t="s">
        <v>551</v>
      </c>
      <c r="D169" s="27" t="s">
        <v>552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299.2</f>
        <v>299.2</v>
      </c>
      <c r="L169" s="34" t="s">
        <v>48</v>
      </c>
      <c r="M169" s="33" t="n">
        <f>304.5</f>
        <v>304.5</v>
      </c>
      <c r="N169" s="34" t="s">
        <v>51</v>
      </c>
      <c r="O169" s="33" t="n">
        <f>296.5</f>
        <v>296.5</v>
      </c>
      <c r="P169" s="34" t="s">
        <v>245</v>
      </c>
      <c r="Q169" s="33" t="n">
        <f>302.9</f>
        <v>302.9</v>
      </c>
      <c r="R169" s="34" t="s">
        <v>51</v>
      </c>
      <c r="S169" s="35" t="n">
        <f>300.28</f>
        <v>300.28</v>
      </c>
      <c r="T169" s="32" t="n">
        <f>2136640</f>
        <v>2136640.0</v>
      </c>
      <c r="U169" s="32" t="str">
        <f>"－"</f>
        <v>－</v>
      </c>
      <c r="V169" s="32" t="n">
        <f>640376184</f>
        <v>6.40376184E8</v>
      </c>
      <c r="W169" s="32" t="str">
        <f>"－"</f>
        <v>－</v>
      </c>
      <c r="X169" s="36" t="n">
        <f>18</f>
        <v>18.0</v>
      </c>
    </row>
    <row r="170">
      <c r="A170" s="27" t="s">
        <v>42</v>
      </c>
      <c r="B170" s="27" t="s">
        <v>553</v>
      </c>
      <c r="C170" s="27" t="s">
        <v>554</v>
      </c>
      <c r="D170" s="27" t="s">
        <v>555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518.6</f>
        <v>518.6</v>
      </c>
      <c r="L170" s="34" t="s">
        <v>48</v>
      </c>
      <c r="M170" s="33" t="n">
        <f>531.4</f>
        <v>531.4</v>
      </c>
      <c r="N170" s="34" t="s">
        <v>61</v>
      </c>
      <c r="O170" s="33" t="n">
        <f>515.4</f>
        <v>515.4</v>
      </c>
      <c r="P170" s="34" t="s">
        <v>49</v>
      </c>
      <c r="Q170" s="33" t="n">
        <f>524.6</f>
        <v>524.6</v>
      </c>
      <c r="R170" s="34" t="s">
        <v>51</v>
      </c>
      <c r="S170" s="35" t="n">
        <f>521.49</f>
        <v>521.49</v>
      </c>
      <c r="T170" s="32" t="n">
        <f>3192290</f>
        <v>3192290.0</v>
      </c>
      <c r="U170" s="32" t="n">
        <f>3140000</f>
        <v>3140000.0</v>
      </c>
      <c r="V170" s="32" t="n">
        <f>1655086270</f>
        <v>1.65508627E9</v>
      </c>
      <c r="W170" s="32" t="n">
        <f>1627616802</f>
        <v>1.627616802E9</v>
      </c>
      <c r="X170" s="36" t="n">
        <f>16</f>
        <v>16.0</v>
      </c>
    </row>
    <row r="171">
      <c r="A171" s="27" t="s">
        <v>42</v>
      </c>
      <c r="B171" s="27" t="s">
        <v>556</v>
      </c>
      <c r="C171" s="27" t="s">
        <v>557</v>
      </c>
      <c r="D171" s="27" t="s">
        <v>558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517.5</f>
        <v>517.5</v>
      </c>
      <c r="L171" s="34" t="s">
        <v>48</v>
      </c>
      <c r="M171" s="33" t="n">
        <f>535</f>
        <v>535.0</v>
      </c>
      <c r="N171" s="34" t="s">
        <v>51</v>
      </c>
      <c r="O171" s="33" t="n">
        <f>507.4</f>
        <v>507.4</v>
      </c>
      <c r="P171" s="34" t="s">
        <v>245</v>
      </c>
      <c r="Q171" s="33" t="n">
        <f>524.9</f>
        <v>524.9</v>
      </c>
      <c r="R171" s="34" t="s">
        <v>51</v>
      </c>
      <c r="S171" s="35" t="n">
        <f>515.84</f>
        <v>515.84</v>
      </c>
      <c r="T171" s="32" t="n">
        <f>65370</f>
        <v>65370.0</v>
      </c>
      <c r="U171" s="32" t="str">
        <f>"－"</f>
        <v>－</v>
      </c>
      <c r="V171" s="32" t="n">
        <f>33608553</f>
        <v>3.3608553E7</v>
      </c>
      <c r="W171" s="32" t="str">
        <f>"－"</f>
        <v>－</v>
      </c>
      <c r="X171" s="36" t="n">
        <f>18</f>
        <v>18.0</v>
      </c>
    </row>
    <row r="172">
      <c r="A172" s="27" t="s">
        <v>42</v>
      </c>
      <c r="B172" s="27" t="s">
        <v>559</v>
      </c>
      <c r="C172" s="27" t="s">
        <v>560</v>
      </c>
      <c r="D172" s="27" t="s">
        <v>561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482.6</f>
        <v>482.6</v>
      </c>
      <c r="L172" s="34" t="s">
        <v>48</v>
      </c>
      <c r="M172" s="33" t="n">
        <f>498</f>
        <v>498.0</v>
      </c>
      <c r="N172" s="34" t="s">
        <v>89</v>
      </c>
      <c r="O172" s="33" t="n">
        <f>471.7</f>
        <v>471.7</v>
      </c>
      <c r="P172" s="34" t="s">
        <v>61</v>
      </c>
      <c r="Q172" s="33" t="n">
        <f>477</f>
        <v>477.0</v>
      </c>
      <c r="R172" s="34" t="s">
        <v>51</v>
      </c>
      <c r="S172" s="35" t="n">
        <f>476.98</f>
        <v>476.98</v>
      </c>
      <c r="T172" s="32" t="n">
        <f>40640</f>
        <v>40640.0</v>
      </c>
      <c r="U172" s="32" t="n">
        <f>10</f>
        <v>10.0</v>
      </c>
      <c r="V172" s="32" t="n">
        <f>19413413</f>
        <v>1.9413413E7</v>
      </c>
      <c r="W172" s="32" t="n">
        <f>4727</f>
        <v>4727.0</v>
      </c>
      <c r="X172" s="36" t="n">
        <f>18</f>
        <v>18.0</v>
      </c>
    </row>
    <row r="173">
      <c r="A173" s="27" t="s">
        <v>42</v>
      </c>
      <c r="B173" s="27" t="s">
        <v>562</v>
      </c>
      <c r="C173" s="27" t="s">
        <v>563</v>
      </c>
      <c r="D173" s="27" t="s">
        <v>564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1.0</v>
      </c>
      <c r="K173" s="33" t="n">
        <f>1006</f>
        <v>1006.0</v>
      </c>
      <c r="L173" s="34" t="s">
        <v>48</v>
      </c>
      <c r="M173" s="33" t="n">
        <f>1044</f>
        <v>1044.0</v>
      </c>
      <c r="N173" s="34" t="s">
        <v>61</v>
      </c>
      <c r="O173" s="33" t="n">
        <f>976</f>
        <v>976.0</v>
      </c>
      <c r="P173" s="34" t="s">
        <v>89</v>
      </c>
      <c r="Q173" s="33" t="n">
        <f>1029</f>
        <v>1029.0</v>
      </c>
      <c r="R173" s="34" t="s">
        <v>51</v>
      </c>
      <c r="S173" s="35" t="n">
        <f>1013.5</f>
        <v>1013.5</v>
      </c>
      <c r="T173" s="32" t="n">
        <f>395227</f>
        <v>395227.0</v>
      </c>
      <c r="U173" s="32" t="n">
        <f>211</f>
        <v>211.0</v>
      </c>
      <c r="V173" s="32" t="n">
        <f>399773392</f>
        <v>3.99773392E8</v>
      </c>
      <c r="W173" s="32" t="n">
        <f>215422</f>
        <v>215422.0</v>
      </c>
      <c r="X173" s="36" t="n">
        <f>18</f>
        <v>18.0</v>
      </c>
    </row>
    <row r="174">
      <c r="A174" s="27" t="s">
        <v>42</v>
      </c>
      <c r="B174" s="27" t="s">
        <v>565</v>
      </c>
      <c r="C174" s="27" t="s">
        <v>566</v>
      </c>
      <c r="D174" s="27" t="s">
        <v>567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1.0</v>
      </c>
      <c r="K174" s="33" t="n">
        <f>2459</f>
        <v>2459.0</v>
      </c>
      <c r="L174" s="34" t="s">
        <v>48</v>
      </c>
      <c r="M174" s="33" t="n">
        <f>2459</f>
        <v>2459.0</v>
      </c>
      <c r="N174" s="34" t="s">
        <v>48</v>
      </c>
      <c r="O174" s="33" t="n">
        <f>2117</f>
        <v>2117.0</v>
      </c>
      <c r="P174" s="34" t="s">
        <v>73</v>
      </c>
      <c r="Q174" s="33" t="n">
        <f>2239</f>
        <v>2239.0</v>
      </c>
      <c r="R174" s="34" t="s">
        <v>51</v>
      </c>
      <c r="S174" s="35" t="n">
        <f>2258.22</f>
        <v>2258.22</v>
      </c>
      <c r="T174" s="32" t="n">
        <f>9702408</f>
        <v>9702408.0</v>
      </c>
      <c r="U174" s="32" t="n">
        <f>732896</f>
        <v>732896.0</v>
      </c>
      <c r="V174" s="32" t="n">
        <f>21946094725</f>
        <v>2.1946094725E10</v>
      </c>
      <c r="W174" s="32" t="n">
        <f>1689408801</f>
        <v>1.689408801E9</v>
      </c>
      <c r="X174" s="36" t="n">
        <f>18</f>
        <v>18.0</v>
      </c>
    </row>
    <row r="175">
      <c r="A175" s="27" t="s">
        <v>42</v>
      </c>
      <c r="B175" s="27" t="s">
        <v>568</v>
      </c>
      <c r="C175" s="27" t="s">
        <v>569</v>
      </c>
      <c r="D175" s="27" t="s">
        <v>570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693</f>
        <v>693.0</v>
      </c>
      <c r="L175" s="34" t="s">
        <v>48</v>
      </c>
      <c r="M175" s="33" t="n">
        <f>730</f>
        <v>730.0</v>
      </c>
      <c r="N175" s="34" t="s">
        <v>69</v>
      </c>
      <c r="O175" s="33" t="n">
        <f>675</f>
        <v>675.0</v>
      </c>
      <c r="P175" s="34" t="s">
        <v>50</v>
      </c>
      <c r="Q175" s="33" t="n">
        <f>723.5</f>
        <v>723.5</v>
      </c>
      <c r="R175" s="34" t="s">
        <v>51</v>
      </c>
      <c r="S175" s="35" t="n">
        <f>703.95</f>
        <v>703.95</v>
      </c>
      <c r="T175" s="32" t="n">
        <f>931350</f>
        <v>931350.0</v>
      </c>
      <c r="U175" s="32" t="n">
        <f>187510</f>
        <v>187510.0</v>
      </c>
      <c r="V175" s="32" t="n">
        <f>657185403</f>
        <v>6.57185403E8</v>
      </c>
      <c r="W175" s="32" t="n">
        <f>134742186</f>
        <v>1.34742186E8</v>
      </c>
      <c r="X175" s="36" t="n">
        <f>18</f>
        <v>18.0</v>
      </c>
    </row>
    <row r="176">
      <c r="A176" s="27" t="s">
        <v>42</v>
      </c>
      <c r="B176" s="27" t="s">
        <v>571</v>
      </c>
      <c r="C176" s="27" t="s">
        <v>572</v>
      </c>
      <c r="D176" s="27" t="s">
        <v>573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228</f>
        <v>228.0</v>
      </c>
      <c r="L176" s="34" t="s">
        <v>48</v>
      </c>
      <c r="M176" s="33" t="n">
        <f>233.4</f>
        <v>233.4</v>
      </c>
      <c r="N176" s="34" t="s">
        <v>61</v>
      </c>
      <c r="O176" s="33" t="n">
        <f>226.3</f>
        <v>226.3</v>
      </c>
      <c r="P176" s="34" t="s">
        <v>50</v>
      </c>
      <c r="Q176" s="33" t="n">
        <f>231.6</f>
        <v>231.6</v>
      </c>
      <c r="R176" s="34" t="s">
        <v>51</v>
      </c>
      <c r="S176" s="35" t="n">
        <f>229.62</f>
        <v>229.62</v>
      </c>
      <c r="T176" s="32" t="n">
        <f>12257750</f>
        <v>1.225775E7</v>
      </c>
      <c r="U176" s="32" t="n">
        <f>9350000</f>
        <v>9350000.0</v>
      </c>
      <c r="V176" s="32" t="n">
        <f>2821409709</f>
        <v>2.821409709E9</v>
      </c>
      <c r="W176" s="32" t="n">
        <f>2154155885</f>
        <v>2.154155885E9</v>
      </c>
      <c r="X176" s="36" t="n">
        <f>18</f>
        <v>18.0</v>
      </c>
    </row>
    <row r="177">
      <c r="A177" s="27" t="s">
        <v>42</v>
      </c>
      <c r="B177" s="27" t="s">
        <v>574</v>
      </c>
      <c r="C177" s="27" t="s">
        <v>575</v>
      </c>
      <c r="D177" s="27" t="s">
        <v>576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245.4</f>
        <v>245.4</v>
      </c>
      <c r="L177" s="34" t="s">
        <v>48</v>
      </c>
      <c r="M177" s="33" t="n">
        <f>260.5</f>
        <v>260.5</v>
      </c>
      <c r="N177" s="34" t="s">
        <v>51</v>
      </c>
      <c r="O177" s="33" t="n">
        <f>242.8</f>
        <v>242.8</v>
      </c>
      <c r="P177" s="34" t="s">
        <v>89</v>
      </c>
      <c r="Q177" s="33" t="n">
        <f>260.5</f>
        <v>260.5</v>
      </c>
      <c r="R177" s="34" t="s">
        <v>51</v>
      </c>
      <c r="S177" s="35" t="n">
        <f>252.02</f>
        <v>252.02</v>
      </c>
      <c r="T177" s="32" t="n">
        <f>19906580</f>
        <v>1.990658E7</v>
      </c>
      <c r="U177" s="32" t="n">
        <f>304000</f>
        <v>304000.0</v>
      </c>
      <c r="V177" s="32" t="n">
        <f>4955671662</f>
        <v>4.955671662E9</v>
      </c>
      <c r="W177" s="32" t="n">
        <f>74895200</f>
        <v>7.48952E7</v>
      </c>
      <c r="X177" s="36" t="n">
        <f>18</f>
        <v>18.0</v>
      </c>
    </row>
    <row r="178">
      <c r="A178" s="27" t="s">
        <v>42</v>
      </c>
      <c r="B178" s="27" t="s">
        <v>577</v>
      </c>
      <c r="C178" s="27" t="s">
        <v>578</v>
      </c>
      <c r="D178" s="27" t="s">
        <v>579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266.9</f>
        <v>266.9</v>
      </c>
      <c r="L178" s="34" t="s">
        <v>48</v>
      </c>
      <c r="M178" s="33" t="n">
        <f>279</f>
        <v>279.0</v>
      </c>
      <c r="N178" s="34" t="s">
        <v>51</v>
      </c>
      <c r="O178" s="33" t="n">
        <f>263</f>
        <v>263.0</v>
      </c>
      <c r="P178" s="34" t="s">
        <v>89</v>
      </c>
      <c r="Q178" s="33" t="n">
        <f>279</f>
        <v>279.0</v>
      </c>
      <c r="R178" s="34" t="s">
        <v>51</v>
      </c>
      <c r="S178" s="35" t="n">
        <f>270.22</f>
        <v>270.22</v>
      </c>
      <c r="T178" s="32" t="n">
        <f>3355550</f>
        <v>3355550.0</v>
      </c>
      <c r="U178" s="32" t="n">
        <f>186730</f>
        <v>186730.0</v>
      </c>
      <c r="V178" s="32" t="n">
        <f>901083308</f>
        <v>9.01083308E8</v>
      </c>
      <c r="W178" s="32" t="n">
        <f>50537337</f>
        <v>5.0537337E7</v>
      </c>
      <c r="X178" s="36" t="n">
        <f>18</f>
        <v>18.0</v>
      </c>
    </row>
    <row r="179">
      <c r="A179" s="27" t="s">
        <v>42</v>
      </c>
      <c r="B179" s="27" t="s">
        <v>580</v>
      </c>
      <c r="C179" s="27" t="s">
        <v>581</v>
      </c>
      <c r="D179" s="27" t="s">
        <v>582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1.0</v>
      </c>
      <c r="K179" s="33" t="n">
        <f>2153</f>
        <v>2153.0</v>
      </c>
      <c r="L179" s="34" t="s">
        <v>48</v>
      </c>
      <c r="M179" s="33" t="n">
        <f>2272</f>
        <v>2272.0</v>
      </c>
      <c r="N179" s="34" t="s">
        <v>61</v>
      </c>
      <c r="O179" s="33" t="n">
        <f>2099</f>
        <v>2099.0</v>
      </c>
      <c r="P179" s="34" t="s">
        <v>61</v>
      </c>
      <c r="Q179" s="33" t="n">
        <f>2200</f>
        <v>2200.0</v>
      </c>
      <c r="R179" s="34" t="s">
        <v>51</v>
      </c>
      <c r="S179" s="35" t="n">
        <f>2169.28</f>
        <v>2169.28</v>
      </c>
      <c r="T179" s="32" t="n">
        <f>412432</f>
        <v>412432.0</v>
      </c>
      <c r="U179" s="32" t="n">
        <f>300000</f>
        <v>300000.0</v>
      </c>
      <c r="V179" s="32" t="n">
        <f>899224187</f>
        <v>8.99224187E8</v>
      </c>
      <c r="W179" s="32" t="n">
        <f>654600000</f>
        <v>6.546E8</v>
      </c>
      <c r="X179" s="36" t="n">
        <f>18</f>
        <v>18.0</v>
      </c>
    </row>
    <row r="180">
      <c r="A180" s="27" t="s">
        <v>42</v>
      </c>
      <c r="B180" s="27" t="s">
        <v>583</v>
      </c>
      <c r="C180" s="27" t="s">
        <v>584</v>
      </c>
      <c r="D180" s="27" t="s">
        <v>585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1.0</v>
      </c>
      <c r="K180" s="33" t="n">
        <f>1883</f>
        <v>1883.0</v>
      </c>
      <c r="L180" s="34" t="s">
        <v>48</v>
      </c>
      <c r="M180" s="33" t="n">
        <f>1909</f>
        <v>1909.0</v>
      </c>
      <c r="N180" s="34" t="s">
        <v>89</v>
      </c>
      <c r="O180" s="33" t="n">
        <f>1863</f>
        <v>1863.0</v>
      </c>
      <c r="P180" s="34" t="s">
        <v>148</v>
      </c>
      <c r="Q180" s="33" t="n">
        <f>1880</f>
        <v>1880.0</v>
      </c>
      <c r="R180" s="34" t="s">
        <v>51</v>
      </c>
      <c r="S180" s="35" t="n">
        <f>1881.72</f>
        <v>1881.72</v>
      </c>
      <c r="T180" s="32" t="n">
        <f>639500</f>
        <v>639500.0</v>
      </c>
      <c r="U180" s="32" t="str">
        <f>"－"</f>
        <v>－</v>
      </c>
      <c r="V180" s="32" t="n">
        <f>1202833252</f>
        <v>1.202833252E9</v>
      </c>
      <c r="W180" s="32" t="str">
        <f>"－"</f>
        <v>－</v>
      </c>
      <c r="X180" s="36" t="n">
        <f>18</f>
        <v>18.0</v>
      </c>
    </row>
    <row r="181">
      <c r="A181" s="27" t="s">
        <v>42</v>
      </c>
      <c r="B181" s="27" t="s">
        <v>586</v>
      </c>
      <c r="C181" s="27" t="s">
        <v>587</v>
      </c>
      <c r="D181" s="27" t="s">
        <v>588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1310</f>
        <v>1310.0</v>
      </c>
      <c r="L181" s="34" t="s">
        <v>48</v>
      </c>
      <c r="M181" s="33" t="n">
        <f>1314</f>
        <v>1314.0</v>
      </c>
      <c r="N181" s="34" t="s">
        <v>49</v>
      </c>
      <c r="O181" s="33" t="n">
        <f>1245</f>
        <v>1245.0</v>
      </c>
      <c r="P181" s="34" t="s">
        <v>50</v>
      </c>
      <c r="Q181" s="33" t="n">
        <f>1285</f>
        <v>1285.0</v>
      </c>
      <c r="R181" s="34" t="s">
        <v>51</v>
      </c>
      <c r="S181" s="35" t="n">
        <f>1283.72</f>
        <v>1283.72</v>
      </c>
      <c r="T181" s="32" t="n">
        <f>1123176</f>
        <v>1123176.0</v>
      </c>
      <c r="U181" s="32" t="n">
        <f>233979</f>
        <v>233979.0</v>
      </c>
      <c r="V181" s="32" t="n">
        <f>1439651165</f>
        <v>1.439651165E9</v>
      </c>
      <c r="W181" s="32" t="n">
        <f>305289165</f>
        <v>3.05289165E8</v>
      </c>
      <c r="X181" s="36" t="n">
        <f>18</f>
        <v>18.0</v>
      </c>
    </row>
    <row r="182">
      <c r="A182" s="27" t="s">
        <v>42</v>
      </c>
      <c r="B182" s="27" t="s">
        <v>589</v>
      </c>
      <c r="C182" s="27" t="s">
        <v>590</v>
      </c>
      <c r="D182" s="27" t="s">
        <v>591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1127</f>
        <v>1127.0</v>
      </c>
      <c r="L182" s="34" t="s">
        <v>48</v>
      </c>
      <c r="M182" s="33" t="n">
        <f>1159</f>
        <v>1159.0</v>
      </c>
      <c r="N182" s="34" t="s">
        <v>51</v>
      </c>
      <c r="O182" s="33" t="n">
        <f>1117</f>
        <v>1117.0</v>
      </c>
      <c r="P182" s="34" t="s">
        <v>89</v>
      </c>
      <c r="Q182" s="33" t="n">
        <f>1155</f>
        <v>1155.0</v>
      </c>
      <c r="R182" s="34" t="s">
        <v>51</v>
      </c>
      <c r="S182" s="35" t="n">
        <f>1137.72</f>
        <v>1137.72</v>
      </c>
      <c r="T182" s="32" t="n">
        <f>153307</f>
        <v>153307.0</v>
      </c>
      <c r="U182" s="32" t="str">
        <f>"－"</f>
        <v>－</v>
      </c>
      <c r="V182" s="32" t="n">
        <f>174523582</f>
        <v>1.74523582E8</v>
      </c>
      <c r="W182" s="32" t="str">
        <f>"－"</f>
        <v>－</v>
      </c>
      <c r="X182" s="36" t="n">
        <f>18</f>
        <v>18.0</v>
      </c>
    </row>
    <row r="183">
      <c r="A183" s="27" t="s">
        <v>42</v>
      </c>
      <c r="B183" s="27" t="s">
        <v>592</v>
      </c>
      <c r="C183" s="27" t="s">
        <v>593</v>
      </c>
      <c r="D183" s="27" t="s">
        <v>594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1.0</v>
      </c>
      <c r="K183" s="33" t="n">
        <f>1013</f>
        <v>1013.0</v>
      </c>
      <c r="L183" s="34" t="s">
        <v>48</v>
      </c>
      <c r="M183" s="33" t="n">
        <f>1030</f>
        <v>1030.0</v>
      </c>
      <c r="N183" s="34" t="s">
        <v>262</v>
      </c>
      <c r="O183" s="33" t="n">
        <f>995</f>
        <v>995.0</v>
      </c>
      <c r="P183" s="34" t="s">
        <v>50</v>
      </c>
      <c r="Q183" s="33" t="n">
        <f>1012</f>
        <v>1012.0</v>
      </c>
      <c r="R183" s="34" t="s">
        <v>51</v>
      </c>
      <c r="S183" s="35" t="n">
        <f>1015.56</f>
        <v>1015.56</v>
      </c>
      <c r="T183" s="32" t="n">
        <f>84932</f>
        <v>84932.0</v>
      </c>
      <c r="U183" s="32" t="str">
        <f>"－"</f>
        <v>－</v>
      </c>
      <c r="V183" s="32" t="n">
        <f>86143154</f>
        <v>8.6143154E7</v>
      </c>
      <c r="W183" s="32" t="str">
        <f>"－"</f>
        <v>－</v>
      </c>
      <c r="X183" s="36" t="n">
        <f>18</f>
        <v>18.0</v>
      </c>
    </row>
    <row r="184">
      <c r="A184" s="27" t="s">
        <v>42</v>
      </c>
      <c r="B184" s="27" t="s">
        <v>595</v>
      </c>
      <c r="C184" s="27" t="s">
        <v>596</v>
      </c>
      <c r="D184" s="27" t="s">
        <v>597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203.1</f>
        <v>203.1</v>
      </c>
      <c r="L184" s="34" t="s">
        <v>48</v>
      </c>
      <c r="M184" s="33" t="n">
        <f>209</f>
        <v>209.0</v>
      </c>
      <c r="N184" s="34" t="s">
        <v>61</v>
      </c>
      <c r="O184" s="33" t="n">
        <f>190</f>
        <v>190.0</v>
      </c>
      <c r="P184" s="34" t="s">
        <v>89</v>
      </c>
      <c r="Q184" s="33" t="n">
        <f>206.1</f>
        <v>206.1</v>
      </c>
      <c r="R184" s="34" t="s">
        <v>51</v>
      </c>
      <c r="S184" s="35" t="n">
        <f>203.24</f>
        <v>203.24</v>
      </c>
      <c r="T184" s="32" t="n">
        <f>4338820</f>
        <v>4338820.0</v>
      </c>
      <c r="U184" s="32" t="n">
        <f>51040</f>
        <v>51040.0</v>
      </c>
      <c r="V184" s="32" t="n">
        <f>879633514</f>
        <v>8.79633514E8</v>
      </c>
      <c r="W184" s="32" t="n">
        <f>10052386</f>
        <v>1.0052386E7</v>
      </c>
      <c r="X184" s="36" t="n">
        <f>18</f>
        <v>18.0</v>
      </c>
    </row>
    <row r="185">
      <c r="A185" s="27" t="s">
        <v>42</v>
      </c>
      <c r="B185" s="27" t="s">
        <v>598</v>
      </c>
      <c r="C185" s="27" t="s">
        <v>599</v>
      </c>
      <c r="D185" s="27" t="s">
        <v>600</v>
      </c>
      <c r="E185" s="28" t="s">
        <v>46</v>
      </c>
      <c r="F185" s="29" t="s">
        <v>46</v>
      </c>
      <c r="G185" s="30" t="s">
        <v>46</v>
      </c>
      <c r="H185" s="31"/>
      <c r="I185" s="31" t="s">
        <v>414</v>
      </c>
      <c r="J185" s="32" t="n">
        <v>1.0</v>
      </c>
      <c r="K185" s="33" t="n">
        <f>8596</f>
        <v>8596.0</v>
      </c>
      <c r="L185" s="34" t="s">
        <v>48</v>
      </c>
      <c r="M185" s="33" t="n">
        <f>9199</f>
        <v>9199.0</v>
      </c>
      <c r="N185" s="34" t="s">
        <v>302</v>
      </c>
      <c r="O185" s="33" t="n">
        <f>8155</f>
        <v>8155.0</v>
      </c>
      <c r="P185" s="34" t="s">
        <v>50</v>
      </c>
      <c r="Q185" s="33" t="n">
        <f>8568</f>
        <v>8568.0</v>
      </c>
      <c r="R185" s="34" t="s">
        <v>51</v>
      </c>
      <c r="S185" s="35" t="n">
        <f>8678.94</f>
        <v>8678.94</v>
      </c>
      <c r="T185" s="32" t="n">
        <f>21026</f>
        <v>21026.0</v>
      </c>
      <c r="U185" s="32" t="str">
        <f>"－"</f>
        <v>－</v>
      </c>
      <c r="V185" s="32" t="n">
        <f>182809678</f>
        <v>1.82809678E8</v>
      </c>
      <c r="W185" s="32" t="str">
        <f>"－"</f>
        <v>－</v>
      </c>
      <c r="X185" s="36" t="n">
        <f>18</f>
        <v>18.0</v>
      </c>
    </row>
    <row r="186">
      <c r="A186" s="27" t="s">
        <v>42</v>
      </c>
      <c r="B186" s="27" t="s">
        <v>601</v>
      </c>
      <c r="C186" s="27" t="s">
        <v>602</v>
      </c>
      <c r="D186" s="27" t="s">
        <v>603</v>
      </c>
      <c r="E186" s="28" t="s">
        <v>46</v>
      </c>
      <c r="F186" s="29" t="s">
        <v>46</v>
      </c>
      <c r="G186" s="30" t="s">
        <v>46</v>
      </c>
      <c r="H186" s="31"/>
      <c r="I186" s="31" t="s">
        <v>414</v>
      </c>
      <c r="J186" s="32" t="n">
        <v>1.0</v>
      </c>
      <c r="K186" s="33" t="n">
        <f>5919</f>
        <v>5919.0</v>
      </c>
      <c r="L186" s="34" t="s">
        <v>48</v>
      </c>
      <c r="M186" s="33" t="n">
        <f>6200</f>
        <v>6200.0</v>
      </c>
      <c r="N186" s="34" t="s">
        <v>148</v>
      </c>
      <c r="O186" s="33" t="n">
        <f>5740</f>
        <v>5740.0</v>
      </c>
      <c r="P186" s="34" t="s">
        <v>201</v>
      </c>
      <c r="Q186" s="33" t="n">
        <f>6021</f>
        <v>6021.0</v>
      </c>
      <c r="R186" s="34" t="s">
        <v>51</v>
      </c>
      <c r="S186" s="35" t="n">
        <f>5920.39</f>
        <v>5920.39</v>
      </c>
      <c r="T186" s="32" t="n">
        <f>6707</f>
        <v>6707.0</v>
      </c>
      <c r="U186" s="32" t="str">
        <f>"－"</f>
        <v>－</v>
      </c>
      <c r="V186" s="32" t="n">
        <f>39916679</f>
        <v>3.9916679E7</v>
      </c>
      <c r="W186" s="32" t="str">
        <f>"－"</f>
        <v>－</v>
      </c>
      <c r="X186" s="36" t="n">
        <f>18</f>
        <v>18.0</v>
      </c>
    </row>
    <row r="187">
      <c r="A187" s="27" t="s">
        <v>42</v>
      </c>
      <c r="B187" s="27" t="s">
        <v>604</v>
      </c>
      <c r="C187" s="27" t="s">
        <v>605</v>
      </c>
      <c r="D187" s="27" t="s">
        <v>606</v>
      </c>
      <c r="E187" s="28" t="s">
        <v>46</v>
      </c>
      <c r="F187" s="29" t="s">
        <v>46</v>
      </c>
      <c r="G187" s="30" t="s">
        <v>46</v>
      </c>
      <c r="H187" s="31"/>
      <c r="I187" s="31" t="s">
        <v>414</v>
      </c>
      <c r="J187" s="32" t="n">
        <v>1.0</v>
      </c>
      <c r="K187" s="33" t="n">
        <f>31600</f>
        <v>31600.0</v>
      </c>
      <c r="L187" s="34" t="s">
        <v>48</v>
      </c>
      <c r="M187" s="33" t="n">
        <f>31610</f>
        <v>31610.0</v>
      </c>
      <c r="N187" s="34" t="s">
        <v>48</v>
      </c>
      <c r="O187" s="33" t="n">
        <f>24650</f>
        <v>24650.0</v>
      </c>
      <c r="P187" s="34" t="s">
        <v>148</v>
      </c>
      <c r="Q187" s="33" t="n">
        <f>26605</f>
        <v>26605.0</v>
      </c>
      <c r="R187" s="34" t="s">
        <v>51</v>
      </c>
      <c r="S187" s="35" t="n">
        <f>27512.22</f>
        <v>27512.22</v>
      </c>
      <c r="T187" s="32" t="n">
        <f>13756</f>
        <v>13756.0</v>
      </c>
      <c r="U187" s="32" t="str">
        <f>"－"</f>
        <v>－</v>
      </c>
      <c r="V187" s="32" t="n">
        <f>380855535</f>
        <v>3.80855535E8</v>
      </c>
      <c r="W187" s="32" t="str">
        <f>"－"</f>
        <v>－</v>
      </c>
      <c r="X187" s="36" t="n">
        <f>18</f>
        <v>18.0</v>
      </c>
    </row>
    <row r="188">
      <c r="A188" s="27" t="s">
        <v>42</v>
      </c>
      <c r="B188" s="27" t="s">
        <v>607</v>
      </c>
      <c r="C188" s="27" t="s">
        <v>608</v>
      </c>
      <c r="D188" s="27" t="s">
        <v>609</v>
      </c>
      <c r="E188" s="28" t="s">
        <v>46</v>
      </c>
      <c r="F188" s="29" t="s">
        <v>46</v>
      </c>
      <c r="G188" s="30" t="s">
        <v>46</v>
      </c>
      <c r="H188" s="31"/>
      <c r="I188" s="31" t="s">
        <v>414</v>
      </c>
      <c r="J188" s="32" t="n">
        <v>1.0</v>
      </c>
      <c r="K188" s="33" t="n">
        <f>4429</f>
        <v>4429.0</v>
      </c>
      <c r="L188" s="34" t="s">
        <v>48</v>
      </c>
      <c r="M188" s="33" t="n">
        <f>4689</f>
        <v>4689.0</v>
      </c>
      <c r="N188" s="34" t="s">
        <v>50</v>
      </c>
      <c r="O188" s="33" t="n">
        <f>4233</f>
        <v>4233.0</v>
      </c>
      <c r="P188" s="34" t="s">
        <v>49</v>
      </c>
      <c r="Q188" s="33" t="n">
        <f>4522</f>
        <v>4522.0</v>
      </c>
      <c r="R188" s="34" t="s">
        <v>51</v>
      </c>
      <c r="S188" s="35" t="n">
        <f>4490.44</f>
        <v>4490.44</v>
      </c>
      <c r="T188" s="32" t="n">
        <f>15929</f>
        <v>15929.0</v>
      </c>
      <c r="U188" s="32" t="str">
        <f>"－"</f>
        <v>－</v>
      </c>
      <c r="V188" s="32" t="n">
        <f>71968490</f>
        <v>7.196849E7</v>
      </c>
      <c r="W188" s="32" t="str">
        <f>"－"</f>
        <v>－</v>
      </c>
      <c r="X188" s="36" t="n">
        <f>18</f>
        <v>18.0</v>
      </c>
    </row>
    <row r="189">
      <c r="A189" s="27" t="s">
        <v>42</v>
      </c>
      <c r="B189" s="27" t="s">
        <v>610</v>
      </c>
      <c r="C189" s="27" t="s">
        <v>611</v>
      </c>
      <c r="D189" s="27" t="s">
        <v>612</v>
      </c>
      <c r="E189" s="28" t="s">
        <v>46</v>
      </c>
      <c r="F189" s="29" t="s">
        <v>46</v>
      </c>
      <c r="G189" s="30" t="s">
        <v>46</v>
      </c>
      <c r="H189" s="31"/>
      <c r="I189" s="31" t="s">
        <v>414</v>
      </c>
      <c r="J189" s="32" t="n">
        <v>1.0</v>
      </c>
      <c r="K189" s="33" t="n">
        <f>154400</f>
        <v>154400.0</v>
      </c>
      <c r="L189" s="34" t="s">
        <v>48</v>
      </c>
      <c r="M189" s="33" t="n">
        <f>172450</f>
        <v>172450.0</v>
      </c>
      <c r="N189" s="34" t="s">
        <v>49</v>
      </c>
      <c r="O189" s="33" t="n">
        <f>142050</f>
        <v>142050.0</v>
      </c>
      <c r="P189" s="34" t="s">
        <v>50</v>
      </c>
      <c r="Q189" s="33" t="n">
        <f>169500</f>
        <v>169500.0</v>
      </c>
      <c r="R189" s="34" t="s">
        <v>51</v>
      </c>
      <c r="S189" s="35" t="n">
        <f>159725</f>
        <v>159725.0</v>
      </c>
      <c r="T189" s="32" t="n">
        <f>276802</f>
        <v>276802.0</v>
      </c>
      <c r="U189" s="32" t="str">
        <f>"－"</f>
        <v>－</v>
      </c>
      <c r="V189" s="32" t="n">
        <f>44494298550</f>
        <v>4.449429855E10</v>
      </c>
      <c r="W189" s="32" t="str">
        <f>"－"</f>
        <v>－</v>
      </c>
      <c r="X189" s="36" t="n">
        <f>18</f>
        <v>18.0</v>
      </c>
    </row>
    <row r="190">
      <c r="A190" s="27" t="s">
        <v>42</v>
      </c>
      <c r="B190" s="27" t="s">
        <v>613</v>
      </c>
      <c r="C190" s="27" t="s">
        <v>614</v>
      </c>
      <c r="D190" s="27" t="s">
        <v>615</v>
      </c>
      <c r="E190" s="28" t="s">
        <v>46</v>
      </c>
      <c r="F190" s="29" t="s">
        <v>46</v>
      </c>
      <c r="G190" s="30" t="s">
        <v>46</v>
      </c>
      <c r="H190" s="31"/>
      <c r="I190" s="31" t="s">
        <v>414</v>
      </c>
      <c r="J190" s="32" t="n">
        <v>1.0</v>
      </c>
      <c r="K190" s="33" t="n">
        <f>1557</f>
        <v>1557.0</v>
      </c>
      <c r="L190" s="34" t="s">
        <v>48</v>
      </c>
      <c r="M190" s="33" t="n">
        <f>1621</f>
        <v>1621.0</v>
      </c>
      <c r="N190" s="34" t="s">
        <v>50</v>
      </c>
      <c r="O190" s="33" t="n">
        <f>1460</f>
        <v>1460.0</v>
      </c>
      <c r="P190" s="34" t="s">
        <v>51</v>
      </c>
      <c r="Q190" s="33" t="n">
        <f>1460</f>
        <v>1460.0</v>
      </c>
      <c r="R190" s="34" t="s">
        <v>51</v>
      </c>
      <c r="S190" s="35" t="n">
        <f>1518.11</f>
        <v>1518.11</v>
      </c>
      <c r="T190" s="32" t="n">
        <f>166964</f>
        <v>166964.0</v>
      </c>
      <c r="U190" s="32" t="str">
        <f>"－"</f>
        <v>－</v>
      </c>
      <c r="V190" s="32" t="n">
        <f>254688267</f>
        <v>2.54688267E8</v>
      </c>
      <c r="W190" s="32" t="str">
        <f>"－"</f>
        <v>－</v>
      </c>
      <c r="X190" s="36" t="n">
        <f>18</f>
        <v>18.0</v>
      </c>
    </row>
    <row r="191">
      <c r="A191" s="27" t="s">
        <v>42</v>
      </c>
      <c r="B191" s="27" t="s">
        <v>616</v>
      </c>
      <c r="C191" s="27" t="s">
        <v>617</v>
      </c>
      <c r="D191" s="27" t="s">
        <v>618</v>
      </c>
      <c r="E191" s="28" t="s">
        <v>46</v>
      </c>
      <c r="F191" s="29" t="s">
        <v>46</v>
      </c>
      <c r="G191" s="30" t="s">
        <v>46</v>
      </c>
      <c r="H191" s="31"/>
      <c r="I191" s="31" t="s">
        <v>414</v>
      </c>
      <c r="J191" s="32" t="n">
        <v>1.0</v>
      </c>
      <c r="K191" s="33" t="n">
        <f>1514</f>
        <v>1514.0</v>
      </c>
      <c r="L191" s="34" t="s">
        <v>48</v>
      </c>
      <c r="M191" s="33" t="n">
        <f>1541</f>
        <v>1541.0</v>
      </c>
      <c r="N191" s="34" t="s">
        <v>302</v>
      </c>
      <c r="O191" s="33" t="n">
        <f>1453</f>
        <v>1453.0</v>
      </c>
      <c r="P191" s="34" t="s">
        <v>49</v>
      </c>
      <c r="Q191" s="33" t="n">
        <f>1492</f>
        <v>1492.0</v>
      </c>
      <c r="R191" s="34" t="s">
        <v>51</v>
      </c>
      <c r="S191" s="35" t="n">
        <f>1486.17</f>
        <v>1486.17</v>
      </c>
      <c r="T191" s="32" t="n">
        <f>3649679</f>
        <v>3649679.0</v>
      </c>
      <c r="U191" s="32" t="n">
        <f>1</f>
        <v>1.0</v>
      </c>
      <c r="V191" s="32" t="n">
        <f>5442519411</f>
        <v>5.442519411E9</v>
      </c>
      <c r="W191" s="32" t="n">
        <f>1465</f>
        <v>1465.0</v>
      </c>
      <c r="X191" s="36" t="n">
        <f>18</f>
        <v>18.0</v>
      </c>
    </row>
    <row r="192">
      <c r="A192" s="27" t="s">
        <v>42</v>
      </c>
      <c r="B192" s="27" t="s">
        <v>619</v>
      </c>
      <c r="C192" s="27" t="s">
        <v>620</v>
      </c>
      <c r="D192" s="27" t="s">
        <v>621</v>
      </c>
      <c r="E192" s="28" t="s">
        <v>46</v>
      </c>
      <c r="F192" s="29" t="s">
        <v>46</v>
      </c>
      <c r="G192" s="30" t="s">
        <v>46</v>
      </c>
      <c r="H192" s="31"/>
      <c r="I192" s="31" t="s">
        <v>414</v>
      </c>
      <c r="J192" s="32" t="n">
        <v>1.0</v>
      </c>
      <c r="K192" s="33" t="n">
        <f>881</f>
        <v>881.0</v>
      </c>
      <c r="L192" s="34" t="s">
        <v>48</v>
      </c>
      <c r="M192" s="33" t="n">
        <f>904</f>
        <v>904.0</v>
      </c>
      <c r="N192" s="34" t="s">
        <v>49</v>
      </c>
      <c r="O192" s="33" t="n">
        <f>881</f>
        <v>881.0</v>
      </c>
      <c r="P192" s="34" t="s">
        <v>48</v>
      </c>
      <c r="Q192" s="33" t="n">
        <f>888</f>
        <v>888.0</v>
      </c>
      <c r="R192" s="34" t="s">
        <v>51</v>
      </c>
      <c r="S192" s="35" t="n">
        <f>890.72</f>
        <v>890.72</v>
      </c>
      <c r="T192" s="32" t="n">
        <f>267875</f>
        <v>267875.0</v>
      </c>
      <c r="U192" s="32" t="str">
        <f>"－"</f>
        <v>－</v>
      </c>
      <c r="V192" s="32" t="n">
        <f>238551675</f>
        <v>2.38551675E8</v>
      </c>
      <c r="W192" s="32" t="str">
        <f>"－"</f>
        <v>－</v>
      </c>
      <c r="X192" s="36" t="n">
        <f>18</f>
        <v>18.0</v>
      </c>
    </row>
    <row r="193">
      <c r="A193" s="27" t="s">
        <v>42</v>
      </c>
      <c r="B193" s="27" t="s">
        <v>622</v>
      </c>
      <c r="C193" s="27" t="s">
        <v>623</v>
      </c>
      <c r="D193" s="27" t="s">
        <v>624</v>
      </c>
      <c r="E193" s="28" t="s">
        <v>46</v>
      </c>
      <c r="F193" s="29" t="s">
        <v>46</v>
      </c>
      <c r="G193" s="30" t="s">
        <v>46</v>
      </c>
      <c r="H193" s="31"/>
      <c r="I193" s="31" t="s">
        <v>414</v>
      </c>
      <c r="J193" s="32" t="n">
        <v>1.0</v>
      </c>
      <c r="K193" s="33" t="n">
        <f>34120</f>
        <v>34120.0</v>
      </c>
      <c r="L193" s="34" t="s">
        <v>48</v>
      </c>
      <c r="M193" s="33" t="n">
        <f>35500</f>
        <v>35500.0</v>
      </c>
      <c r="N193" s="34" t="s">
        <v>49</v>
      </c>
      <c r="O193" s="33" t="n">
        <f>31820</f>
        <v>31820.0</v>
      </c>
      <c r="P193" s="34" t="s">
        <v>148</v>
      </c>
      <c r="Q193" s="33" t="n">
        <f>33900</f>
        <v>33900.0</v>
      </c>
      <c r="R193" s="34" t="s">
        <v>51</v>
      </c>
      <c r="S193" s="35" t="n">
        <f>33516.11</f>
        <v>33516.11</v>
      </c>
      <c r="T193" s="32" t="n">
        <f>16853</f>
        <v>16853.0</v>
      </c>
      <c r="U193" s="32" t="str">
        <f>"－"</f>
        <v>－</v>
      </c>
      <c r="V193" s="32" t="n">
        <f>563880570</f>
        <v>5.6388057E8</v>
      </c>
      <c r="W193" s="32" t="str">
        <f>"－"</f>
        <v>－</v>
      </c>
      <c r="X193" s="36" t="n">
        <f>18</f>
        <v>18.0</v>
      </c>
    </row>
    <row r="194">
      <c r="A194" s="27" t="s">
        <v>42</v>
      </c>
      <c r="B194" s="27" t="s">
        <v>625</v>
      </c>
      <c r="C194" s="27" t="s">
        <v>626</v>
      </c>
      <c r="D194" s="27" t="s">
        <v>627</v>
      </c>
      <c r="E194" s="28" t="s">
        <v>46</v>
      </c>
      <c r="F194" s="29" t="s">
        <v>46</v>
      </c>
      <c r="G194" s="30" t="s">
        <v>46</v>
      </c>
      <c r="H194" s="31"/>
      <c r="I194" s="31" t="s">
        <v>414</v>
      </c>
      <c r="J194" s="32" t="n">
        <v>1.0</v>
      </c>
      <c r="K194" s="33" t="n">
        <f>2159</f>
        <v>2159.0</v>
      </c>
      <c r="L194" s="34" t="s">
        <v>48</v>
      </c>
      <c r="M194" s="33" t="n">
        <f>2225</f>
        <v>2225.0</v>
      </c>
      <c r="N194" s="34" t="s">
        <v>148</v>
      </c>
      <c r="O194" s="33" t="n">
        <f>2116</f>
        <v>2116.0</v>
      </c>
      <c r="P194" s="34" t="s">
        <v>49</v>
      </c>
      <c r="Q194" s="33" t="n">
        <f>2142</f>
        <v>2142.0</v>
      </c>
      <c r="R194" s="34" t="s">
        <v>51</v>
      </c>
      <c r="S194" s="35" t="n">
        <f>2167.06</f>
        <v>2167.06</v>
      </c>
      <c r="T194" s="32" t="n">
        <f>153074</f>
        <v>153074.0</v>
      </c>
      <c r="U194" s="32" t="str">
        <f>"－"</f>
        <v>－</v>
      </c>
      <c r="V194" s="32" t="n">
        <f>332697574</f>
        <v>3.32697574E8</v>
      </c>
      <c r="W194" s="32" t="str">
        <f>"－"</f>
        <v>－</v>
      </c>
      <c r="X194" s="36" t="n">
        <f>18</f>
        <v>18.0</v>
      </c>
    </row>
    <row r="195">
      <c r="A195" s="27" t="s">
        <v>42</v>
      </c>
      <c r="B195" s="27" t="s">
        <v>628</v>
      </c>
      <c r="C195" s="27" t="s">
        <v>629</v>
      </c>
      <c r="D195" s="27" t="s">
        <v>630</v>
      </c>
      <c r="E195" s="28" t="s">
        <v>46</v>
      </c>
      <c r="F195" s="29" t="s">
        <v>46</v>
      </c>
      <c r="G195" s="30" t="s">
        <v>46</v>
      </c>
      <c r="H195" s="31"/>
      <c r="I195" s="31" t="s">
        <v>414</v>
      </c>
      <c r="J195" s="32" t="n">
        <v>1.0</v>
      </c>
      <c r="K195" s="33" t="n">
        <f>7541</f>
        <v>7541.0</v>
      </c>
      <c r="L195" s="34" t="s">
        <v>48</v>
      </c>
      <c r="M195" s="33" t="n">
        <f>7640</f>
        <v>7640.0</v>
      </c>
      <c r="N195" s="34" t="s">
        <v>302</v>
      </c>
      <c r="O195" s="33" t="n">
        <f>6986</f>
        <v>6986.0</v>
      </c>
      <c r="P195" s="34" t="s">
        <v>148</v>
      </c>
      <c r="Q195" s="33" t="n">
        <f>7380</f>
        <v>7380.0</v>
      </c>
      <c r="R195" s="34" t="s">
        <v>51</v>
      </c>
      <c r="S195" s="35" t="n">
        <f>7319.17</f>
        <v>7319.17</v>
      </c>
      <c r="T195" s="32" t="n">
        <f>7163</f>
        <v>7163.0</v>
      </c>
      <c r="U195" s="32" t="str">
        <f>"－"</f>
        <v>－</v>
      </c>
      <c r="V195" s="32" t="n">
        <f>52562676</f>
        <v>5.2562676E7</v>
      </c>
      <c r="W195" s="32" t="str">
        <f>"－"</f>
        <v>－</v>
      </c>
      <c r="X195" s="36" t="n">
        <f>18</f>
        <v>18.0</v>
      </c>
    </row>
    <row r="196">
      <c r="A196" s="27" t="s">
        <v>42</v>
      </c>
      <c r="B196" s="27" t="s">
        <v>631</v>
      </c>
      <c r="C196" s="27" t="s">
        <v>632</v>
      </c>
      <c r="D196" s="27" t="s">
        <v>633</v>
      </c>
      <c r="E196" s="28" t="s">
        <v>46</v>
      </c>
      <c r="F196" s="29" t="s">
        <v>46</v>
      </c>
      <c r="G196" s="30" t="s">
        <v>46</v>
      </c>
      <c r="H196" s="31"/>
      <c r="I196" s="31" t="s">
        <v>414</v>
      </c>
      <c r="J196" s="32" t="n">
        <v>1.0</v>
      </c>
      <c r="K196" s="33" t="n">
        <f>23895</f>
        <v>23895.0</v>
      </c>
      <c r="L196" s="34" t="s">
        <v>48</v>
      </c>
      <c r="M196" s="33" t="n">
        <f>25085</f>
        <v>25085.0</v>
      </c>
      <c r="N196" s="34" t="s">
        <v>114</v>
      </c>
      <c r="O196" s="33" t="n">
        <f>23150</f>
        <v>23150.0</v>
      </c>
      <c r="P196" s="34" t="s">
        <v>50</v>
      </c>
      <c r="Q196" s="33" t="n">
        <f>24700</f>
        <v>24700.0</v>
      </c>
      <c r="R196" s="34" t="s">
        <v>51</v>
      </c>
      <c r="S196" s="35" t="n">
        <f>24120.29</f>
        <v>24120.29</v>
      </c>
      <c r="T196" s="32" t="n">
        <f>360</f>
        <v>360.0</v>
      </c>
      <c r="U196" s="32" t="str">
        <f>"－"</f>
        <v>－</v>
      </c>
      <c r="V196" s="32" t="n">
        <f>8690925</f>
        <v>8690925.0</v>
      </c>
      <c r="W196" s="32" t="str">
        <f>"－"</f>
        <v>－</v>
      </c>
      <c r="X196" s="36" t="n">
        <f>17</f>
        <v>17.0</v>
      </c>
    </row>
    <row r="197">
      <c r="A197" s="27" t="s">
        <v>42</v>
      </c>
      <c r="B197" s="27" t="s">
        <v>634</v>
      </c>
      <c r="C197" s="27" t="s">
        <v>635</v>
      </c>
      <c r="D197" s="27" t="s">
        <v>636</v>
      </c>
      <c r="E197" s="28" t="s">
        <v>46</v>
      </c>
      <c r="F197" s="29" t="s">
        <v>46</v>
      </c>
      <c r="G197" s="30" t="s">
        <v>46</v>
      </c>
      <c r="H197" s="31"/>
      <c r="I197" s="31" t="s">
        <v>414</v>
      </c>
      <c r="J197" s="32" t="n">
        <v>1.0</v>
      </c>
      <c r="K197" s="33" t="n">
        <f>30190</f>
        <v>30190.0</v>
      </c>
      <c r="L197" s="34" t="s">
        <v>48</v>
      </c>
      <c r="M197" s="33" t="n">
        <f>31480</f>
        <v>31480.0</v>
      </c>
      <c r="N197" s="34" t="s">
        <v>51</v>
      </c>
      <c r="O197" s="33" t="n">
        <f>29530</f>
        <v>29530.0</v>
      </c>
      <c r="P197" s="34" t="s">
        <v>89</v>
      </c>
      <c r="Q197" s="33" t="n">
        <f>31480</f>
        <v>31480.0</v>
      </c>
      <c r="R197" s="34" t="s">
        <v>51</v>
      </c>
      <c r="S197" s="35" t="n">
        <f>30457.5</f>
        <v>30457.5</v>
      </c>
      <c r="T197" s="32" t="n">
        <f>5330</f>
        <v>5330.0</v>
      </c>
      <c r="U197" s="32" t="str">
        <f>"－"</f>
        <v>－</v>
      </c>
      <c r="V197" s="32" t="n">
        <f>163564910</f>
        <v>1.6356491E8</v>
      </c>
      <c r="W197" s="32" t="str">
        <f>"－"</f>
        <v>－</v>
      </c>
      <c r="X197" s="36" t="n">
        <f>18</f>
        <v>18.0</v>
      </c>
    </row>
    <row r="198">
      <c r="A198" s="27" t="s">
        <v>42</v>
      </c>
      <c r="B198" s="27" t="s">
        <v>637</v>
      </c>
      <c r="C198" s="27" t="s">
        <v>638</v>
      </c>
      <c r="D198" s="27" t="s">
        <v>639</v>
      </c>
      <c r="E198" s="28" t="s">
        <v>46</v>
      </c>
      <c r="F198" s="29" t="s">
        <v>46</v>
      </c>
      <c r="G198" s="30" t="s">
        <v>46</v>
      </c>
      <c r="H198" s="31"/>
      <c r="I198" s="31" t="s">
        <v>414</v>
      </c>
      <c r="J198" s="32" t="n">
        <v>1.0</v>
      </c>
      <c r="K198" s="33" t="n">
        <f>19500</f>
        <v>19500.0</v>
      </c>
      <c r="L198" s="34" t="s">
        <v>48</v>
      </c>
      <c r="M198" s="33" t="n">
        <f>19990</f>
        <v>19990.0</v>
      </c>
      <c r="N198" s="34" t="s">
        <v>208</v>
      </c>
      <c r="O198" s="33" t="n">
        <f>19445</f>
        <v>19445.0</v>
      </c>
      <c r="P198" s="34" t="s">
        <v>50</v>
      </c>
      <c r="Q198" s="33" t="n">
        <f>19990</f>
        <v>19990.0</v>
      </c>
      <c r="R198" s="34" t="s">
        <v>208</v>
      </c>
      <c r="S198" s="35" t="n">
        <f>19686.67</f>
        <v>19686.67</v>
      </c>
      <c r="T198" s="32" t="n">
        <f>42</f>
        <v>42.0</v>
      </c>
      <c r="U198" s="32" t="str">
        <f>"－"</f>
        <v>－</v>
      </c>
      <c r="V198" s="32" t="n">
        <f>824335</f>
        <v>824335.0</v>
      </c>
      <c r="W198" s="32" t="str">
        <f>"－"</f>
        <v>－</v>
      </c>
      <c r="X198" s="36" t="n">
        <f>9</f>
        <v>9.0</v>
      </c>
    </row>
    <row r="199">
      <c r="A199" s="27" t="s">
        <v>42</v>
      </c>
      <c r="B199" s="27" t="s">
        <v>640</v>
      </c>
      <c r="C199" s="27" t="s">
        <v>641</v>
      </c>
      <c r="D199" s="27" t="s">
        <v>642</v>
      </c>
      <c r="E199" s="28" t="s">
        <v>46</v>
      </c>
      <c r="F199" s="29" t="s">
        <v>46</v>
      </c>
      <c r="G199" s="30" t="s">
        <v>46</v>
      </c>
      <c r="H199" s="31"/>
      <c r="I199" s="31" t="s">
        <v>414</v>
      </c>
      <c r="J199" s="32" t="n">
        <v>1.0</v>
      </c>
      <c r="K199" s="33" t="n">
        <f>32300</f>
        <v>32300.0</v>
      </c>
      <c r="L199" s="34" t="s">
        <v>48</v>
      </c>
      <c r="M199" s="33" t="n">
        <f>33370</f>
        <v>33370.0</v>
      </c>
      <c r="N199" s="34" t="s">
        <v>148</v>
      </c>
      <c r="O199" s="33" t="n">
        <f>30530</f>
        <v>30530.0</v>
      </c>
      <c r="P199" s="34" t="s">
        <v>89</v>
      </c>
      <c r="Q199" s="33" t="n">
        <f>32990</f>
        <v>32990.0</v>
      </c>
      <c r="R199" s="34" t="s">
        <v>51</v>
      </c>
      <c r="S199" s="35" t="n">
        <f>32091.11</f>
        <v>32091.11</v>
      </c>
      <c r="T199" s="32" t="n">
        <f>42269</f>
        <v>42269.0</v>
      </c>
      <c r="U199" s="32" t="str">
        <f>"－"</f>
        <v>－</v>
      </c>
      <c r="V199" s="32" t="n">
        <f>1358102500</f>
        <v>1.3581025E9</v>
      </c>
      <c r="W199" s="32" t="str">
        <f>"－"</f>
        <v>－</v>
      </c>
      <c r="X199" s="36" t="n">
        <f>18</f>
        <v>18.0</v>
      </c>
    </row>
    <row r="200">
      <c r="A200" s="27" t="s">
        <v>42</v>
      </c>
      <c r="B200" s="27" t="s">
        <v>643</v>
      </c>
      <c r="C200" s="27" t="s">
        <v>644</v>
      </c>
      <c r="D200" s="27" t="s">
        <v>645</v>
      </c>
      <c r="E200" s="28" t="s">
        <v>46</v>
      </c>
      <c r="F200" s="29" t="s">
        <v>46</v>
      </c>
      <c r="G200" s="30" t="s">
        <v>46</v>
      </c>
      <c r="H200" s="31"/>
      <c r="I200" s="31" t="s">
        <v>414</v>
      </c>
      <c r="J200" s="32" t="n">
        <v>1.0</v>
      </c>
      <c r="K200" s="33" t="n">
        <f>3330</f>
        <v>3330.0</v>
      </c>
      <c r="L200" s="34" t="s">
        <v>48</v>
      </c>
      <c r="M200" s="33" t="n">
        <f>3381</f>
        <v>3381.0</v>
      </c>
      <c r="N200" s="34" t="s">
        <v>245</v>
      </c>
      <c r="O200" s="33" t="n">
        <f>3287</f>
        <v>3287.0</v>
      </c>
      <c r="P200" s="34" t="s">
        <v>302</v>
      </c>
      <c r="Q200" s="33" t="n">
        <f>3317</f>
        <v>3317.0</v>
      </c>
      <c r="R200" s="34" t="s">
        <v>51</v>
      </c>
      <c r="S200" s="35" t="n">
        <f>3333.38</f>
        <v>3333.38</v>
      </c>
      <c r="T200" s="32" t="n">
        <f>2496</f>
        <v>2496.0</v>
      </c>
      <c r="U200" s="32" t="str">
        <f>"－"</f>
        <v>－</v>
      </c>
      <c r="V200" s="32" t="n">
        <f>8301753</f>
        <v>8301753.0</v>
      </c>
      <c r="W200" s="32" t="str">
        <f>"－"</f>
        <v>－</v>
      </c>
      <c r="X200" s="36" t="n">
        <f>16</f>
        <v>16.0</v>
      </c>
    </row>
    <row r="201">
      <c r="A201" s="27" t="s">
        <v>42</v>
      </c>
      <c r="B201" s="27" t="s">
        <v>646</v>
      </c>
      <c r="C201" s="27" t="s">
        <v>647</v>
      </c>
      <c r="D201" s="27" t="s">
        <v>648</v>
      </c>
      <c r="E201" s="28" t="s">
        <v>46</v>
      </c>
      <c r="F201" s="29" t="s">
        <v>46</v>
      </c>
      <c r="G201" s="30" t="s">
        <v>46</v>
      </c>
      <c r="H201" s="31"/>
      <c r="I201" s="31" t="s">
        <v>414</v>
      </c>
      <c r="J201" s="32" t="n">
        <v>1.0</v>
      </c>
      <c r="K201" s="33" t="n">
        <f>38450</f>
        <v>38450.0</v>
      </c>
      <c r="L201" s="34" t="s">
        <v>48</v>
      </c>
      <c r="M201" s="33" t="n">
        <f>42900</f>
        <v>42900.0</v>
      </c>
      <c r="N201" s="34" t="s">
        <v>69</v>
      </c>
      <c r="O201" s="33" t="n">
        <f>37670</f>
        <v>37670.0</v>
      </c>
      <c r="P201" s="34" t="s">
        <v>50</v>
      </c>
      <c r="Q201" s="33" t="n">
        <f>42900</f>
        <v>42900.0</v>
      </c>
      <c r="R201" s="34" t="s">
        <v>51</v>
      </c>
      <c r="S201" s="35" t="n">
        <f>40865.33</f>
        <v>40865.33</v>
      </c>
      <c r="T201" s="32" t="n">
        <f>353</f>
        <v>353.0</v>
      </c>
      <c r="U201" s="32" t="str">
        <f>"－"</f>
        <v>－</v>
      </c>
      <c r="V201" s="32" t="n">
        <f>14226240</f>
        <v>1.422624E7</v>
      </c>
      <c r="W201" s="32" t="str">
        <f>"－"</f>
        <v>－</v>
      </c>
      <c r="X201" s="36" t="n">
        <f>15</f>
        <v>15.0</v>
      </c>
    </row>
    <row r="202">
      <c r="A202" s="27" t="s">
        <v>42</v>
      </c>
      <c r="B202" s="27" t="s">
        <v>649</v>
      </c>
      <c r="C202" s="27" t="s">
        <v>650</v>
      </c>
      <c r="D202" s="27" t="s">
        <v>651</v>
      </c>
      <c r="E202" s="28" t="s">
        <v>46</v>
      </c>
      <c r="F202" s="29" t="s">
        <v>46</v>
      </c>
      <c r="G202" s="30" t="s">
        <v>46</v>
      </c>
      <c r="H202" s="31"/>
      <c r="I202" s="31" t="s">
        <v>414</v>
      </c>
      <c r="J202" s="32" t="n">
        <v>1.0</v>
      </c>
      <c r="K202" s="33" t="n">
        <f>25480</f>
        <v>25480.0</v>
      </c>
      <c r="L202" s="34" t="s">
        <v>48</v>
      </c>
      <c r="M202" s="33" t="n">
        <f>27045</f>
        <v>27045.0</v>
      </c>
      <c r="N202" s="34" t="s">
        <v>51</v>
      </c>
      <c r="O202" s="33" t="n">
        <f>25325</f>
        <v>25325.0</v>
      </c>
      <c r="P202" s="34" t="s">
        <v>50</v>
      </c>
      <c r="Q202" s="33" t="n">
        <f>27045</f>
        <v>27045.0</v>
      </c>
      <c r="R202" s="34" t="s">
        <v>51</v>
      </c>
      <c r="S202" s="35" t="n">
        <f>25953.33</f>
        <v>25953.33</v>
      </c>
      <c r="T202" s="32" t="n">
        <f>134</f>
        <v>134.0</v>
      </c>
      <c r="U202" s="32" t="str">
        <f>"－"</f>
        <v>－</v>
      </c>
      <c r="V202" s="32" t="n">
        <f>3512740</f>
        <v>3512740.0</v>
      </c>
      <c r="W202" s="32" t="str">
        <f>"－"</f>
        <v>－</v>
      </c>
      <c r="X202" s="36" t="n">
        <f>12</f>
        <v>12.0</v>
      </c>
    </row>
    <row r="203">
      <c r="A203" s="27" t="s">
        <v>42</v>
      </c>
      <c r="B203" s="27" t="s">
        <v>652</v>
      </c>
      <c r="C203" s="27" t="s">
        <v>653</v>
      </c>
      <c r="D203" s="27" t="s">
        <v>654</v>
      </c>
      <c r="E203" s="28" t="s">
        <v>46</v>
      </c>
      <c r="F203" s="29" t="s">
        <v>46</v>
      </c>
      <c r="G203" s="30" t="s">
        <v>46</v>
      </c>
      <c r="H203" s="31"/>
      <c r="I203" s="31" t="s">
        <v>414</v>
      </c>
      <c r="J203" s="32" t="n">
        <v>1.0</v>
      </c>
      <c r="K203" s="33" t="n">
        <f>44110</f>
        <v>44110.0</v>
      </c>
      <c r="L203" s="34" t="s">
        <v>48</v>
      </c>
      <c r="M203" s="33" t="n">
        <f>49010</f>
        <v>49010.0</v>
      </c>
      <c r="N203" s="34" t="s">
        <v>51</v>
      </c>
      <c r="O203" s="33" t="n">
        <f>43880</f>
        <v>43880.0</v>
      </c>
      <c r="P203" s="34" t="s">
        <v>50</v>
      </c>
      <c r="Q203" s="33" t="n">
        <f>49010</f>
        <v>49010.0</v>
      </c>
      <c r="R203" s="34" t="s">
        <v>51</v>
      </c>
      <c r="S203" s="35" t="n">
        <f>46130</f>
        <v>46130.0</v>
      </c>
      <c r="T203" s="32" t="n">
        <f>36</f>
        <v>36.0</v>
      </c>
      <c r="U203" s="32" t="str">
        <f>"－"</f>
        <v>－</v>
      </c>
      <c r="V203" s="32" t="n">
        <f>1672000</f>
        <v>1672000.0</v>
      </c>
      <c r="W203" s="32" t="str">
        <f>"－"</f>
        <v>－</v>
      </c>
      <c r="X203" s="36" t="n">
        <f>13</f>
        <v>13.0</v>
      </c>
    </row>
    <row r="204">
      <c r="A204" s="27" t="s">
        <v>42</v>
      </c>
      <c r="B204" s="27" t="s">
        <v>655</v>
      </c>
      <c r="C204" s="27" t="s">
        <v>656</v>
      </c>
      <c r="D204" s="27" t="s">
        <v>657</v>
      </c>
      <c r="E204" s="28" t="s">
        <v>46</v>
      </c>
      <c r="F204" s="29" t="s">
        <v>46</v>
      </c>
      <c r="G204" s="30" t="s">
        <v>46</v>
      </c>
      <c r="H204" s="31"/>
      <c r="I204" s="31" t="s">
        <v>414</v>
      </c>
      <c r="J204" s="32" t="n">
        <v>1.0</v>
      </c>
      <c r="K204" s="33" t="str">
        <f>"－"</f>
        <v>－</v>
      </c>
      <c r="L204" s="34"/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5" t="str">
        <f>"－"</f>
        <v>－</v>
      </c>
      <c r="T204" s="32" t="str">
        <f>"－"</f>
        <v>－</v>
      </c>
      <c r="U204" s="32" t="str">
        <f>"－"</f>
        <v>－</v>
      </c>
      <c r="V204" s="32" t="str">
        <f>"－"</f>
        <v>－</v>
      </c>
      <c r="W204" s="32" t="str">
        <f>"－"</f>
        <v>－</v>
      </c>
      <c r="X204" s="36" t="str">
        <f>"－"</f>
        <v>－</v>
      </c>
    </row>
    <row r="205">
      <c r="A205" s="27" t="s">
        <v>42</v>
      </c>
      <c r="B205" s="27" t="s">
        <v>658</v>
      </c>
      <c r="C205" s="27" t="s">
        <v>659</v>
      </c>
      <c r="D205" s="27" t="s">
        <v>660</v>
      </c>
      <c r="E205" s="28" t="s">
        <v>46</v>
      </c>
      <c r="F205" s="29" t="s">
        <v>46</v>
      </c>
      <c r="G205" s="30" t="s">
        <v>46</v>
      </c>
      <c r="H205" s="31"/>
      <c r="I205" s="31" t="s">
        <v>414</v>
      </c>
      <c r="J205" s="32" t="n">
        <v>1.0</v>
      </c>
      <c r="K205" s="33" t="n">
        <f>24800</f>
        <v>24800.0</v>
      </c>
      <c r="L205" s="34" t="s">
        <v>48</v>
      </c>
      <c r="M205" s="33" t="n">
        <f>25180</f>
        <v>25180.0</v>
      </c>
      <c r="N205" s="34" t="s">
        <v>69</v>
      </c>
      <c r="O205" s="33" t="n">
        <f>24085</f>
        <v>24085.0</v>
      </c>
      <c r="P205" s="34" t="s">
        <v>73</v>
      </c>
      <c r="Q205" s="33" t="n">
        <f>25170</f>
        <v>25170.0</v>
      </c>
      <c r="R205" s="34" t="s">
        <v>51</v>
      </c>
      <c r="S205" s="35" t="n">
        <f>24698.24</f>
        <v>24698.24</v>
      </c>
      <c r="T205" s="32" t="n">
        <f>1211</f>
        <v>1211.0</v>
      </c>
      <c r="U205" s="32" t="str">
        <f>"－"</f>
        <v>－</v>
      </c>
      <c r="V205" s="32" t="n">
        <f>29727515</f>
        <v>2.9727515E7</v>
      </c>
      <c r="W205" s="32" t="str">
        <f>"－"</f>
        <v>－</v>
      </c>
      <c r="X205" s="36" t="n">
        <f>17</f>
        <v>17.0</v>
      </c>
    </row>
    <row r="206">
      <c r="A206" s="27" t="s">
        <v>42</v>
      </c>
      <c r="B206" s="27" t="s">
        <v>661</v>
      </c>
      <c r="C206" s="27" t="s">
        <v>662</v>
      </c>
      <c r="D206" s="27" t="s">
        <v>663</v>
      </c>
      <c r="E206" s="28" t="s">
        <v>46</v>
      </c>
      <c r="F206" s="29" t="s">
        <v>46</v>
      </c>
      <c r="G206" s="30" t="s">
        <v>46</v>
      </c>
      <c r="H206" s="31"/>
      <c r="I206" s="31" t="s">
        <v>414</v>
      </c>
      <c r="J206" s="32" t="n">
        <v>1.0</v>
      </c>
      <c r="K206" s="33" t="n">
        <f>32460</f>
        <v>32460.0</v>
      </c>
      <c r="L206" s="34" t="s">
        <v>50</v>
      </c>
      <c r="M206" s="33" t="n">
        <f>32460</f>
        <v>32460.0</v>
      </c>
      <c r="N206" s="34" t="s">
        <v>50</v>
      </c>
      <c r="O206" s="33" t="n">
        <f>31760</f>
        <v>31760.0</v>
      </c>
      <c r="P206" s="34" t="s">
        <v>68</v>
      </c>
      <c r="Q206" s="33" t="n">
        <f>31760</f>
        <v>31760.0</v>
      </c>
      <c r="R206" s="34" t="s">
        <v>68</v>
      </c>
      <c r="S206" s="35" t="n">
        <f>32110</f>
        <v>32110.0</v>
      </c>
      <c r="T206" s="32" t="n">
        <f>3202</f>
        <v>3202.0</v>
      </c>
      <c r="U206" s="32" t="n">
        <f>3200</f>
        <v>3200.0</v>
      </c>
      <c r="V206" s="32" t="n">
        <f>98867420</f>
        <v>9.886742E7</v>
      </c>
      <c r="W206" s="32" t="n">
        <f>98803200</f>
        <v>9.88032E7</v>
      </c>
      <c r="X206" s="36" t="n">
        <f>2</f>
        <v>2.0</v>
      </c>
    </row>
    <row r="207">
      <c r="A207" s="27" t="s">
        <v>42</v>
      </c>
      <c r="B207" s="27" t="s">
        <v>664</v>
      </c>
      <c r="C207" s="27" t="s">
        <v>665</v>
      </c>
      <c r="D207" s="27" t="s">
        <v>666</v>
      </c>
      <c r="E207" s="28" t="s">
        <v>46</v>
      </c>
      <c r="F207" s="29" t="s">
        <v>46</v>
      </c>
      <c r="G207" s="30" t="s">
        <v>46</v>
      </c>
      <c r="H207" s="31"/>
      <c r="I207" s="31" t="s">
        <v>414</v>
      </c>
      <c r="J207" s="32" t="n">
        <v>1.0</v>
      </c>
      <c r="K207" s="33" t="n">
        <f>19525</f>
        <v>19525.0</v>
      </c>
      <c r="L207" s="34" t="s">
        <v>50</v>
      </c>
      <c r="M207" s="33" t="n">
        <f>20540</f>
        <v>20540.0</v>
      </c>
      <c r="N207" s="34" t="s">
        <v>148</v>
      </c>
      <c r="O207" s="33" t="n">
        <f>19415</f>
        <v>19415.0</v>
      </c>
      <c r="P207" s="34" t="s">
        <v>191</v>
      </c>
      <c r="Q207" s="33" t="n">
        <f>20540</f>
        <v>20540.0</v>
      </c>
      <c r="R207" s="34" t="s">
        <v>148</v>
      </c>
      <c r="S207" s="35" t="n">
        <f>19826.67</f>
        <v>19826.67</v>
      </c>
      <c r="T207" s="32" t="n">
        <f>12</f>
        <v>12.0</v>
      </c>
      <c r="U207" s="32" t="str">
        <f>"－"</f>
        <v>－</v>
      </c>
      <c r="V207" s="32" t="n">
        <f>240005</f>
        <v>240005.0</v>
      </c>
      <c r="W207" s="32" t="str">
        <f>"－"</f>
        <v>－</v>
      </c>
      <c r="X207" s="36" t="n">
        <f>3</f>
        <v>3.0</v>
      </c>
    </row>
    <row r="208">
      <c r="A208" s="27" t="s">
        <v>42</v>
      </c>
      <c r="B208" s="27" t="s">
        <v>667</v>
      </c>
      <c r="C208" s="27" t="s">
        <v>668</v>
      </c>
      <c r="D208" s="27" t="s">
        <v>669</v>
      </c>
      <c r="E208" s="28" t="s">
        <v>46</v>
      </c>
      <c r="F208" s="29" t="s">
        <v>46</v>
      </c>
      <c r="G208" s="30" t="s">
        <v>46</v>
      </c>
      <c r="H208" s="31"/>
      <c r="I208" s="31" t="s">
        <v>414</v>
      </c>
      <c r="J208" s="32" t="n">
        <v>1.0</v>
      </c>
      <c r="K208" s="33" t="n">
        <f>14155</f>
        <v>14155.0</v>
      </c>
      <c r="L208" s="34" t="s">
        <v>48</v>
      </c>
      <c r="M208" s="33" t="n">
        <f>14495</f>
        <v>14495.0</v>
      </c>
      <c r="N208" s="34" t="s">
        <v>208</v>
      </c>
      <c r="O208" s="33" t="n">
        <f>13845</f>
        <v>13845.0</v>
      </c>
      <c r="P208" s="34" t="s">
        <v>50</v>
      </c>
      <c r="Q208" s="33" t="n">
        <f>14380</f>
        <v>14380.0</v>
      </c>
      <c r="R208" s="34" t="s">
        <v>51</v>
      </c>
      <c r="S208" s="35" t="n">
        <f>14238.24</f>
        <v>14238.24</v>
      </c>
      <c r="T208" s="32" t="n">
        <f>919</f>
        <v>919.0</v>
      </c>
      <c r="U208" s="32" t="str">
        <f>"－"</f>
        <v>－</v>
      </c>
      <c r="V208" s="32" t="n">
        <f>13208520</f>
        <v>1.320852E7</v>
      </c>
      <c r="W208" s="32" t="str">
        <f>"－"</f>
        <v>－</v>
      </c>
      <c r="X208" s="36" t="n">
        <f>17</f>
        <v>17.0</v>
      </c>
    </row>
    <row r="209">
      <c r="A209" s="27" t="s">
        <v>42</v>
      </c>
      <c r="B209" s="27" t="s">
        <v>670</v>
      </c>
      <c r="C209" s="27" t="s">
        <v>671</v>
      </c>
      <c r="D209" s="27" t="s">
        <v>672</v>
      </c>
      <c r="E209" s="28" t="s">
        <v>46</v>
      </c>
      <c r="F209" s="29" t="s">
        <v>46</v>
      </c>
      <c r="G209" s="30" t="s">
        <v>46</v>
      </c>
      <c r="H209" s="31"/>
      <c r="I209" s="31" t="s">
        <v>414</v>
      </c>
      <c r="J209" s="32" t="n">
        <v>1.0</v>
      </c>
      <c r="K209" s="33" t="n">
        <f>18000</f>
        <v>18000.0</v>
      </c>
      <c r="L209" s="34" t="s">
        <v>50</v>
      </c>
      <c r="M209" s="33" t="n">
        <f>18540</f>
        <v>18540.0</v>
      </c>
      <c r="N209" s="34" t="s">
        <v>89</v>
      </c>
      <c r="O209" s="33" t="n">
        <f>17565</f>
        <v>17565.0</v>
      </c>
      <c r="P209" s="34" t="s">
        <v>73</v>
      </c>
      <c r="Q209" s="33" t="n">
        <f>18250</f>
        <v>18250.0</v>
      </c>
      <c r="R209" s="34" t="s">
        <v>51</v>
      </c>
      <c r="S209" s="35" t="n">
        <f>18170.77</f>
        <v>18170.77</v>
      </c>
      <c r="T209" s="32" t="n">
        <f>4170</f>
        <v>4170.0</v>
      </c>
      <c r="U209" s="32" t="str">
        <f>"－"</f>
        <v>－</v>
      </c>
      <c r="V209" s="32" t="n">
        <f>75919770</f>
        <v>7.591977E7</v>
      </c>
      <c r="W209" s="32" t="str">
        <f>"－"</f>
        <v>－</v>
      </c>
      <c r="X209" s="36" t="n">
        <f>13</f>
        <v>13.0</v>
      </c>
    </row>
    <row r="210">
      <c r="A210" s="27" t="s">
        <v>42</v>
      </c>
      <c r="B210" s="27" t="s">
        <v>673</v>
      </c>
      <c r="C210" s="27" t="s">
        <v>674</v>
      </c>
      <c r="D210" s="27" t="s">
        <v>675</v>
      </c>
      <c r="E210" s="28" t="s">
        <v>46</v>
      </c>
      <c r="F210" s="29" t="s">
        <v>46</v>
      </c>
      <c r="G210" s="30" t="s">
        <v>46</v>
      </c>
      <c r="H210" s="31"/>
      <c r="I210" s="31" t="s">
        <v>414</v>
      </c>
      <c r="J210" s="32" t="n">
        <v>1.0</v>
      </c>
      <c r="K210" s="33" t="n">
        <f>15610</f>
        <v>15610.0</v>
      </c>
      <c r="L210" s="34" t="s">
        <v>50</v>
      </c>
      <c r="M210" s="33" t="n">
        <f>16715</f>
        <v>16715.0</v>
      </c>
      <c r="N210" s="34" t="s">
        <v>49</v>
      </c>
      <c r="O210" s="33" t="n">
        <f>15610</f>
        <v>15610.0</v>
      </c>
      <c r="P210" s="34" t="s">
        <v>50</v>
      </c>
      <c r="Q210" s="33" t="n">
        <f>16420</f>
        <v>16420.0</v>
      </c>
      <c r="R210" s="34" t="s">
        <v>69</v>
      </c>
      <c r="S210" s="35" t="n">
        <f>16258.46</f>
        <v>16258.46</v>
      </c>
      <c r="T210" s="32" t="n">
        <f>1949</f>
        <v>1949.0</v>
      </c>
      <c r="U210" s="32" t="str">
        <f>"－"</f>
        <v>－</v>
      </c>
      <c r="V210" s="32" t="n">
        <f>31365770</f>
        <v>3.136577E7</v>
      </c>
      <c r="W210" s="32" t="str">
        <f>"－"</f>
        <v>－</v>
      </c>
      <c r="X210" s="36" t="n">
        <f>13</f>
        <v>13.0</v>
      </c>
    </row>
    <row r="211">
      <c r="A211" s="27" t="s">
        <v>42</v>
      </c>
      <c r="B211" s="27" t="s">
        <v>676</v>
      </c>
      <c r="C211" s="27" t="s">
        <v>677</v>
      </c>
      <c r="D211" s="27" t="s">
        <v>678</v>
      </c>
      <c r="E211" s="28" t="s">
        <v>46</v>
      </c>
      <c r="F211" s="29" t="s">
        <v>46</v>
      </c>
      <c r="G211" s="30" t="s">
        <v>46</v>
      </c>
      <c r="H211" s="31"/>
      <c r="I211" s="31" t="s">
        <v>414</v>
      </c>
      <c r="J211" s="32" t="n">
        <v>1.0</v>
      </c>
      <c r="K211" s="33" t="n">
        <f>15300</f>
        <v>15300.0</v>
      </c>
      <c r="L211" s="34" t="s">
        <v>50</v>
      </c>
      <c r="M211" s="33" t="n">
        <f>15625</f>
        <v>15625.0</v>
      </c>
      <c r="N211" s="34" t="s">
        <v>49</v>
      </c>
      <c r="O211" s="33" t="n">
        <f>15300</f>
        <v>15300.0</v>
      </c>
      <c r="P211" s="34" t="s">
        <v>50</v>
      </c>
      <c r="Q211" s="33" t="n">
        <f>15380</f>
        <v>15380.0</v>
      </c>
      <c r="R211" s="34" t="s">
        <v>208</v>
      </c>
      <c r="S211" s="35" t="n">
        <f>15430</f>
        <v>15430.0</v>
      </c>
      <c r="T211" s="32" t="n">
        <f>4</f>
        <v>4.0</v>
      </c>
      <c r="U211" s="32" t="str">
        <f>"－"</f>
        <v>－</v>
      </c>
      <c r="V211" s="32" t="n">
        <f>61720</f>
        <v>61720.0</v>
      </c>
      <c r="W211" s="32" t="str">
        <f>"－"</f>
        <v>－</v>
      </c>
      <c r="X211" s="36" t="n">
        <f>4</f>
        <v>4.0</v>
      </c>
    </row>
    <row r="212">
      <c r="A212" s="27" t="s">
        <v>42</v>
      </c>
      <c r="B212" s="27" t="s">
        <v>679</v>
      </c>
      <c r="C212" s="27" t="s">
        <v>680</v>
      </c>
      <c r="D212" s="27" t="s">
        <v>681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1.0</v>
      </c>
      <c r="K212" s="33" t="n">
        <f>1433</f>
        <v>1433.0</v>
      </c>
      <c r="L212" s="34" t="s">
        <v>48</v>
      </c>
      <c r="M212" s="33" t="n">
        <f>1538</f>
        <v>1538.0</v>
      </c>
      <c r="N212" s="34" t="s">
        <v>51</v>
      </c>
      <c r="O212" s="33" t="n">
        <f>1395</f>
        <v>1395.0</v>
      </c>
      <c r="P212" s="34" t="s">
        <v>50</v>
      </c>
      <c r="Q212" s="33" t="n">
        <f>1531</f>
        <v>1531.0</v>
      </c>
      <c r="R212" s="34" t="s">
        <v>51</v>
      </c>
      <c r="S212" s="35" t="n">
        <f>1471.44</f>
        <v>1471.44</v>
      </c>
      <c r="T212" s="32" t="n">
        <f>450714</f>
        <v>450714.0</v>
      </c>
      <c r="U212" s="32" t="n">
        <f>8</f>
        <v>8.0</v>
      </c>
      <c r="V212" s="32" t="n">
        <f>663192492</f>
        <v>6.63192492E8</v>
      </c>
      <c r="W212" s="32" t="n">
        <f>11680</f>
        <v>11680.0</v>
      </c>
      <c r="X212" s="36" t="n">
        <f>18</f>
        <v>18.0</v>
      </c>
    </row>
    <row r="213">
      <c r="A213" s="27" t="s">
        <v>42</v>
      </c>
      <c r="B213" s="27" t="s">
        <v>682</v>
      </c>
      <c r="C213" s="27" t="s">
        <v>683</v>
      </c>
      <c r="D213" s="27" t="s">
        <v>684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1.0</v>
      </c>
      <c r="K213" s="33" t="n">
        <f>1622</f>
        <v>1622.0</v>
      </c>
      <c r="L213" s="34" t="s">
        <v>48</v>
      </c>
      <c r="M213" s="33" t="n">
        <f>1680</f>
        <v>1680.0</v>
      </c>
      <c r="N213" s="34" t="s">
        <v>249</v>
      </c>
      <c r="O213" s="33" t="n">
        <f>1535</f>
        <v>1535.0</v>
      </c>
      <c r="P213" s="34" t="s">
        <v>50</v>
      </c>
      <c r="Q213" s="33" t="n">
        <f>1643</f>
        <v>1643.0</v>
      </c>
      <c r="R213" s="34" t="s">
        <v>51</v>
      </c>
      <c r="S213" s="35" t="n">
        <f>1604.56</f>
        <v>1604.56</v>
      </c>
      <c r="T213" s="32" t="n">
        <f>32004</f>
        <v>32004.0</v>
      </c>
      <c r="U213" s="32" t="str">
        <f>"－"</f>
        <v>－</v>
      </c>
      <c r="V213" s="32" t="n">
        <f>51012818</f>
        <v>5.1012818E7</v>
      </c>
      <c r="W213" s="32" t="str">
        <f>"－"</f>
        <v>－</v>
      </c>
      <c r="X213" s="36" t="n">
        <f>18</f>
        <v>18.0</v>
      </c>
    </row>
    <row r="214">
      <c r="A214" s="27" t="s">
        <v>42</v>
      </c>
      <c r="B214" s="27" t="s">
        <v>685</v>
      </c>
      <c r="C214" s="27" t="s">
        <v>686</v>
      </c>
      <c r="D214" s="27" t="s">
        <v>687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1199</f>
        <v>1199.0</v>
      </c>
      <c r="L214" s="34" t="s">
        <v>48</v>
      </c>
      <c r="M214" s="33" t="n">
        <f>1200</f>
        <v>1200.0</v>
      </c>
      <c r="N214" s="34" t="s">
        <v>49</v>
      </c>
      <c r="O214" s="33" t="n">
        <f>1150</f>
        <v>1150.0</v>
      </c>
      <c r="P214" s="34" t="s">
        <v>73</v>
      </c>
      <c r="Q214" s="33" t="n">
        <f>1193</f>
        <v>1193.0</v>
      </c>
      <c r="R214" s="34" t="s">
        <v>51</v>
      </c>
      <c r="S214" s="35" t="n">
        <f>1175.11</f>
        <v>1175.11</v>
      </c>
      <c r="T214" s="32" t="n">
        <f>7614</f>
        <v>7614.0</v>
      </c>
      <c r="U214" s="32" t="str">
        <f>"－"</f>
        <v>－</v>
      </c>
      <c r="V214" s="32" t="n">
        <f>8921936</f>
        <v>8921936.0</v>
      </c>
      <c r="W214" s="32" t="str">
        <f>"－"</f>
        <v>－</v>
      </c>
      <c r="X214" s="36" t="n">
        <f>18</f>
        <v>18.0</v>
      </c>
    </row>
    <row r="215">
      <c r="A215" s="27" t="s">
        <v>42</v>
      </c>
      <c r="B215" s="27" t="s">
        <v>688</v>
      </c>
      <c r="C215" s="27" t="s">
        <v>689</v>
      </c>
      <c r="D215" s="27" t="s">
        <v>690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2750</f>
        <v>2750.0</v>
      </c>
      <c r="L215" s="34" t="s">
        <v>48</v>
      </c>
      <c r="M215" s="33" t="n">
        <f>2797</f>
        <v>2797.0</v>
      </c>
      <c r="N215" s="34" t="s">
        <v>51</v>
      </c>
      <c r="O215" s="33" t="n">
        <f>2620</f>
        <v>2620.0</v>
      </c>
      <c r="P215" s="34" t="s">
        <v>50</v>
      </c>
      <c r="Q215" s="33" t="n">
        <f>2784</f>
        <v>2784.0</v>
      </c>
      <c r="R215" s="34" t="s">
        <v>51</v>
      </c>
      <c r="S215" s="35" t="n">
        <f>2731.17</f>
        <v>2731.17</v>
      </c>
      <c r="T215" s="32" t="n">
        <f>62987</f>
        <v>62987.0</v>
      </c>
      <c r="U215" s="32" t="str">
        <f>"－"</f>
        <v>－</v>
      </c>
      <c r="V215" s="32" t="n">
        <f>170785870</f>
        <v>1.7078587E8</v>
      </c>
      <c r="W215" s="32" t="str">
        <f>"－"</f>
        <v>－</v>
      </c>
      <c r="X215" s="36" t="n">
        <f>18</f>
        <v>18.0</v>
      </c>
    </row>
    <row r="216">
      <c r="A216" s="27" t="s">
        <v>42</v>
      </c>
      <c r="B216" s="27" t="s">
        <v>691</v>
      </c>
      <c r="C216" s="27" t="s">
        <v>692</v>
      </c>
      <c r="D216" s="27" t="s">
        <v>693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2850</f>
        <v>2850.0</v>
      </c>
      <c r="L216" s="34" t="s">
        <v>48</v>
      </c>
      <c r="M216" s="33" t="n">
        <f>2960</f>
        <v>2960.0</v>
      </c>
      <c r="N216" s="34" t="s">
        <v>51</v>
      </c>
      <c r="O216" s="33" t="n">
        <f>2730</f>
        <v>2730.0</v>
      </c>
      <c r="P216" s="34" t="s">
        <v>50</v>
      </c>
      <c r="Q216" s="33" t="n">
        <f>2956</f>
        <v>2956.0</v>
      </c>
      <c r="R216" s="34" t="s">
        <v>51</v>
      </c>
      <c r="S216" s="35" t="n">
        <f>2865.78</f>
        <v>2865.78</v>
      </c>
      <c r="T216" s="32" t="n">
        <f>304108</f>
        <v>304108.0</v>
      </c>
      <c r="U216" s="32" t="n">
        <f>43001</f>
        <v>43001.0</v>
      </c>
      <c r="V216" s="32" t="n">
        <f>864257850</f>
        <v>8.6425785E8</v>
      </c>
      <c r="W216" s="32" t="n">
        <f>122065864</f>
        <v>1.22065864E8</v>
      </c>
      <c r="X216" s="36" t="n">
        <f>18</f>
        <v>18.0</v>
      </c>
    </row>
    <row r="217">
      <c r="A217" s="27" t="s">
        <v>42</v>
      </c>
      <c r="B217" s="27" t="s">
        <v>694</v>
      </c>
      <c r="C217" s="27" t="s">
        <v>695</v>
      </c>
      <c r="D217" s="27" t="s">
        <v>696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622.2</f>
        <v>622.2</v>
      </c>
      <c r="L217" s="34" t="s">
        <v>48</v>
      </c>
      <c r="M217" s="33" t="n">
        <f>665.7</f>
        <v>665.7</v>
      </c>
      <c r="N217" s="34" t="s">
        <v>51</v>
      </c>
      <c r="O217" s="33" t="n">
        <f>610.3</f>
        <v>610.3</v>
      </c>
      <c r="P217" s="34" t="s">
        <v>50</v>
      </c>
      <c r="Q217" s="33" t="n">
        <f>665.5</f>
        <v>665.5</v>
      </c>
      <c r="R217" s="34" t="s">
        <v>51</v>
      </c>
      <c r="S217" s="35" t="n">
        <f>641.68</f>
        <v>641.68</v>
      </c>
      <c r="T217" s="32" t="n">
        <f>1738650</f>
        <v>1738650.0</v>
      </c>
      <c r="U217" s="32" t="n">
        <f>1235350</f>
        <v>1235350.0</v>
      </c>
      <c r="V217" s="32" t="n">
        <f>1114188566</f>
        <v>1.114188566E9</v>
      </c>
      <c r="W217" s="32" t="n">
        <f>793925895</f>
        <v>7.93925895E8</v>
      </c>
      <c r="X217" s="36" t="n">
        <f>18</f>
        <v>18.0</v>
      </c>
    </row>
    <row r="218">
      <c r="A218" s="27" t="s">
        <v>42</v>
      </c>
      <c r="B218" s="27" t="s">
        <v>697</v>
      </c>
      <c r="C218" s="27" t="s">
        <v>698</v>
      </c>
      <c r="D218" s="27" t="s">
        <v>699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2828.5</f>
        <v>2828.5</v>
      </c>
      <c r="L218" s="34" t="s">
        <v>48</v>
      </c>
      <c r="M218" s="33" t="n">
        <f>2828.5</f>
        <v>2828.5</v>
      </c>
      <c r="N218" s="34" t="s">
        <v>48</v>
      </c>
      <c r="O218" s="33" t="n">
        <f>2683</f>
        <v>2683.0</v>
      </c>
      <c r="P218" s="34" t="s">
        <v>148</v>
      </c>
      <c r="Q218" s="33" t="n">
        <f>2791.5</f>
        <v>2791.5</v>
      </c>
      <c r="R218" s="34" t="s">
        <v>51</v>
      </c>
      <c r="S218" s="35" t="n">
        <f>2765.19</f>
        <v>2765.19</v>
      </c>
      <c r="T218" s="32" t="n">
        <f>560140</f>
        <v>560140.0</v>
      </c>
      <c r="U218" s="32" t="n">
        <f>504400</f>
        <v>504400.0</v>
      </c>
      <c r="V218" s="32" t="n">
        <f>1556622994</f>
        <v>1.556622994E9</v>
      </c>
      <c r="W218" s="32" t="n">
        <f>1401697309</f>
        <v>1.401697309E9</v>
      </c>
      <c r="X218" s="36" t="n">
        <f>16</f>
        <v>16.0</v>
      </c>
    </row>
    <row r="219">
      <c r="A219" s="27" t="s">
        <v>42</v>
      </c>
      <c r="B219" s="27" t="s">
        <v>700</v>
      </c>
      <c r="C219" s="27" t="s">
        <v>701</v>
      </c>
      <c r="D219" s="27" t="s">
        <v>702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3152</f>
        <v>3152.0</v>
      </c>
      <c r="L219" s="34" t="s">
        <v>48</v>
      </c>
      <c r="M219" s="33" t="n">
        <f>3152</f>
        <v>3152.0</v>
      </c>
      <c r="N219" s="34" t="s">
        <v>48</v>
      </c>
      <c r="O219" s="33" t="n">
        <f>2887</f>
        <v>2887.0</v>
      </c>
      <c r="P219" s="34" t="s">
        <v>148</v>
      </c>
      <c r="Q219" s="33" t="n">
        <f>3041</f>
        <v>3041.0</v>
      </c>
      <c r="R219" s="34" t="s">
        <v>51</v>
      </c>
      <c r="S219" s="35" t="n">
        <f>3025</f>
        <v>3025.0</v>
      </c>
      <c r="T219" s="32" t="n">
        <f>44950</f>
        <v>44950.0</v>
      </c>
      <c r="U219" s="32" t="str">
        <f>"－"</f>
        <v>－</v>
      </c>
      <c r="V219" s="32" t="n">
        <f>133824690</f>
        <v>1.3382469E8</v>
      </c>
      <c r="W219" s="32" t="str">
        <f>"－"</f>
        <v>－</v>
      </c>
      <c r="X219" s="36" t="n">
        <f>13</f>
        <v>13.0</v>
      </c>
    </row>
    <row r="220">
      <c r="A220" s="27" t="s">
        <v>42</v>
      </c>
      <c r="B220" s="27" t="s">
        <v>703</v>
      </c>
      <c r="C220" s="27" t="s">
        <v>704</v>
      </c>
      <c r="D220" s="27" t="s">
        <v>705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2429</f>
        <v>2429.0</v>
      </c>
      <c r="L220" s="34" t="s">
        <v>48</v>
      </c>
      <c r="M220" s="33" t="n">
        <f>2475</f>
        <v>2475.0</v>
      </c>
      <c r="N220" s="34" t="s">
        <v>49</v>
      </c>
      <c r="O220" s="33" t="n">
        <f>2366.5</f>
        <v>2366.5</v>
      </c>
      <c r="P220" s="34" t="s">
        <v>73</v>
      </c>
      <c r="Q220" s="33" t="n">
        <f>2436.5</f>
        <v>2436.5</v>
      </c>
      <c r="R220" s="34" t="s">
        <v>51</v>
      </c>
      <c r="S220" s="35" t="n">
        <f>2416.97</f>
        <v>2416.97</v>
      </c>
      <c r="T220" s="32" t="n">
        <f>886230</f>
        <v>886230.0</v>
      </c>
      <c r="U220" s="32" t="n">
        <f>411120</f>
        <v>411120.0</v>
      </c>
      <c r="V220" s="32" t="n">
        <f>2155028450</f>
        <v>2.15502845E9</v>
      </c>
      <c r="W220" s="32" t="n">
        <f>1010990385</f>
        <v>1.010990385E9</v>
      </c>
      <c r="X220" s="36" t="n">
        <f>18</f>
        <v>18.0</v>
      </c>
    </row>
    <row r="221">
      <c r="A221" s="27" t="s">
        <v>42</v>
      </c>
      <c r="B221" s="27" t="s">
        <v>706</v>
      </c>
      <c r="C221" s="27" t="s">
        <v>707</v>
      </c>
      <c r="D221" s="27" t="s">
        <v>708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2762</f>
        <v>2762.0</v>
      </c>
      <c r="L221" s="34" t="s">
        <v>48</v>
      </c>
      <c r="M221" s="33" t="n">
        <f>2762</f>
        <v>2762.0</v>
      </c>
      <c r="N221" s="34" t="s">
        <v>48</v>
      </c>
      <c r="O221" s="33" t="n">
        <f>2582.5</f>
        <v>2582.5</v>
      </c>
      <c r="P221" s="34" t="s">
        <v>148</v>
      </c>
      <c r="Q221" s="33" t="n">
        <f>2684</f>
        <v>2684.0</v>
      </c>
      <c r="R221" s="34" t="s">
        <v>51</v>
      </c>
      <c r="S221" s="35" t="n">
        <f>2678.47</f>
        <v>2678.47</v>
      </c>
      <c r="T221" s="32" t="n">
        <f>327500</f>
        <v>327500.0</v>
      </c>
      <c r="U221" s="32" t="n">
        <f>10</f>
        <v>10.0</v>
      </c>
      <c r="V221" s="32" t="n">
        <f>868130865</f>
        <v>8.68130865E8</v>
      </c>
      <c r="W221" s="32" t="n">
        <f>26095</f>
        <v>26095.0</v>
      </c>
      <c r="X221" s="36" t="n">
        <f>17</f>
        <v>17.0</v>
      </c>
    </row>
    <row r="222">
      <c r="A222" s="27" t="s">
        <v>42</v>
      </c>
      <c r="B222" s="27" t="s">
        <v>709</v>
      </c>
      <c r="C222" s="27" t="s">
        <v>710</v>
      </c>
      <c r="D222" s="27" t="s">
        <v>711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4616</f>
        <v>4616.0</v>
      </c>
      <c r="L222" s="34" t="s">
        <v>48</v>
      </c>
      <c r="M222" s="33" t="n">
        <f>4629</f>
        <v>4629.0</v>
      </c>
      <c r="N222" s="34" t="s">
        <v>50</v>
      </c>
      <c r="O222" s="33" t="n">
        <f>4531</f>
        <v>4531.0</v>
      </c>
      <c r="P222" s="34" t="s">
        <v>249</v>
      </c>
      <c r="Q222" s="33" t="n">
        <f>4578</f>
        <v>4578.0</v>
      </c>
      <c r="R222" s="34" t="s">
        <v>51</v>
      </c>
      <c r="S222" s="35" t="n">
        <f>4578.76</f>
        <v>4578.76</v>
      </c>
      <c r="T222" s="32" t="n">
        <f>171020</f>
        <v>171020.0</v>
      </c>
      <c r="U222" s="32" t="str">
        <f>"－"</f>
        <v>－</v>
      </c>
      <c r="V222" s="32" t="n">
        <f>785142270</f>
        <v>7.8514227E8</v>
      </c>
      <c r="W222" s="32" t="str">
        <f>"－"</f>
        <v>－</v>
      </c>
      <c r="X222" s="36" t="n">
        <f>17</f>
        <v>17.0</v>
      </c>
    </row>
    <row r="223">
      <c r="A223" s="27" t="s">
        <v>42</v>
      </c>
      <c r="B223" s="27" t="s">
        <v>712</v>
      </c>
      <c r="C223" s="27" t="s">
        <v>713</v>
      </c>
      <c r="D223" s="27" t="s">
        <v>714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4755</f>
        <v>4755.0</v>
      </c>
      <c r="L223" s="34" t="s">
        <v>48</v>
      </c>
      <c r="M223" s="33" t="n">
        <f>4755</f>
        <v>4755.0</v>
      </c>
      <c r="N223" s="34" t="s">
        <v>48</v>
      </c>
      <c r="O223" s="33" t="n">
        <f>4686</f>
        <v>4686.0</v>
      </c>
      <c r="P223" s="34" t="s">
        <v>61</v>
      </c>
      <c r="Q223" s="33" t="n">
        <f>4693</f>
        <v>4693.0</v>
      </c>
      <c r="R223" s="34" t="s">
        <v>51</v>
      </c>
      <c r="S223" s="35" t="n">
        <f>4716.9</f>
        <v>4716.9</v>
      </c>
      <c r="T223" s="32" t="n">
        <f>240</f>
        <v>240.0</v>
      </c>
      <c r="U223" s="32" t="str">
        <f>"－"</f>
        <v>－</v>
      </c>
      <c r="V223" s="32" t="n">
        <f>1130390</f>
        <v>1130390.0</v>
      </c>
      <c r="W223" s="32" t="str">
        <f>"－"</f>
        <v>－</v>
      </c>
      <c r="X223" s="36" t="n">
        <f>10</f>
        <v>10.0</v>
      </c>
    </row>
    <row r="224">
      <c r="A224" s="27" t="s">
        <v>42</v>
      </c>
      <c r="B224" s="27" t="s">
        <v>715</v>
      </c>
      <c r="C224" s="27" t="s">
        <v>716</v>
      </c>
      <c r="D224" s="27" t="s">
        <v>717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4822</f>
        <v>4822.0</v>
      </c>
      <c r="L224" s="34" t="s">
        <v>50</v>
      </c>
      <c r="M224" s="33" t="n">
        <f>4822</f>
        <v>4822.0</v>
      </c>
      <c r="N224" s="34" t="s">
        <v>50</v>
      </c>
      <c r="O224" s="33" t="n">
        <f>4753</f>
        <v>4753.0</v>
      </c>
      <c r="P224" s="34" t="s">
        <v>51</v>
      </c>
      <c r="Q224" s="33" t="n">
        <f>4753</f>
        <v>4753.0</v>
      </c>
      <c r="R224" s="34" t="s">
        <v>51</v>
      </c>
      <c r="S224" s="35" t="n">
        <f>4786.17</f>
        <v>4786.17</v>
      </c>
      <c r="T224" s="32" t="n">
        <f>70</f>
        <v>70.0</v>
      </c>
      <c r="U224" s="32" t="str">
        <f>"－"</f>
        <v>－</v>
      </c>
      <c r="V224" s="32" t="n">
        <f>335390</f>
        <v>335390.0</v>
      </c>
      <c r="W224" s="32" t="str">
        <f>"－"</f>
        <v>－</v>
      </c>
      <c r="X224" s="36" t="n">
        <f>6</f>
        <v>6.0</v>
      </c>
    </row>
    <row r="225">
      <c r="A225" s="27" t="s">
        <v>42</v>
      </c>
      <c r="B225" s="27" t="s">
        <v>718</v>
      </c>
      <c r="C225" s="27" t="s">
        <v>719</v>
      </c>
      <c r="D225" s="27" t="s">
        <v>720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5166</f>
        <v>5166.0</v>
      </c>
      <c r="L225" s="34" t="s">
        <v>48</v>
      </c>
      <c r="M225" s="33" t="n">
        <f>5221</f>
        <v>5221.0</v>
      </c>
      <c r="N225" s="34" t="s">
        <v>61</v>
      </c>
      <c r="O225" s="33" t="n">
        <f>5058</f>
        <v>5058.0</v>
      </c>
      <c r="P225" s="34" t="s">
        <v>89</v>
      </c>
      <c r="Q225" s="33" t="n">
        <f>5188</f>
        <v>5188.0</v>
      </c>
      <c r="R225" s="34" t="s">
        <v>51</v>
      </c>
      <c r="S225" s="35" t="n">
        <f>5148.33</f>
        <v>5148.33</v>
      </c>
      <c r="T225" s="32" t="n">
        <f>20002</f>
        <v>20002.0</v>
      </c>
      <c r="U225" s="32" t="n">
        <f>20</f>
        <v>20.0</v>
      </c>
      <c r="V225" s="32" t="n">
        <f>102407448</f>
        <v>1.02407448E8</v>
      </c>
      <c r="W225" s="32" t="n">
        <f>103280</f>
        <v>103280.0</v>
      </c>
      <c r="X225" s="36" t="n">
        <f>18</f>
        <v>18.0</v>
      </c>
    </row>
    <row r="226">
      <c r="A226" s="27" t="s">
        <v>42</v>
      </c>
      <c r="B226" s="27" t="s">
        <v>721</v>
      </c>
      <c r="C226" s="27" t="s">
        <v>722</v>
      </c>
      <c r="D226" s="27" t="s">
        <v>723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766</f>
        <v>766.0</v>
      </c>
      <c r="L226" s="34" t="s">
        <v>48</v>
      </c>
      <c r="M226" s="33" t="n">
        <f>766</f>
        <v>766.0</v>
      </c>
      <c r="N226" s="34" t="s">
        <v>48</v>
      </c>
      <c r="O226" s="33" t="n">
        <f>729</f>
        <v>729.0</v>
      </c>
      <c r="P226" s="34" t="s">
        <v>51</v>
      </c>
      <c r="Q226" s="33" t="n">
        <f>739</f>
        <v>739.0</v>
      </c>
      <c r="R226" s="34" t="s">
        <v>51</v>
      </c>
      <c r="S226" s="35" t="n">
        <f>748.56</f>
        <v>748.56</v>
      </c>
      <c r="T226" s="32" t="n">
        <f>303274</f>
        <v>303274.0</v>
      </c>
      <c r="U226" s="32" t="str">
        <f>"－"</f>
        <v>－</v>
      </c>
      <c r="V226" s="32" t="n">
        <f>226068878</f>
        <v>2.26068878E8</v>
      </c>
      <c r="W226" s="32" t="str">
        <f>"－"</f>
        <v>－</v>
      </c>
      <c r="X226" s="36" t="n">
        <f>18</f>
        <v>18.0</v>
      </c>
    </row>
    <row r="227">
      <c r="A227" s="27" t="s">
        <v>42</v>
      </c>
      <c r="B227" s="27" t="s">
        <v>724</v>
      </c>
      <c r="C227" s="27" t="s">
        <v>725</v>
      </c>
      <c r="D227" s="27" t="s">
        <v>726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1069</f>
        <v>1069.0</v>
      </c>
      <c r="L227" s="34" t="s">
        <v>48</v>
      </c>
      <c r="M227" s="33" t="n">
        <f>1100</f>
        <v>1100.0</v>
      </c>
      <c r="N227" s="34" t="s">
        <v>208</v>
      </c>
      <c r="O227" s="33" t="n">
        <f>1061</f>
        <v>1061.0</v>
      </c>
      <c r="P227" s="34" t="s">
        <v>48</v>
      </c>
      <c r="Q227" s="33" t="n">
        <f>1095</f>
        <v>1095.0</v>
      </c>
      <c r="R227" s="34" t="s">
        <v>51</v>
      </c>
      <c r="S227" s="35" t="n">
        <f>1078.89</f>
        <v>1078.89</v>
      </c>
      <c r="T227" s="32" t="n">
        <f>64354</f>
        <v>64354.0</v>
      </c>
      <c r="U227" s="32" t="str">
        <f>"－"</f>
        <v>－</v>
      </c>
      <c r="V227" s="32" t="n">
        <f>68910948</f>
        <v>6.8910948E7</v>
      </c>
      <c r="W227" s="32" t="str">
        <f>"－"</f>
        <v>－</v>
      </c>
      <c r="X227" s="36" t="n">
        <f>18</f>
        <v>18.0</v>
      </c>
    </row>
    <row r="228">
      <c r="A228" s="27" t="s">
        <v>42</v>
      </c>
      <c r="B228" s="27" t="s">
        <v>727</v>
      </c>
      <c r="C228" s="27" t="s">
        <v>728</v>
      </c>
      <c r="D228" s="27" t="s">
        <v>729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1138</f>
        <v>1138.0</v>
      </c>
      <c r="L228" s="34" t="s">
        <v>48</v>
      </c>
      <c r="M228" s="33" t="n">
        <f>1270</f>
        <v>1270.0</v>
      </c>
      <c r="N228" s="34" t="s">
        <v>69</v>
      </c>
      <c r="O228" s="33" t="n">
        <f>1134</f>
        <v>1134.0</v>
      </c>
      <c r="P228" s="34" t="s">
        <v>50</v>
      </c>
      <c r="Q228" s="33" t="n">
        <f>1192</f>
        <v>1192.0</v>
      </c>
      <c r="R228" s="34" t="s">
        <v>51</v>
      </c>
      <c r="S228" s="35" t="n">
        <f>1163.33</f>
        <v>1163.33</v>
      </c>
      <c r="T228" s="32" t="n">
        <f>945789</f>
        <v>945789.0</v>
      </c>
      <c r="U228" s="32" t="n">
        <f>400000</f>
        <v>400000.0</v>
      </c>
      <c r="V228" s="32" t="n">
        <f>1104341203</f>
        <v>1.104341203E9</v>
      </c>
      <c r="W228" s="32" t="n">
        <f>470023550</f>
        <v>4.7002355E8</v>
      </c>
      <c r="X228" s="36" t="n">
        <f>18</f>
        <v>18.0</v>
      </c>
    </row>
    <row r="229">
      <c r="A229" s="27" t="s">
        <v>42</v>
      </c>
      <c r="B229" s="27" t="s">
        <v>730</v>
      </c>
      <c r="C229" s="27" t="s">
        <v>731</v>
      </c>
      <c r="D229" s="27" t="s">
        <v>732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1047</f>
        <v>1047.0</v>
      </c>
      <c r="L229" s="34" t="s">
        <v>48</v>
      </c>
      <c r="M229" s="33" t="n">
        <f>1085</f>
        <v>1085.0</v>
      </c>
      <c r="N229" s="34" t="s">
        <v>69</v>
      </c>
      <c r="O229" s="33" t="n">
        <f>1045</f>
        <v>1045.0</v>
      </c>
      <c r="P229" s="34" t="s">
        <v>48</v>
      </c>
      <c r="Q229" s="33" t="n">
        <f>1070</f>
        <v>1070.0</v>
      </c>
      <c r="R229" s="34" t="s">
        <v>51</v>
      </c>
      <c r="S229" s="35" t="n">
        <f>1064.11</f>
        <v>1064.11</v>
      </c>
      <c r="T229" s="32" t="n">
        <f>409684</f>
        <v>409684.0</v>
      </c>
      <c r="U229" s="32" t="str">
        <f>"－"</f>
        <v>－</v>
      </c>
      <c r="V229" s="32" t="n">
        <f>432944076</f>
        <v>4.32944076E8</v>
      </c>
      <c r="W229" s="32" t="str">
        <f>"－"</f>
        <v>－</v>
      </c>
      <c r="X229" s="36" t="n">
        <f>18</f>
        <v>18.0</v>
      </c>
    </row>
    <row r="230">
      <c r="A230" s="27" t="s">
        <v>42</v>
      </c>
      <c r="B230" s="27" t="s">
        <v>733</v>
      </c>
      <c r="C230" s="27" t="s">
        <v>734</v>
      </c>
      <c r="D230" s="27" t="s">
        <v>735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1132</f>
        <v>1132.0</v>
      </c>
      <c r="L230" s="34" t="s">
        <v>48</v>
      </c>
      <c r="M230" s="33" t="n">
        <f>1165</f>
        <v>1165.0</v>
      </c>
      <c r="N230" s="34" t="s">
        <v>262</v>
      </c>
      <c r="O230" s="33" t="n">
        <f>1105</f>
        <v>1105.0</v>
      </c>
      <c r="P230" s="34" t="s">
        <v>73</v>
      </c>
      <c r="Q230" s="33" t="n">
        <f>1136</f>
        <v>1136.0</v>
      </c>
      <c r="R230" s="34" t="s">
        <v>51</v>
      </c>
      <c r="S230" s="35" t="n">
        <f>1134.39</f>
        <v>1134.39</v>
      </c>
      <c r="T230" s="32" t="n">
        <f>1139176</f>
        <v>1139176.0</v>
      </c>
      <c r="U230" s="32" t="n">
        <f>980000</f>
        <v>980000.0</v>
      </c>
      <c r="V230" s="32" t="n">
        <f>1264437865</f>
        <v>1.264437865E9</v>
      </c>
      <c r="W230" s="32" t="n">
        <f>1084925660</f>
        <v>1.08492566E9</v>
      </c>
      <c r="X230" s="36" t="n">
        <f>18</f>
        <v>18.0</v>
      </c>
    </row>
    <row r="231">
      <c r="A231" s="27" t="s">
        <v>42</v>
      </c>
      <c r="B231" s="27" t="s">
        <v>736</v>
      </c>
      <c r="C231" s="27" t="s">
        <v>737</v>
      </c>
      <c r="D231" s="27" t="s">
        <v>738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1750</f>
        <v>1750.0</v>
      </c>
      <c r="L231" s="34" t="s">
        <v>48</v>
      </c>
      <c r="M231" s="33" t="n">
        <f>1802</f>
        <v>1802.0</v>
      </c>
      <c r="N231" s="34" t="s">
        <v>69</v>
      </c>
      <c r="O231" s="33" t="n">
        <f>1734</f>
        <v>1734.0</v>
      </c>
      <c r="P231" s="34" t="s">
        <v>50</v>
      </c>
      <c r="Q231" s="33" t="n">
        <f>1788</f>
        <v>1788.0</v>
      </c>
      <c r="R231" s="34" t="s">
        <v>51</v>
      </c>
      <c r="S231" s="35" t="n">
        <f>1771.33</f>
        <v>1771.33</v>
      </c>
      <c r="T231" s="32" t="n">
        <f>671927</f>
        <v>671927.0</v>
      </c>
      <c r="U231" s="32" t="n">
        <f>392428</f>
        <v>392428.0</v>
      </c>
      <c r="V231" s="32" t="n">
        <f>1194925607</f>
        <v>1.194925607E9</v>
      </c>
      <c r="W231" s="32" t="n">
        <f>700937698</f>
        <v>7.00937698E8</v>
      </c>
      <c r="X231" s="36" t="n">
        <f>18</f>
        <v>18.0</v>
      </c>
    </row>
    <row r="232">
      <c r="A232" s="27" t="s">
        <v>42</v>
      </c>
      <c r="B232" s="27" t="s">
        <v>739</v>
      </c>
      <c r="C232" s="27" t="s">
        <v>740</v>
      </c>
      <c r="D232" s="27" t="s">
        <v>741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227.5</f>
        <v>227.5</v>
      </c>
      <c r="L232" s="34" t="s">
        <v>48</v>
      </c>
      <c r="M232" s="33" t="n">
        <f>228.3</f>
        <v>228.3</v>
      </c>
      <c r="N232" s="34" t="s">
        <v>48</v>
      </c>
      <c r="O232" s="33" t="n">
        <f>190</f>
        <v>190.0</v>
      </c>
      <c r="P232" s="34" t="s">
        <v>148</v>
      </c>
      <c r="Q232" s="33" t="n">
        <f>208.6</f>
        <v>208.6</v>
      </c>
      <c r="R232" s="34" t="s">
        <v>51</v>
      </c>
      <c r="S232" s="35" t="n">
        <f>209.56</f>
        <v>209.56</v>
      </c>
      <c r="T232" s="32" t="n">
        <f>9730830</f>
        <v>9730830.0</v>
      </c>
      <c r="U232" s="32" t="n">
        <f>175010</f>
        <v>175010.0</v>
      </c>
      <c r="V232" s="32" t="n">
        <f>2022457206</f>
        <v>2.022457206E9</v>
      </c>
      <c r="W232" s="32" t="n">
        <f>36327150</f>
        <v>3.632715E7</v>
      </c>
      <c r="X232" s="36" t="n">
        <f>18</f>
        <v>18.0</v>
      </c>
    </row>
    <row r="233">
      <c r="A233" s="27" t="s">
        <v>42</v>
      </c>
      <c r="B233" s="27" t="s">
        <v>742</v>
      </c>
      <c r="C233" s="27" t="s">
        <v>743</v>
      </c>
      <c r="D233" s="27" t="s">
        <v>744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647.7</f>
        <v>647.7</v>
      </c>
      <c r="L233" s="34" t="s">
        <v>48</v>
      </c>
      <c r="M233" s="33" t="n">
        <f>680</f>
        <v>680.0</v>
      </c>
      <c r="N233" s="34" t="s">
        <v>48</v>
      </c>
      <c r="O233" s="33" t="n">
        <f>557</f>
        <v>557.0</v>
      </c>
      <c r="P233" s="34" t="s">
        <v>73</v>
      </c>
      <c r="Q233" s="33" t="n">
        <f>589.3</f>
        <v>589.3</v>
      </c>
      <c r="R233" s="34" t="s">
        <v>51</v>
      </c>
      <c r="S233" s="35" t="n">
        <f>594.19</f>
        <v>594.19</v>
      </c>
      <c r="T233" s="32" t="n">
        <f>1106610</f>
        <v>1106610.0</v>
      </c>
      <c r="U233" s="32" t="n">
        <f>100</f>
        <v>100.0</v>
      </c>
      <c r="V233" s="32" t="n">
        <f>661455992</f>
        <v>6.61455992E8</v>
      </c>
      <c r="W233" s="32" t="n">
        <f>58799</f>
        <v>58799.0</v>
      </c>
      <c r="X233" s="36" t="n">
        <f>18</f>
        <v>18.0</v>
      </c>
    </row>
    <row r="234">
      <c r="A234" s="27" t="s">
        <v>42</v>
      </c>
      <c r="B234" s="27" t="s">
        <v>745</v>
      </c>
      <c r="C234" s="27" t="s">
        <v>746</v>
      </c>
      <c r="D234" s="27" t="s">
        <v>747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3200</f>
        <v>3200.0</v>
      </c>
      <c r="L234" s="34" t="s">
        <v>48</v>
      </c>
      <c r="M234" s="33" t="n">
        <f>3279</f>
        <v>3279.0</v>
      </c>
      <c r="N234" s="34" t="s">
        <v>49</v>
      </c>
      <c r="O234" s="33" t="n">
        <f>3127</f>
        <v>3127.0</v>
      </c>
      <c r="P234" s="34" t="s">
        <v>73</v>
      </c>
      <c r="Q234" s="33" t="n">
        <f>3270</f>
        <v>3270.0</v>
      </c>
      <c r="R234" s="34" t="s">
        <v>51</v>
      </c>
      <c r="S234" s="35" t="n">
        <f>3194.78</f>
        <v>3194.78</v>
      </c>
      <c r="T234" s="32" t="n">
        <f>101910</f>
        <v>101910.0</v>
      </c>
      <c r="U234" s="32" t="n">
        <f>300</f>
        <v>300.0</v>
      </c>
      <c r="V234" s="32" t="n">
        <f>324307728</f>
        <v>3.24307728E8</v>
      </c>
      <c r="W234" s="32" t="n">
        <f>947130</f>
        <v>947130.0</v>
      </c>
      <c r="X234" s="36" t="n">
        <f>18</f>
        <v>18.0</v>
      </c>
    </row>
    <row r="235">
      <c r="A235" s="27" t="s">
        <v>42</v>
      </c>
      <c r="B235" s="27" t="s">
        <v>748</v>
      </c>
      <c r="C235" s="27" t="s">
        <v>749</v>
      </c>
      <c r="D235" s="27" t="s">
        <v>750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1269</f>
        <v>1269.0</v>
      </c>
      <c r="L235" s="34" t="s">
        <v>48</v>
      </c>
      <c r="M235" s="33" t="n">
        <f>1337</f>
        <v>1337.0</v>
      </c>
      <c r="N235" s="34" t="s">
        <v>69</v>
      </c>
      <c r="O235" s="33" t="n">
        <f>1260</f>
        <v>1260.0</v>
      </c>
      <c r="P235" s="34" t="s">
        <v>48</v>
      </c>
      <c r="Q235" s="33" t="n">
        <f>1326</f>
        <v>1326.0</v>
      </c>
      <c r="R235" s="34" t="s">
        <v>51</v>
      </c>
      <c r="S235" s="35" t="n">
        <f>1296.06</f>
        <v>1296.06</v>
      </c>
      <c r="T235" s="32" t="n">
        <f>495476</f>
        <v>495476.0</v>
      </c>
      <c r="U235" s="32" t="str">
        <f>"－"</f>
        <v>－</v>
      </c>
      <c r="V235" s="32" t="n">
        <f>632842774</f>
        <v>6.32842774E8</v>
      </c>
      <c r="W235" s="32" t="str">
        <f>"－"</f>
        <v>－</v>
      </c>
      <c r="X235" s="36" t="n">
        <f>18</f>
        <v>18.0</v>
      </c>
    </row>
    <row r="236">
      <c r="A236" s="27" t="s">
        <v>42</v>
      </c>
      <c r="B236" s="27" t="s">
        <v>751</v>
      </c>
      <c r="C236" s="27" t="s">
        <v>752</v>
      </c>
      <c r="D236" s="27" t="s">
        <v>753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106200</f>
        <v>106200.0</v>
      </c>
      <c r="L236" s="34" t="s">
        <v>48</v>
      </c>
      <c r="M236" s="33" t="n">
        <f>106250</f>
        <v>106250.0</v>
      </c>
      <c r="N236" s="34" t="s">
        <v>302</v>
      </c>
      <c r="O236" s="33" t="n">
        <f>95940</f>
        <v>95940.0</v>
      </c>
      <c r="P236" s="34" t="s">
        <v>148</v>
      </c>
      <c r="Q236" s="33" t="n">
        <f>104050</f>
        <v>104050.0</v>
      </c>
      <c r="R236" s="34" t="s">
        <v>51</v>
      </c>
      <c r="S236" s="35" t="n">
        <f>102355</f>
        <v>102355.0</v>
      </c>
      <c r="T236" s="32" t="n">
        <f>21170</f>
        <v>21170.0</v>
      </c>
      <c r="U236" s="32" t="n">
        <f>71</f>
        <v>71.0</v>
      </c>
      <c r="V236" s="32" t="n">
        <f>2149558216</f>
        <v>2.149558216E9</v>
      </c>
      <c r="W236" s="32" t="n">
        <f>7377356</f>
        <v>7377356.0</v>
      </c>
      <c r="X236" s="36" t="n">
        <f>18</f>
        <v>18.0</v>
      </c>
    </row>
    <row r="237">
      <c r="A237" s="27" t="s">
        <v>42</v>
      </c>
      <c r="B237" s="27" t="s">
        <v>754</v>
      </c>
      <c r="C237" s="27" t="s">
        <v>755</v>
      </c>
      <c r="D237" s="27" t="s">
        <v>756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5796</f>
        <v>5796.0</v>
      </c>
      <c r="L237" s="34" t="s">
        <v>48</v>
      </c>
      <c r="M237" s="33" t="n">
        <f>6067</f>
        <v>6067.0</v>
      </c>
      <c r="N237" s="34" t="s">
        <v>148</v>
      </c>
      <c r="O237" s="33" t="n">
        <f>5784</f>
        <v>5784.0</v>
      </c>
      <c r="P237" s="34" t="s">
        <v>302</v>
      </c>
      <c r="Q237" s="33" t="n">
        <f>5808</f>
        <v>5808.0</v>
      </c>
      <c r="R237" s="34" t="s">
        <v>51</v>
      </c>
      <c r="S237" s="35" t="n">
        <f>5888.28</f>
        <v>5888.28</v>
      </c>
      <c r="T237" s="32" t="n">
        <f>89266</f>
        <v>89266.0</v>
      </c>
      <c r="U237" s="32" t="n">
        <f>7220</f>
        <v>7220.0</v>
      </c>
      <c r="V237" s="32" t="n">
        <f>527086280</f>
        <v>5.2708628E8</v>
      </c>
      <c r="W237" s="32" t="n">
        <f>42324474</f>
        <v>4.2324474E7</v>
      </c>
      <c r="X237" s="36" t="n">
        <f>18</f>
        <v>18.0</v>
      </c>
    </row>
    <row r="238">
      <c r="A238" s="27" t="s">
        <v>42</v>
      </c>
      <c r="B238" s="27" t="s">
        <v>757</v>
      </c>
      <c r="C238" s="27" t="s">
        <v>758</v>
      </c>
      <c r="D238" s="27" t="s">
        <v>759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23090</f>
        <v>23090.0</v>
      </c>
      <c r="L238" s="34" t="s">
        <v>48</v>
      </c>
      <c r="M238" s="33" t="n">
        <f>23090</f>
        <v>23090.0</v>
      </c>
      <c r="N238" s="34" t="s">
        <v>48</v>
      </c>
      <c r="O238" s="33" t="n">
        <f>20845</f>
        <v>20845.0</v>
      </c>
      <c r="P238" s="34" t="s">
        <v>148</v>
      </c>
      <c r="Q238" s="33" t="n">
        <f>22635</f>
        <v>22635.0</v>
      </c>
      <c r="R238" s="34" t="s">
        <v>51</v>
      </c>
      <c r="S238" s="35" t="n">
        <f>22228.33</f>
        <v>22228.33</v>
      </c>
      <c r="T238" s="32" t="n">
        <f>47800</f>
        <v>47800.0</v>
      </c>
      <c r="U238" s="32" t="n">
        <f>25</f>
        <v>25.0</v>
      </c>
      <c r="V238" s="32" t="n">
        <f>1057800955</f>
        <v>1.057800955E9</v>
      </c>
      <c r="W238" s="32" t="n">
        <f>536785</f>
        <v>536785.0</v>
      </c>
      <c r="X238" s="36" t="n">
        <f>18</f>
        <v>18.0</v>
      </c>
    </row>
    <row r="239">
      <c r="A239" s="27" t="s">
        <v>42</v>
      </c>
      <c r="B239" s="27" t="s">
        <v>760</v>
      </c>
      <c r="C239" s="27" t="s">
        <v>761</v>
      </c>
      <c r="D239" s="27" t="s">
        <v>762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1476</f>
        <v>1476.0</v>
      </c>
      <c r="L239" s="34" t="s">
        <v>48</v>
      </c>
      <c r="M239" s="33" t="n">
        <f>1477</f>
        <v>1477.0</v>
      </c>
      <c r="N239" s="34" t="s">
        <v>48</v>
      </c>
      <c r="O239" s="33" t="n">
        <f>1325</f>
        <v>1325.0</v>
      </c>
      <c r="P239" s="34" t="s">
        <v>148</v>
      </c>
      <c r="Q239" s="33" t="n">
        <f>1389</f>
        <v>1389.0</v>
      </c>
      <c r="R239" s="34" t="s">
        <v>51</v>
      </c>
      <c r="S239" s="35" t="n">
        <f>1401.28</f>
        <v>1401.28</v>
      </c>
      <c r="T239" s="32" t="n">
        <f>553914</f>
        <v>553914.0</v>
      </c>
      <c r="U239" s="32" t="str">
        <f>"－"</f>
        <v>－</v>
      </c>
      <c r="V239" s="32" t="n">
        <f>778244870</f>
        <v>7.7824487E8</v>
      </c>
      <c r="W239" s="32" t="str">
        <f>"－"</f>
        <v>－</v>
      </c>
      <c r="X239" s="36" t="n">
        <f>18</f>
        <v>18.0</v>
      </c>
    </row>
    <row r="240">
      <c r="A240" s="27" t="s">
        <v>42</v>
      </c>
      <c r="B240" s="27" t="s">
        <v>763</v>
      </c>
      <c r="C240" s="27" t="s">
        <v>764</v>
      </c>
      <c r="D240" s="27" t="s">
        <v>765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5921</f>
        <v>5921.0</v>
      </c>
      <c r="L240" s="34" t="s">
        <v>48</v>
      </c>
      <c r="M240" s="33" t="n">
        <f>6144</f>
        <v>6144.0</v>
      </c>
      <c r="N240" s="34" t="s">
        <v>148</v>
      </c>
      <c r="O240" s="33" t="n">
        <f>5850</f>
        <v>5850.0</v>
      </c>
      <c r="P240" s="34" t="s">
        <v>51</v>
      </c>
      <c r="Q240" s="33" t="n">
        <f>5900</f>
        <v>5900.0</v>
      </c>
      <c r="R240" s="34" t="s">
        <v>51</v>
      </c>
      <c r="S240" s="35" t="n">
        <f>5955.67</f>
        <v>5955.67</v>
      </c>
      <c r="T240" s="32" t="n">
        <f>11156</f>
        <v>11156.0</v>
      </c>
      <c r="U240" s="32" t="n">
        <f>1190</f>
        <v>1190.0</v>
      </c>
      <c r="V240" s="32" t="n">
        <f>66319206</f>
        <v>6.6319206E7</v>
      </c>
      <c r="W240" s="32" t="n">
        <f>6979550</f>
        <v>6979550.0</v>
      </c>
      <c r="X240" s="36" t="n">
        <f>18</f>
        <v>18.0</v>
      </c>
    </row>
    <row r="241">
      <c r="A241" s="27" t="s">
        <v>42</v>
      </c>
      <c r="B241" s="27" t="s">
        <v>766</v>
      </c>
      <c r="C241" s="27" t="s">
        <v>767</v>
      </c>
      <c r="D241" s="27" t="s">
        <v>768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821</f>
        <v>821.0</v>
      </c>
      <c r="L241" s="34" t="s">
        <v>48</v>
      </c>
      <c r="M241" s="33" t="n">
        <f>840</f>
        <v>840.0</v>
      </c>
      <c r="N241" s="34" t="s">
        <v>49</v>
      </c>
      <c r="O241" s="33" t="n">
        <f>800</f>
        <v>800.0</v>
      </c>
      <c r="P241" s="34" t="s">
        <v>73</v>
      </c>
      <c r="Q241" s="33" t="n">
        <f>823</f>
        <v>823.0</v>
      </c>
      <c r="R241" s="34" t="s">
        <v>51</v>
      </c>
      <c r="S241" s="35" t="n">
        <f>815.55</f>
        <v>815.55</v>
      </c>
      <c r="T241" s="32" t="n">
        <f>336960</f>
        <v>336960.0</v>
      </c>
      <c r="U241" s="32" t="n">
        <f>3410</f>
        <v>3410.0</v>
      </c>
      <c r="V241" s="32" t="n">
        <f>275813116</f>
        <v>2.75813116E8</v>
      </c>
      <c r="W241" s="32" t="n">
        <f>2789000</f>
        <v>2789000.0</v>
      </c>
      <c r="X241" s="36" t="n">
        <f>18</f>
        <v>18.0</v>
      </c>
    </row>
    <row r="242">
      <c r="A242" s="27" t="s">
        <v>42</v>
      </c>
      <c r="B242" s="27" t="s">
        <v>769</v>
      </c>
      <c r="C242" s="27" t="s">
        <v>770</v>
      </c>
      <c r="D242" s="27" t="s">
        <v>771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630.1</f>
        <v>630.1</v>
      </c>
      <c r="L242" s="34" t="s">
        <v>48</v>
      </c>
      <c r="M242" s="33" t="n">
        <f>639</f>
        <v>639.0</v>
      </c>
      <c r="N242" s="34" t="s">
        <v>49</v>
      </c>
      <c r="O242" s="33" t="n">
        <f>604.8</f>
        <v>604.8</v>
      </c>
      <c r="P242" s="34" t="s">
        <v>148</v>
      </c>
      <c r="Q242" s="33" t="n">
        <f>623.5</f>
        <v>623.5</v>
      </c>
      <c r="R242" s="34" t="s">
        <v>51</v>
      </c>
      <c r="S242" s="35" t="n">
        <f>620.68</f>
        <v>620.68</v>
      </c>
      <c r="T242" s="32" t="n">
        <f>8300040</f>
        <v>8300040.0</v>
      </c>
      <c r="U242" s="32" t="n">
        <f>8000900</f>
        <v>8000900.0</v>
      </c>
      <c r="V242" s="32" t="n">
        <f>5291195241</f>
        <v>5.291195241E9</v>
      </c>
      <c r="W242" s="32" t="n">
        <f>5106159442</f>
        <v>5.106159442E9</v>
      </c>
      <c r="X242" s="36" t="n">
        <f>18</f>
        <v>18.0</v>
      </c>
    </row>
    <row r="243">
      <c r="A243" s="27" t="s">
        <v>42</v>
      </c>
      <c r="B243" s="27" t="s">
        <v>772</v>
      </c>
      <c r="C243" s="27" t="s">
        <v>773</v>
      </c>
      <c r="D243" s="27" t="s">
        <v>774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2667</f>
        <v>2667.0</v>
      </c>
      <c r="L243" s="34" t="s">
        <v>48</v>
      </c>
      <c r="M243" s="33" t="n">
        <f>2668</f>
        <v>2668.0</v>
      </c>
      <c r="N243" s="34" t="s">
        <v>48</v>
      </c>
      <c r="O243" s="33" t="n">
        <f>2366</f>
        <v>2366.0</v>
      </c>
      <c r="P243" s="34" t="s">
        <v>148</v>
      </c>
      <c r="Q243" s="33" t="n">
        <f>2575</f>
        <v>2575.0</v>
      </c>
      <c r="R243" s="34" t="s">
        <v>51</v>
      </c>
      <c r="S243" s="35" t="n">
        <f>2540.94</f>
        <v>2540.94</v>
      </c>
      <c r="T243" s="32" t="n">
        <f>4203180</f>
        <v>4203180.0</v>
      </c>
      <c r="U243" s="32" t="n">
        <f>78</f>
        <v>78.0</v>
      </c>
      <c r="V243" s="32" t="n">
        <f>10641893622</f>
        <v>1.0641893622E10</v>
      </c>
      <c r="W243" s="32" t="n">
        <f>201845</f>
        <v>201845.0</v>
      </c>
      <c r="X243" s="36" t="n">
        <f>18</f>
        <v>18.0</v>
      </c>
    </row>
    <row r="244">
      <c r="A244" s="27" t="s">
        <v>42</v>
      </c>
      <c r="B244" s="27" t="s">
        <v>775</v>
      </c>
      <c r="C244" s="27" t="s">
        <v>776</v>
      </c>
      <c r="D244" s="27" t="s">
        <v>777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3220</f>
        <v>3220.0</v>
      </c>
      <c r="L244" s="34" t="s">
        <v>48</v>
      </c>
      <c r="M244" s="33" t="n">
        <f>3220</f>
        <v>3220.0</v>
      </c>
      <c r="N244" s="34" t="s">
        <v>48</v>
      </c>
      <c r="O244" s="33" t="n">
        <f>2950</f>
        <v>2950.0</v>
      </c>
      <c r="P244" s="34" t="s">
        <v>148</v>
      </c>
      <c r="Q244" s="33" t="n">
        <f>3114</f>
        <v>3114.0</v>
      </c>
      <c r="R244" s="34" t="s">
        <v>51</v>
      </c>
      <c r="S244" s="35" t="n">
        <f>3091.61</f>
        <v>3091.61</v>
      </c>
      <c r="T244" s="32" t="n">
        <f>7019530</f>
        <v>7019530.0</v>
      </c>
      <c r="U244" s="32" t="n">
        <f>135813</f>
        <v>135813.0</v>
      </c>
      <c r="V244" s="32" t="n">
        <f>21637732556</f>
        <v>2.1637732556E10</v>
      </c>
      <c r="W244" s="32" t="n">
        <f>419800588</f>
        <v>4.19800588E8</v>
      </c>
      <c r="X244" s="36" t="n">
        <f>18</f>
        <v>18.0</v>
      </c>
    </row>
    <row r="245">
      <c r="A245" s="27" t="s">
        <v>42</v>
      </c>
      <c r="B245" s="27" t="s">
        <v>778</v>
      </c>
      <c r="C245" s="27" t="s">
        <v>779</v>
      </c>
      <c r="D245" s="27" t="s">
        <v>780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746.9</f>
        <v>746.9</v>
      </c>
      <c r="L245" s="34" t="s">
        <v>48</v>
      </c>
      <c r="M245" s="33" t="n">
        <f>746.9</f>
        <v>746.9</v>
      </c>
      <c r="N245" s="34" t="s">
        <v>48</v>
      </c>
      <c r="O245" s="33" t="n">
        <f>734</f>
        <v>734.0</v>
      </c>
      <c r="P245" s="34" t="s">
        <v>249</v>
      </c>
      <c r="Q245" s="33" t="n">
        <f>737.5</f>
        <v>737.5</v>
      </c>
      <c r="R245" s="34" t="s">
        <v>51</v>
      </c>
      <c r="S245" s="35" t="n">
        <f>736.54</f>
        <v>736.54</v>
      </c>
      <c r="T245" s="32" t="n">
        <f>25760</f>
        <v>25760.0</v>
      </c>
      <c r="U245" s="32" t="n">
        <f>10</f>
        <v>10.0</v>
      </c>
      <c r="V245" s="32" t="n">
        <f>18928870</f>
        <v>1.892887E7</v>
      </c>
      <c r="W245" s="32" t="n">
        <f>7383</f>
        <v>7383.0</v>
      </c>
      <c r="X245" s="36" t="n">
        <f>18</f>
        <v>18.0</v>
      </c>
    </row>
    <row r="246">
      <c r="A246" s="27" t="s">
        <v>42</v>
      </c>
      <c r="B246" s="27" t="s">
        <v>781</v>
      </c>
      <c r="C246" s="27" t="s">
        <v>782</v>
      </c>
      <c r="D246" s="27" t="s">
        <v>783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736.9</f>
        <v>736.9</v>
      </c>
      <c r="L246" s="34" t="s">
        <v>48</v>
      </c>
      <c r="M246" s="33" t="n">
        <f>765</f>
        <v>765.0</v>
      </c>
      <c r="N246" s="34" t="s">
        <v>148</v>
      </c>
      <c r="O246" s="33" t="n">
        <f>733.4</f>
        <v>733.4</v>
      </c>
      <c r="P246" s="34" t="s">
        <v>148</v>
      </c>
      <c r="Q246" s="33" t="n">
        <f>739.3</f>
        <v>739.3</v>
      </c>
      <c r="R246" s="34" t="s">
        <v>51</v>
      </c>
      <c r="S246" s="35" t="n">
        <f>736.78</f>
        <v>736.78</v>
      </c>
      <c r="T246" s="32" t="n">
        <f>114180</f>
        <v>114180.0</v>
      </c>
      <c r="U246" s="32" t="str">
        <f>"－"</f>
        <v>－</v>
      </c>
      <c r="V246" s="32" t="n">
        <f>84026659</f>
        <v>8.4026659E7</v>
      </c>
      <c r="W246" s="32" t="str">
        <f>"－"</f>
        <v>－</v>
      </c>
      <c r="X246" s="36" t="n">
        <f>17</f>
        <v>17.0</v>
      </c>
    </row>
    <row r="247">
      <c r="A247" s="27" t="s">
        <v>42</v>
      </c>
      <c r="B247" s="27" t="s">
        <v>784</v>
      </c>
      <c r="C247" s="27" t="s">
        <v>785</v>
      </c>
      <c r="D247" s="27" t="s">
        <v>786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1983</f>
        <v>1983.0</v>
      </c>
      <c r="L247" s="34" t="s">
        <v>48</v>
      </c>
      <c r="M247" s="33" t="n">
        <f>2025</f>
        <v>2025.0</v>
      </c>
      <c r="N247" s="34" t="s">
        <v>51</v>
      </c>
      <c r="O247" s="33" t="n">
        <f>1925</f>
        <v>1925.0</v>
      </c>
      <c r="P247" s="34" t="s">
        <v>73</v>
      </c>
      <c r="Q247" s="33" t="n">
        <f>2005</f>
        <v>2005.0</v>
      </c>
      <c r="R247" s="34" t="s">
        <v>51</v>
      </c>
      <c r="S247" s="35" t="n">
        <f>1974.11</f>
        <v>1974.11</v>
      </c>
      <c r="T247" s="32" t="n">
        <f>397937</f>
        <v>397937.0</v>
      </c>
      <c r="U247" s="32" t="n">
        <f>1530</f>
        <v>1530.0</v>
      </c>
      <c r="V247" s="32" t="n">
        <f>785181856</f>
        <v>7.85181856E8</v>
      </c>
      <c r="W247" s="32" t="n">
        <f>2999770</f>
        <v>2999770.0</v>
      </c>
      <c r="X247" s="36" t="n">
        <f>18</f>
        <v>18.0</v>
      </c>
    </row>
    <row r="248">
      <c r="A248" s="27" t="s">
        <v>42</v>
      </c>
      <c r="B248" s="27" t="s">
        <v>787</v>
      </c>
      <c r="C248" s="27" t="s">
        <v>788</v>
      </c>
      <c r="D248" s="27" t="s">
        <v>789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2532</f>
        <v>2532.0</v>
      </c>
      <c r="L248" s="34" t="s">
        <v>48</v>
      </c>
      <c r="M248" s="33" t="n">
        <f>2547</f>
        <v>2547.0</v>
      </c>
      <c r="N248" s="34" t="s">
        <v>302</v>
      </c>
      <c r="O248" s="33" t="n">
        <f>2415</f>
        <v>2415.0</v>
      </c>
      <c r="P248" s="34" t="s">
        <v>148</v>
      </c>
      <c r="Q248" s="33" t="n">
        <f>2520</f>
        <v>2520.0</v>
      </c>
      <c r="R248" s="34" t="s">
        <v>51</v>
      </c>
      <c r="S248" s="35" t="n">
        <f>2495.61</f>
        <v>2495.61</v>
      </c>
      <c r="T248" s="32" t="n">
        <f>467672</f>
        <v>467672.0</v>
      </c>
      <c r="U248" s="32" t="n">
        <f>162010</f>
        <v>162010.0</v>
      </c>
      <c r="V248" s="32" t="n">
        <f>1166900849</f>
        <v>1.166900849E9</v>
      </c>
      <c r="W248" s="32" t="n">
        <f>403768837</f>
        <v>4.03768837E8</v>
      </c>
      <c r="X248" s="36" t="n">
        <f>18</f>
        <v>18.0</v>
      </c>
    </row>
    <row r="249">
      <c r="A249" s="27" t="s">
        <v>42</v>
      </c>
      <c r="B249" s="27" t="s">
        <v>790</v>
      </c>
      <c r="C249" s="27" t="s">
        <v>791</v>
      </c>
      <c r="D249" s="27" t="s">
        <v>792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11740</f>
        <v>11740.0</v>
      </c>
      <c r="L249" s="34" t="s">
        <v>48</v>
      </c>
      <c r="M249" s="33" t="n">
        <f>12825</f>
        <v>12825.0</v>
      </c>
      <c r="N249" s="34" t="s">
        <v>148</v>
      </c>
      <c r="O249" s="33" t="n">
        <f>11670</f>
        <v>11670.0</v>
      </c>
      <c r="P249" s="34" t="s">
        <v>49</v>
      </c>
      <c r="Q249" s="33" t="n">
        <f>11795</f>
        <v>11795.0</v>
      </c>
      <c r="R249" s="34" t="s">
        <v>51</v>
      </c>
      <c r="S249" s="35" t="n">
        <f>12062.5</f>
        <v>12062.5</v>
      </c>
      <c r="T249" s="32" t="n">
        <f>137957</f>
        <v>137957.0</v>
      </c>
      <c r="U249" s="32" t="n">
        <f>146</f>
        <v>146.0</v>
      </c>
      <c r="V249" s="32" t="n">
        <f>1683782263</f>
        <v>1.683782263E9</v>
      </c>
      <c r="W249" s="32" t="n">
        <f>1780468</f>
        <v>1780468.0</v>
      </c>
      <c r="X249" s="36" t="n">
        <f>18</f>
        <v>18.0</v>
      </c>
    </row>
    <row r="250">
      <c r="A250" s="27" t="s">
        <v>42</v>
      </c>
      <c r="B250" s="27" t="s">
        <v>793</v>
      </c>
      <c r="C250" s="27" t="s">
        <v>794</v>
      </c>
      <c r="D250" s="27" t="s">
        <v>795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1880</f>
        <v>1880.0</v>
      </c>
      <c r="L250" s="34" t="s">
        <v>48</v>
      </c>
      <c r="M250" s="33" t="n">
        <f>1892</f>
        <v>1892.0</v>
      </c>
      <c r="N250" s="34" t="s">
        <v>48</v>
      </c>
      <c r="O250" s="33" t="n">
        <f>1488</f>
        <v>1488.0</v>
      </c>
      <c r="P250" s="34" t="s">
        <v>68</v>
      </c>
      <c r="Q250" s="33" t="n">
        <f>1660</f>
        <v>1660.0</v>
      </c>
      <c r="R250" s="34" t="s">
        <v>51</v>
      </c>
      <c r="S250" s="35" t="n">
        <f>1627.44</f>
        <v>1627.44</v>
      </c>
      <c r="T250" s="32" t="n">
        <f>683629</f>
        <v>683629.0</v>
      </c>
      <c r="U250" s="32" t="n">
        <f>99</f>
        <v>99.0</v>
      </c>
      <c r="V250" s="32" t="n">
        <f>1123471849</f>
        <v>1.123471849E9</v>
      </c>
      <c r="W250" s="32" t="n">
        <f>160624</f>
        <v>160624.0</v>
      </c>
      <c r="X250" s="36" t="n">
        <f>18</f>
        <v>18.0</v>
      </c>
    </row>
    <row r="251">
      <c r="A251" s="27" t="s">
        <v>42</v>
      </c>
      <c r="B251" s="27" t="s">
        <v>796</v>
      </c>
      <c r="C251" s="27" t="s">
        <v>797</v>
      </c>
      <c r="D251" s="27" t="s">
        <v>798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310.9</f>
        <v>310.9</v>
      </c>
      <c r="L251" s="34" t="s">
        <v>48</v>
      </c>
      <c r="M251" s="33" t="n">
        <f>315.8</f>
        <v>315.8</v>
      </c>
      <c r="N251" s="34" t="s">
        <v>249</v>
      </c>
      <c r="O251" s="33" t="n">
        <f>290.5</f>
        <v>290.5</v>
      </c>
      <c r="P251" s="34" t="s">
        <v>50</v>
      </c>
      <c r="Q251" s="33" t="n">
        <f>301.8</f>
        <v>301.8</v>
      </c>
      <c r="R251" s="34" t="s">
        <v>51</v>
      </c>
      <c r="S251" s="35" t="n">
        <f>301.01</f>
        <v>301.01</v>
      </c>
      <c r="T251" s="32" t="n">
        <f>26810</f>
        <v>26810.0</v>
      </c>
      <c r="U251" s="32" t="str">
        <f>"－"</f>
        <v>－</v>
      </c>
      <c r="V251" s="32" t="n">
        <f>8203625</f>
        <v>8203625.0</v>
      </c>
      <c r="W251" s="32" t="str">
        <f>"－"</f>
        <v>－</v>
      </c>
      <c r="X251" s="36" t="n">
        <f>18</f>
        <v>18.0</v>
      </c>
    </row>
    <row r="252">
      <c r="A252" s="27" t="s">
        <v>42</v>
      </c>
      <c r="B252" s="27" t="s">
        <v>799</v>
      </c>
      <c r="C252" s="27" t="s">
        <v>800</v>
      </c>
      <c r="D252" s="27" t="s">
        <v>801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811.4</f>
        <v>811.4</v>
      </c>
      <c r="L252" s="34" t="s">
        <v>48</v>
      </c>
      <c r="M252" s="33" t="n">
        <f>835</f>
        <v>835.0</v>
      </c>
      <c r="N252" s="34" t="s">
        <v>61</v>
      </c>
      <c r="O252" s="33" t="n">
        <f>809</f>
        <v>809.0</v>
      </c>
      <c r="P252" s="34" t="s">
        <v>50</v>
      </c>
      <c r="Q252" s="33" t="n">
        <f>822</f>
        <v>822.0</v>
      </c>
      <c r="R252" s="34" t="s">
        <v>51</v>
      </c>
      <c r="S252" s="35" t="n">
        <f>816.63</f>
        <v>816.63</v>
      </c>
      <c r="T252" s="32" t="n">
        <f>2074630</f>
        <v>2074630.0</v>
      </c>
      <c r="U252" s="32" t="n">
        <f>1240740</f>
        <v>1240740.0</v>
      </c>
      <c r="V252" s="32" t="n">
        <f>1695141017</f>
        <v>1.695141017E9</v>
      </c>
      <c r="W252" s="32" t="n">
        <f>1012319238</f>
        <v>1.012319238E9</v>
      </c>
      <c r="X252" s="36" t="n">
        <f>18</f>
        <v>18.0</v>
      </c>
    </row>
    <row r="253">
      <c r="A253" s="27" t="s">
        <v>42</v>
      </c>
      <c r="B253" s="27" t="s">
        <v>802</v>
      </c>
      <c r="C253" s="27" t="s">
        <v>803</v>
      </c>
      <c r="D253" s="27" t="s">
        <v>804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1255</f>
        <v>1255.0</v>
      </c>
      <c r="L253" s="34" t="s">
        <v>48</v>
      </c>
      <c r="M253" s="33" t="n">
        <f>1300</f>
        <v>1300.0</v>
      </c>
      <c r="N253" s="34" t="s">
        <v>51</v>
      </c>
      <c r="O253" s="33" t="n">
        <f>1210</f>
        <v>1210.0</v>
      </c>
      <c r="P253" s="34" t="s">
        <v>50</v>
      </c>
      <c r="Q253" s="33" t="n">
        <f>1299</f>
        <v>1299.0</v>
      </c>
      <c r="R253" s="34" t="s">
        <v>51</v>
      </c>
      <c r="S253" s="35" t="n">
        <f>1255.67</f>
        <v>1255.67</v>
      </c>
      <c r="T253" s="32" t="n">
        <f>380054</f>
        <v>380054.0</v>
      </c>
      <c r="U253" s="32" t="str">
        <f>"－"</f>
        <v>－</v>
      </c>
      <c r="V253" s="32" t="n">
        <f>477638103</f>
        <v>4.77638103E8</v>
      </c>
      <c r="W253" s="32" t="str">
        <f>"－"</f>
        <v>－</v>
      </c>
      <c r="X253" s="36" t="n">
        <f>18</f>
        <v>18.0</v>
      </c>
    </row>
    <row r="254">
      <c r="A254" s="27" t="s">
        <v>42</v>
      </c>
      <c r="B254" s="27" t="s">
        <v>805</v>
      </c>
      <c r="C254" s="27" t="s">
        <v>806</v>
      </c>
      <c r="D254" s="27" t="s">
        <v>807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1134</f>
        <v>1134.0</v>
      </c>
      <c r="L254" s="34" t="s">
        <v>48</v>
      </c>
      <c r="M254" s="33" t="n">
        <f>1198</f>
        <v>1198.0</v>
      </c>
      <c r="N254" s="34" t="s">
        <v>51</v>
      </c>
      <c r="O254" s="33" t="n">
        <f>1120</f>
        <v>1120.0</v>
      </c>
      <c r="P254" s="34" t="s">
        <v>50</v>
      </c>
      <c r="Q254" s="33" t="n">
        <f>1198</f>
        <v>1198.0</v>
      </c>
      <c r="R254" s="34" t="s">
        <v>51</v>
      </c>
      <c r="S254" s="35" t="n">
        <f>1159.67</f>
        <v>1159.67</v>
      </c>
      <c r="T254" s="32" t="n">
        <f>130230</f>
        <v>130230.0</v>
      </c>
      <c r="U254" s="32" t="str">
        <f>"－"</f>
        <v>－</v>
      </c>
      <c r="V254" s="32" t="n">
        <f>151028217</f>
        <v>1.51028217E8</v>
      </c>
      <c r="W254" s="32" t="str">
        <f>"－"</f>
        <v>－</v>
      </c>
      <c r="X254" s="36" t="n">
        <f>18</f>
        <v>18.0</v>
      </c>
    </row>
    <row r="255">
      <c r="A255" s="27" t="s">
        <v>42</v>
      </c>
      <c r="B255" s="27" t="s">
        <v>808</v>
      </c>
      <c r="C255" s="27" t="s">
        <v>809</v>
      </c>
      <c r="D255" s="27" t="s">
        <v>810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1245</f>
        <v>1245.0</v>
      </c>
      <c r="L255" s="34" t="s">
        <v>48</v>
      </c>
      <c r="M255" s="33" t="n">
        <f>1261</f>
        <v>1261.0</v>
      </c>
      <c r="N255" s="34" t="s">
        <v>49</v>
      </c>
      <c r="O255" s="33" t="n">
        <f>1148</f>
        <v>1148.0</v>
      </c>
      <c r="P255" s="34" t="s">
        <v>114</v>
      </c>
      <c r="Q255" s="33" t="n">
        <f>1166</f>
        <v>1166.0</v>
      </c>
      <c r="R255" s="34" t="s">
        <v>51</v>
      </c>
      <c r="S255" s="35" t="n">
        <f>1197.67</f>
        <v>1197.67</v>
      </c>
      <c r="T255" s="32" t="n">
        <f>1300497</f>
        <v>1300497.0</v>
      </c>
      <c r="U255" s="32" t="str">
        <f>"－"</f>
        <v>－</v>
      </c>
      <c r="V255" s="32" t="n">
        <f>1557331113</f>
        <v>1.557331113E9</v>
      </c>
      <c r="W255" s="32" t="str">
        <f>"－"</f>
        <v>－</v>
      </c>
      <c r="X255" s="36" t="n">
        <f>18</f>
        <v>18.0</v>
      </c>
    </row>
    <row r="256">
      <c r="A256" s="27" t="s">
        <v>42</v>
      </c>
      <c r="B256" s="27" t="s">
        <v>811</v>
      </c>
      <c r="C256" s="27" t="s">
        <v>812</v>
      </c>
      <c r="D256" s="27" t="s">
        <v>813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210.9</f>
        <v>210.9</v>
      </c>
      <c r="L256" s="34" t="s">
        <v>48</v>
      </c>
      <c r="M256" s="33" t="n">
        <f>216.2</f>
        <v>216.2</v>
      </c>
      <c r="N256" s="34" t="s">
        <v>51</v>
      </c>
      <c r="O256" s="33" t="n">
        <f>199.5</f>
        <v>199.5</v>
      </c>
      <c r="P256" s="34" t="s">
        <v>51</v>
      </c>
      <c r="Q256" s="33" t="n">
        <f>216</f>
        <v>216.0</v>
      </c>
      <c r="R256" s="34" t="s">
        <v>51</v>
      </c>
      <c r="S256" s="35" t="n">
        <f>212.06</f>
        <v>212.06</v>
      </c>
      <c r="T256" s="32" t="n">
        <f>3865580</f>
        <v>3865580.0</v>
      </c>
      <c r="U256" s="32" t="n">
        <f>30120</f>
        <v>30120.0</v>
      </c>
      <c r="V256" s="32" t="n">
        <f>819695166</f>
        <v>8.19695166E8</v>
      </c>
      <c r="W256" s="32" t="n">
        <f>6369144</f>
        <v>6369144.0</v>
      </c>
      <c r="X256" s="36" t="n">
        <f>18</f>
        <v>18.0</v>
      </c>
    </row>
    <row r="257">
      <c r="A257" s="27" t="s">
        <v>42</v>
      </c>
      <c r="B257" s="27" t="s">
        <v>814</v>
      </c>
      <c r="C257" s="27" t="s">
        <v>815</v>
      </c>
      <c r="D257" s="27" t="s">
        <v>816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219.7</f>
        <v>219.7</v>
      </c>
      <c r="L257" s="34" t="s">
        <v>48</v>
      </c>
      <c r="M257" s="33" t="n">
        <f>226</f>
        <v>226.0</v>
      </c>
      <c r="N257" s="34" t="s">
        <v>51</v>
      </c>
      <c r="O257" s="33" t="n">
        <f>217.7</f>
        <v>217.7</v>
      </c>
      <c r="P257" s="34" t="s">
        <v>50</v>
      </c>
      <c r="Q257" s="33" t="n">
        <f>223.2</f>
        <v>223.2</v>
      </c>
      <c r="R257" s="34" t="s">
        <v>51</v>
      </c>
      <c r="S257" s="35" t="n">
        <f>220.88</f>
        <v>220.88</v>
      </c>
      <c r="T257" s="32" t="n">
        <f>999450</f>
        <v>999450.0</v>
      </c>
      <c r="U257" s="32" t="n">
        <f>1320</f>
        <v>1320.0</v>
      </c>
      <c r="V257" s="32" t="n">
        <f>220882064</f>
        <v>2.20882064E8</v>
      </c>
      <c r="W257" s="32" t="n">
        <f>289113</f>
        <v>289113.0</v>
      </c>
      <c r="X257" s="36" t="n">
        <f>18</f>
        <v>18.0</v>
      </c>
    </row>
    <row r="258">
      <c r="A258" s="27" t="s">
        <v>42</v>
      </c>
      <c r="B258" s="27" t="s">
        <v>817</v>
      </c>
      <c r="C258" s="27" t="s">
        <v>818</v>
      </c>
      <c r="D258" s="27" t="s">
        <v>819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221.3</f>
        <v>221.3</v>
      </c>
      <c r="L258" s="34" t="s">
        <v>48</v>
      </c>
      <c r="M258" s="33" t="n">
        <f>227</f>
        <v>227.0</v>
      </c>
      <c r="N258" s="34" t="s">
        <v>51</v>
      </c>
      <c r="O258" s="33" t="n">
        <f>219.5</f>
        <v>219.5</v>
      </c>
      <c r="P258" s="34" t="s">
        <v>50</v>
      </c>
      <c r="Q258" s="33" t="n">
        <f>227</f>
        <v>227.0</v>
      </c>
      <c r="R258" s="34" t="s">
        <v>51</v>
      </c>
      <c r="S258" s="35" t="n">
        <f>222.79</f>
        <v>222.79</v>
      </c>
      <c r="T258" s="32" t="n">
        <f>601350</f>
        <v>601350.0</v>
      </c>
      <c r="U258" s="32" t="n">
        <f>540</f>
        <v>540.0</v>
      </c>
      <c r="V258" s="32" t="n">
        <f>133925109</f>
        <v>1.33925109E8</v>
      </c>
      <c r="W258" s="32" t="n">
        <f>116610</f>
        <v>116610.0</v>
      </c>
      <c r="X258" s="36" t="n">
        <f>18</f>
        <v>18.0</v>
      </c>
    </row>
    <row r="259">
      <c r="A259" s="27" t="s">
        <v>42</v>
      </c>
      <c r="B259" s="27" t="s">
        <v>820</v>
      </c>
      <c r="C259" s="27" t="s">
        <v>821</v>
      </c>
      <c r="D259" s="27" t="s">
        <v>822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222</f>
        <v>222.0</v>
      </c>
      <c r="L259" s="34" t="s">
        <v>48</v>
      </c>
      <c r="M259" s="33" t="n">
        <f>227.2</f>
        <v>227.2</v>
      </c>
      <c r="N259" s="34" t="s">
        <v>51</v>
      </c>
      <c r="O259" s="33" t="n">
        <f>219.2</f>
        <v>219.2</v>
      </c>
      <c r="P259" s="34" t="s">
        <v>50</v>
      </c>
      <c r="Q259" s="33" t="n">
        <f>226.8</f>
        <v>226.8</v>
      </c>
      <c r="R259" s="34" t="s">
        <v>51</v>
      </c>
      <c r="S259" s="35" t="n">
        <f>223.37</f>
        <v>223.37</v>
      </c>
      <c r="T259" s="32" t="n">
        <f>2026080</f>
        <v>2026080.0</v>
      </c>
      <c r="U259" s="32" t="n">
        <f>2920</f>
        <v>2920.0</v>
      </c>
      <c r="V259" s="32" t="n">
        <f>450633764</f>
        <v>4.50633764E8</v>
      </c>
      <c r="W259" s="32" t="n">
        <f>652620</f>
        <v>652620.0</v>
      </c>
      <c r="X259" s="36" t="n">
        <f>18</f>
        <v>18.0</v>
      </c>
    </row>
    <row r="260">
      <c r="A260" s="27" t="s">
        <v>42</v>
      </c>
      <c r="B260" s="27" t="s">
        <v>823</v>
      </c>
      <c r="C260" s="27" t="s">
        <v>824</v>
      </c>
      <c r="D260" s="27" t="s">
        <v>825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190.7</f>
        <v>190.7</v>
      </c>
      <c r="L260" s="34" t="s">
        <v>48</v>
      </c>
      <c r="M260" s="33" t="n">
        <f>191.5</f>
        <v>191.5</v>
      </c>
      <c r="N260" s="34" t="s">
        <v>191</v>
      </c>
      <c r="O260" s="33" t="n">
        <f>189.5</f>
        <v>189.5</v>
      </c>
      <c r="P260" s="34" t="s">
        <v>201</v>
      </c>
      <c r="Q260" s="33" t="n">
        <f>191.1</f>
        <v>191.1</v>
      </c>
      <c r="R260" s="34" t="s">
        <v>51</v>
      </c>
      <c r="S260" s="35" t="n">
        <f>190.33</f>
        <v>190.33</v>
      </c>
      <c r="T260" s="32" t="n">
        <f>7740</f>
        <v>7740.0</v>
      </c>
      <c r="U260" s="32" t="n">
        <f>10</f>
        <v>10.0</v>
      </c>
      <c r="V260" s="32" t="n">
        <f>1474281</f>
        <v>1474281.0</v>
      </c>
      <c r="W260" s="32" t="n">
        <f>1901</f>
        <v>1901.0</v>
      </c>
      <c r="X260" s="36" t="n">
        <f>18</f>
        <v>18.0</v>
      </c>
    </row>
    <row r="261">
      <c r="A261" s="27" t="s">
        <v>42</v>
      </c>
      <c r="B261" s="27" t="s">
        <v>826</v>
      </c>
      <c r="C261" s="27" t="s">
        <v>827</v>
      </c>
      <c r="D261" s="27" t="s">
        <v>828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2104</f>
        <v>2104.0</v>
      </c>
      <c r="L261" s="34" t="s">
        <v>48</v>
      </c>
      <c r="M261" s="33" t="n">
        <f>2172</f>
        <v>2172.0</v>
      </c>
      <c r="N261" s="34" t="s">
        <v>61</v>
      </c>
      <c r="O261" s="33" t="n">
        <f>2043</f>
        <v>2043.0</v>
      </c>
      <c r="P261" s="34" t="s">
        <v>89</v>
      </c>
      <c r="Q261" s="33" t="n">
        <f>2155</f>
        <v>2155.0</v>
      </c>
      <c r="R261" s="34" t="s">
        <v>51</v>
      </c>
      <c r="S261" s="35" t="n">
        <f>2117.33</f>
        <v>2117.33</v>
      </c>
      <c r="T261" s="32" t="n">
        <f>442165</f>
        <v>442165.0</v>
      </c>
      <c r="U261" s="32" t="n">
        <f>238</f>
        <v>238.0</v>
      </c>
      <c r="V261" s="32" t="n">
        <f>933029617</f>
        <v>9.33029617E8</v>
      </c>
      <c r="W261" s="32" t="n">
        <f>507622</f>
        <v>507622.0</v>
      </c>
      <c r="X261" s="36" t="n">
        <f>18</f>
        <v>18.0</v>
      </c>
    </row>
    <row r="262">
      <c r="A262" s="27" t="s">
        <v>42</v>
      </c>
      <c r="B262" s="27" t="s">
        <v>829</v>
      </c>
      <c r="C262" s="27" t="s">
        <v>830</v>
      </c>
      <c r="D262" s="27" t="s">
        <v>831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1249</f>
        <v>1249.0</v>
      </c>
      <c r="L262" s="34" t="s">
        <v>48</v>
      </c>
      <c r="M262" s="33" t="n">
        <f>1350</f>
        <v>1350.0</v>
      </c>
      <c r="N262" s="34" t="s">
        <v>114</v>
      </c>
      <c r="O262" s="33" t="n">
        <f>1209</f>
        <v>1209.0</v>
      </c>
      <c r="P262" s="34" t="s">
        <v>50</v>
      </c>
      <c r="Q262" s="33" t="n">
        <f>1315</f>
        <v>1315.0</v>
      </c>
      <c r="R262" s="34" t="s">
        <v>51</v>
      </c>
      <c r="S262" s="35" t="n">
        <f>1278.89</f>
        <v>1278.89</v>
      </c>
      <c r="T262" s="32" t="n">
        <f>1182504</f>
        <v>1182504.0</v>
      </c>
      <c r="U262" s="32" t="n">
        <f>1113790</f>
        <v>1113790.0</v>
      </c>
      <c r="V262" s="32" t="n">
        <f>1526589691</f>
        <v>1.526589691E9</v>
      </c>
      <c r="W262" s="32" t="n">
        <f>1438649910</f>
        <v>1.43864991E9</v>
      </c>
      <c r="X262" s="36" t="n">
        <f>18</f>
        <v>18.0</v>
      </c>
    </row>
    <row r="263">
      <c r="A263" s="27" t="s">
        <v>42</v>
      </c>
      <c r="B263" s="27" t="s">
        <v>832</v>
      </c>
      <c r="C263" s="27" t="s">
        <v>833</v>
      </c>
      <c r="D263" s="27" t="s">
        <v>834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1176</f>
        <v>1176.0</v>
      </c>
      <c r="L263" s="34" t="s">
        <v>48</v>
      </c>
      <c r="M263" s="33" t="n">
        <f>1238</f>
        <v>1238.0</v>
      </c>
      <c r="N263" s="34" t="s">
        <v>51</v>
      </c>
      <c r="O263" s="33" t="n">
        <f>1149</f>
        <v>1149.0</v>
      </c>
      <c r="P263" s="34" t="s">
        <v>50</v>
      </c>
      <c r="Q263" s="33" t="n">
        <f>1236</f>
        <v>1236.0</v>
      </c>
      <c r="R263" s="34" t="s">
        <v>51</v>
      </c>
      <c r="S263" s="35" t="n">
        <f>1205.83</f>
        <v>1205.83</v>
      </c>
      <c r="T263" s="32" t="n">
        <f>1376647</f>
        <v>1376647.0</v>
      </c>
      <c r="U263" s="32" t="n">
        <f>468241</f>
        <v>468241.0</v>
      </c>
      <c r="V263" s="32" t="n">
        <f>1646567895</f>
        <v>1.646567895E9</v>
      </c>
      <c r="W263" s="32" t="n">
        <f>556747889</f>
        <v>5.56747889E8</v>
      </c>
      <c r="X263" s="36" t="n">
        <f>18</f>
        <v>18.0</v>
      </c>
    </row>
    <row r="264">
      <c r="A264" s="27" t="s">
        <v>42</v>
      </c>
      <c r="B264" s="27" t="s">
        <v>835</v>
      </c>
      <c r="C264" s="27" t="s">
        <v>836</v>
      </c>
      <c r="D264" s="27" t="s">
        <v>837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477.8</f>
        <v>477.8</v>
      </c>
      <c r="L264" s="34" t="s">
        <v>48</v>
      </c>
      <c r="M264" s="33" t="n">
        <f>477.8</f>
        <v>477.8</v>
      </c>
      <c r="N264" s="34" t="s">
        <v>48</v>
      </c>
      <c r="O264" s="33" t="n">
        <f>467.7</f>
        <v>467.7</v>
      </c>
      <c r="P264" s="34" t="s">
        <v>61</v>
      </c>
      <c r="Q264" s="33" t="n">
        <f>468.8</f>
        <v>468.8</v>
      </c>
      <c r="R264" s="34" t="s">
        <v>51</v>
      </c>
      <c r="S264" s="35" t="n">
        <f>471.61</f>
        <v>471.61</v>
      </c>
      <c r="T264" s="32" t="n">
        <f>921370</f>
        <v>921370.0</v>
      </c>
      <c r="U264" s="32" t="n">
        <f>200640</f>
        <v>200640.0</v>
      </c>
      <c r="V264" s="32" t="n">
        <f>434454096</f>
        <v>4.34454096E8</v>
      </c>
      <c r="W264" s="32" t="n">
        <f>94760385</f>
        <v>9.4760385E7</v>
      </c>
      <c r="X264" s="36" t="n">
        <f>18</f>
        <v>18.0</v>
      </c>
    </row>
    <row r="265">
      <c r="A265" s="27" t="s">
        <v>42</v>
      </c>
      <c r="B265" s="27" t="s">
        <v>838</v>
      </c>
      <c r="C265" s="27" t="s">
        <v>839</v>
      </c>
      <c r="D265" s="27" t="s">
        <v>840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170.9</f>
        <v>170.9</v>
      </c>
      <c r="L265" s="34" t="s">
        <v>48</v>
      </c>
      <c r="M265" s="33" t="n">
        <f>175.2</f>
        <v>175.2</v>
      </c>
      <c r="N265" s="34" t="s">
        <v>51</v>
      </c>
      <c r="O265" s="33" t="n">
        <f>167</f>
        <v>167.0</v>
      </c>
      <c r="P265" s="34" t="s">
        <v>245</v>
      </c>
      <c r="Q265" s="33" t="n">
        <f>174.2</f>
        <v>174.2</v>
      </c>
      <c r="R265" s="34" t="s">
        <v>51</v>
      </c>
      <c r="S265" s="35" t="n">
        <f>170.68</f>
        <v>170.68</v>
      </c>
      <c r="T265" s="32" t="n">
        <f>9821980</f>
        <v>9821980.0</v>
      </c>
      <c r="U265" s="32" t="n">
        <f>2700</f>
        <v>2700.0</v>
      </c>
      <c r="V265" s="32" t="n">
        <f>1670046669</f>
        <v>1.670046669E9</v>
      </c>
      <c r="W265" s="32" t="n">
        <f>460230</f>
        <v>460230.0</v>
      </c>
      <c r="X265" s="36" t="n">
        <f>18</f>
        <v>18.0</v>
      </c>
    </row>
    <row r="266">
      <c r="A266" s="27" t="s">
        <v>42</v>
      </c>
      <c r="B266" s="27" t="s">
        <v>841</v>
      </c>
      <c r="C266" s="27" t="s">
        <v>842</v>
      </c>
      <c r="D266" s="27" t="s">
        <v>843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149.5</f>
        <v>149.5</v>
      </c>
      <c r="L266" s="34" t="s">
        <v>48</v>
      </c>
      <c r="M266" s="33" t="n">
        <f>150.8</f>
        <v>150.8</v>
      </c>
      <c r="N266" s="34" t="s">
        <v>50</v>
      </c>
      <c r="O266" s="33" t="n">
        <f>145.4</f>
        <v>145.4</v>
      </c>
      <c r="P266" s="34" t="s">
        <v>61</v>
      </c>
      <c r="Q266" s="33" t="n">
        <f>149.9</f>
        <v>149.9</v>
      </c>
      <c r="R266" s="34" t="s">
        <v>51</v>
      </c>
      <c r="S266" s="35" t="n">
        <f>148.09</f>
        <v>148.09</v>
      </c>
      <c r="T266" s="32" t="n">
        <f>6282320</f>
        <v>6282320.0</v>
      </c>
      <c r="U266" s="32" t="n">
        <f>2020</f>
        <v>2020.0</v>
      </c>
      <c r="V266" s="32" t="n">
        <f>930681164</f>
        <v>9.30681164E8</v>
      </c>
      <c r="W266" s="32" t="n">
        <f>302212</f>
        <v>302212.0</v>
      </c>
      <c r="X266" s="36" t="n">
        <f>18</f>
        <v>18.0</v>
      </c>
    </row>
    <row r="267">
      <c r="A267" s="27" t="s">
        <v>42</v>
      </c>
      <c r="B267" s="27" t="s">
        <v>844</v>
      </c>
      <c r="C267" s="27" t="s">
        <v>845</v>
      </c>
      <c r="D267" s="27" t="s">
        <v>846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861.8</f>
        <v>861.8</v>
      </c>
      <c r="L267" s="34" t="s">
        <v>48</v>
      </c>
      <c r="M267" s="33" t="n">
        <f>861.8</f>
        <v>861.8</v>
      </c>
      <c r="N267" s="34" t="s">
        <v>48</v>
      </c>
      <c r="O267" s="33" t="n">
        <f>845.7</f>
        <v>845.7</v>
      </c>
      <c r="P267" s="34" t="s">
        <v>61</v>
      </c>
      <c r="Q267" s="33" t="n">
        <f>847.3</f>
        <v>847.3</v>
      </c>
      <c r="R267" s="34" t="s">
        <v>51</v>
      </c>
      <c r="S267" s="35" t="n">
        <f>853.27</f>
        <v>853.27</v>
      </c>
      <c r="T267" s="32" t="n">
        <f>42673560</f>
        <v>4.267356E7</v>
      </c>
      <c r="U267" s="32" t="n">
        <f>39816690</f>
        <v>3.981669E7</v>
      </c>
      <c r="V267" s="32" t="n">
        <f>36585625888</f>
        <v>3.6585625888E10</v>
      </c>
      <c r="W267" s="32" t="n">
        <f>34145931340</f>
        <v>3.414593134E10</v>
      </c>
      <c r="X267" s="36" t="n">
        <f>18</f>
        <v>18.0</v>
      </c>
    </row>
    <row r="268">
      <c r="A268" s="27" t="s">
        <v>42</v>
      </c>
      <c r="B268" s="27" t="s">
        <v>847</v>
      </c>
      <c r="C268" s="27" t="s">
        <v>848</v>
      </c>
      <c r="D268" s="27" t="s">
        <v>849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1150</f>
        <v>1150.0</v>
      </c>
      <c r="L268" s="34" t="s">
        <v>48</v>
      </c>
      <c r="M268" s="33" t="n">
        <f>1190.5</f>
        <v>1190.5</v>
      </c>
      <c r="N268" s="34" t="s">
        <v>51</v>
      </c>
      <c r="O268" s="33" t="n">
        <f>1140.5</f>
        <v>1140.5</v>
      </c>
      <c r="P268" s="34" t="s">
        <v>50</v>
      </c>
      <c r="Q268" s="33" t="n">
        <f>1190.5</f>
        <v>1190.5</v>
      </c>
      <c r="R268" s="34" t="s">
        <v>51</v>
      </c>
      <c r="S268" s="35" t="n">
        <f>1160.33</f>
        <v>1160.33</v>
      </c>
      <c r="T268" s="32" t="n">
        <f>1817750</f>
        <v>1817750.0</v>
      </c>
      <c r="U268" s="32" t="n">
        <f>789140</f>
        <v>789140.0</v>
      </c>
      <c r="V268" s="32" t="n">
        <f>2106566704</f>
        <v>2.106566704E9</v>
      </c>
      <c r="W268" s="32" t="n">
        <f>914931654</f>
        <v>9.14931654E8</v>
      </c>
      <c r="X268" s="36" t="n">
        <f>18</f>
        <v>18.0</v>
      </c>
    </row>
    <row r="269">
      <c r="A269" s="27" t="s">
        <v>42</v>
      </c>
      <c r="B269" s="27" t="s">
        <v>850</v>
      </c>
      <c r="C269" s="27" t="s">
        <v>851</v>
      </c>
      <c r="D269" s="27" t="s">
        <v>852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757.1</f>
        <v>757.1</v>
      </c>
      <c r="L269" s="34" t="s">
        <v>48</v>
      </c>
      <c r="M269" s="33" t="n">
        <f>762</f>
        <v>762.0</v>
      </c>
      <c r="N269" s="34" t="s">
        <v>51</v>
      </c>
      <c r="O269" s="33" t="n">
        <f>752.6</f>
        <v>752.6</v>
      </c>
      <c r="P269" s="34" t="s">
        <v>61</v>
      </c>
      <c r="Q269" s="33" t="n">
        <f>762</f>
        <v>762.0</v>
      </c>
      <c r="R269" s="34" t="s">
        <v>51</v>
      </c>
      <c r="S269" s="35" t="n">
        <f>755.51</f>
        <v>755.51</v>
      </c>
      <c r="T269" s="32" t="n">
        <f>35397150</f>
        <v>3.539715E7</v>
      </c>
      <c r="U269" s="32" t="n">
        <f>34642760</f>
        <v>3.464276E7</v>
      </c>
      <c r="V269" s="32" t="n">
        <f>26732150653</f>
        <v>2.6732150653E10</v>
      </c>
      <c r="W269" s="32" t="n">
        <f>26161907567</f>
        <v>2.6161907567E10</v>
      </c>
      <c r="X269" s="36" t="n">
        <f>18</f>
        <v>18.0</v>
      </c>
    </row>
    <row r="270">
      <c r="A270" s="27" t="s">
        <v>42</v>
      </c>
      <c r="B270" s="27" t="s">
        <v>853</v>
      </c>
      <c r="C270" s="27" t="s">
        <v>854</v>
      </c>
      <c r="D270" s="27" t="s">
        <v>855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3099</f>
        <v>3099.0</v>
      </c>
      <c r="L270" s="34" t="s">
        <v>48</v>
      </c>
      <c r="M270" s="33" t="n">
        <f>3146</f>
        <v>3146.0</v>
      </c>
      <c r="N270" s="34" t="s">
        <v>51</v>
      </c>
      <c r="O270" s="33" t="n">
        <f>3019</f>
        <v>3019.0</v>
      </c>
      <c r="P270" s="34" t="s">
        <v>50</v>
      </c>
      <c r="Q270" s="33" t="n">
        <f>3145</f>
        <v>3145.0</v>
      </c>
      <c r="R270" s="34" t="s">
        <v>51</v>
      </c>
      <c r="S270" s="35" t="n">
        <f>3084.94</f>
        <v>3084.94</v>
      </c>
      <c r="T270" s="32" t="n">
        <f>942325</f>
        <v>942325.0</v>
      </c>
      <c r="U270" s="32" t="n">
        <f>112550</f>
        <v>112550.0</v>
      </c>
      <c r="V270" s="32" t="n">
        <f>2898196392</f>
        <v>2.898196392E9</v>
      </c>
      <c r="W270" s="32" t="n">
        <f>350296723</f>
        <v>3.50296723E8</v>
      </c>
      <c r="X270" s="36" t="n">
        <f>18</f>
        <v>18.0</v>
      </c>
    </row>
    <row r="271">
      <c r="A271" s="27" t="s">
        <v>42</v>
      </c>
      <c r="B271" s="27" t="s">
        <v>856</v>
      </c>
      <c r="C271" s="27" t="s">
        <v>857</v>
      </c>
      <c r="D271" s="27" t="s">
        <v>858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1849</f>
        <v>1849.0</v>
      </c>
      <c r="L271" s="34" t="s">
        <v>48</v>
      </c>
      <c r="M271" s="33" t="n">
        <f>1979</f>
        <v>1979.0</v>
      </c>
      <c r="N271" s="34" t="s">
        <v>51</v>
      </c>
      <c r="O271" s="33" t="n">
        <f>1778</f>
        <v>1778.0</v>
      </c>
      <c r="P271" s="34" t="s">
        <v>148</v>
      </c>
      <c r="Q271" s="33" t="n">
        <f>1926</f>
        <v>1926.0</v>
      </c>
      <c r="R271" s="34" t="s">
        <v>51</v>
      </c>
      <c r="S271" s="35" t="n">
        <f>1838.19</f>
        <v>1838.19</v>
      </c>
      <c r="T271" s="32" t="n">
        <f>304116</f>
        <v>304116.0</v>
      </c>
      <c r="U271" s="32" t="n">
        <f>150</f>
        <v>150.0</v>
      </c>
      <c r="V271" s="32" t="n">
        <f>555712016</f>
        <v>5.55712016E8</v>
      </c>
      <c r="W271" s="32" t="n">
        <f>275515</f>
        <v>275515.0</v>
      </c>
      <c r="X271" s="36" t="n">
        <f>18</f>
        <v>18.0</v>
      </c>
    </row>
    <row r="272">
      <c r="A272" s="27" t="s">
        <v>42</v>
      </c>
      <c r="B272" s="27" t="s">
        <v>859</v>
      </c>
      <c r="C272" s="27" t="s">
        <v>860</v>
      </c>
      <c r="D272" s="27" t="s">
        <v>861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1465.5</f>
        <v>1465.5</v>
      </c>
      <c r="L272" s="34" t="s">
        <v>48</v>
      </c>
      <c r="M272" s="33" t="n">
        <f>1509</f>
        <v>1509.0</v>
      </c>
      <c r="N272" s="34" t="s">
        <v>51</v>
      </c>
      <c r="O272" s="33" t="n">
        <f>1442.5</f>
        <v>1442.5</v>
      </c>
      <c r="P272" s="34" t="s">
        <v>50</v>
      </c>
      <c r="Q272" s="33" t="n">
        <f>1495</f>
        <v>1495.0</v>
      </c>
      <c r="R272" s="34" t="s">
        <v>51</v>
      </c>
      <c r="S272" s="35" t="n">
        <f>1473.75</f>
        <v>1473.75</v>
      </c>
      <c r="T272" s="32" t="n">
        <f>1227182</f>
        <v>1227182.0</v>
      </c>
      <c r="U272" s="32" t="n">
        <f>570050</f>
        <v>570050.0</v>
      </c>
      <c r="V272" s="32" t="n">
        <f>1807960477</f>
        <v>1.807960477E9</v>
      </c>
      <c r="W272" s="32" t="n">
        <f>839248263</f>
        <v>8.39248263E8</v>
      </c>
      <c r="X272" s="36" t="n">
        <f>18</f>
        <v>18.0</v>
      </c>
    </row>
    <row r="273">
      <c r="A273" s="27" t="s">
        <v>42</v>
      </c>
      <c r="B273" s="27" t="s">
        <v>862</v>
      </c>
      <c r="C273" s="27" t="s">
        <v>863</v>
      </c>
      <c r="D273" s="27" t="s">
        <v>864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10.0</v>
      </c>
      <c r="K273" s="33" t="n">
        <f>561.4</f>
        <v>561.4</v>
      </c>
      <c r="L273" s="34" t="s">
        <v>48</v>
      </c>
      <c r="M273" s="33" t="n">
        <f>574</f>
        <v>574.0</v>
      </c>
      <c r="N273" s="34" t="s">
        <v>302</v>
      </c>
      <c r="O273" s="33" t="n">
        <f>523.9</f>
        <v>523.9</v>
      </c>
      <c r="P273" s="34" t="s">
        <v>114</v>
      </c>
      <c r="Q273" s="33" t="n">
        <f>548.2</f>
        <v>548.2</v>
      </c>
      <c r="R273" s="34" t="s">
        <v>51</v>
      </c>
      <c r="S273" s="35" t="n">
        <f>549.07</f>
        <v>549.07</v>
      </c>
      <c r="T273" s="32" t="n">
        <f>14967170</f>
        <v>1.496717E7</v>
      </c>
      <c r="U273" s="32" t="n">
        <f>418240</f>
        <v>418240.0</v>
      </c>
      <c r="V273" s="32" t="n">
        <f>8190135221</f>
        <v>8.190135221E9</v>
      </c>
      <c r="W273" s="32" t="n">
        <f>227227608</f>
        <v>2.27227608E8</v>
      </c>
      <c r="X273" s="36" t="n">
        <f>18</f>
        <v>18.0</v>
      </c>
    </row>
    <row r="274">
      <c r="A274" s="27" t="s">
        <v>42</v>
      </c>
      <c r="B274" s="27" t="s">
        <v>865</v>
      </c>
      <c r="C274" s="27" t="s">
        <v>866</v>
      </c>
      <c r="D274" s="27" t="s">
        <v>867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1195.5</f>
        <v>1195.5</v>
      </c>
      <c r="L274" s="34" t="s">
        <v>48</v>
      </c>
      <c r="M274" s="33" t="n">
        <f>1231.5</f>
        <v>1231.5</v>
      </c>
      <c r="N274" s="34" t="s">
        <v>69</v>
      </c>
      <c r="O274" s="33" t="n">
        <f>1186</f>
        <v>1186.0</v>
      </c>
      <c r="P274" s="34" t="s">
        <v>61</v>
      </c>
      <c r="Q274" s="33" t="n">
        <f>1220.5</f>
        <v>1220.5</v>
      </c>
      <c r="R274" s="34" t="s">
        <v>51</v>
      </c>
      <c r="S274" s="35" t="n">
        <f>1205.36</f>
        <v>1205.36</v>
      </c>
      <c r="T274" s="32" t="n">
        <f>5704640</f>
        <v>5704640.0</v>
      </c>
      <c r="U274" s="32" t="n">
        <f>5493390</f>
        <v>5493390.0</v>
      </c>
      <c r="V274" s="32" t="n">
        <f>6871909582</f>
        <v>6.871909582E9</v>
      </c>
      <c r="W274" s="32" t="n">
        <f>6617933152</f>
        <v>6.617933152E9</v>
      </c>
      <c r="X274" s="36" t="n">
        <f>18</f>
        <v>18.0</v>
      </c>
    </row>
    <row r="275">
      <c r="A275" s="27" t="s">
        <v>42</v>
      </c>
      <c r="B275" s="27" t="s">
        <v>868</v>
      </c>
      <c r="C275" s="27" t="s">
        <v>869</v>
      </c>
      <c r="D275" s="27" t="s">
        <v>870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1818</f>
        <v>1818.0</v>
      </c>
      <c r="L275" s="34" t="s">
        <v>48</v>
      </c>
      <c r="M275" s="33" t="n">
        <f>1926</f>
        <v>1926.0</v>
      </c>
      <c r="N275" s="34" t="s">
        <v>68</v>
      </c>
      <c r="O275" s="33" t="n">
        <f>1790</f>
        <v>1790.0</v>
      </c>
      <c r="P275" s="34" t="s">
        <v>50</v>
      </c>
      <c r="Q275" s="33" t="n">
        <f>1905</f>
        <v>1905.0</v>
      </c>
      <c r="R275" s="34" t="s">
        <v>51</v>
      </c>
      <c r="S275" s="35" t="n">
        <f>1864.44</f>
        <v>1864.44</v>
      </c>
      <c r="T275" s="32" t="n">
        <f>132621</f>
        <v>132621.0</v>
      </c>
      <c r="U275" s="32" t="n">
        <f>112001</f>
        <v>112001.0</v>
      </c>
      <c r="V275" s="32" t="n">
        <f>247360215</f>
        <v>2.47360215E8</v>
      </c>
      <c r="W275" s="32" t="n">
        <f>208903485</f>
        <v>2.08903485E8</v>
      </c>
      <c r="X275" s="36" t="n">
        <f>18</f>
        <v>18.0</v>
      </c>
    </row>
    <row r="276">
      <c r="A276" s="27" t="s">
        <v>42</v>
      </c>
      <c r="B276" s="27" t="s">
        <v>871</v>
      </c>
      <c r="C276" s="27" t="s">
        <v>872</v>
      </c>
      <c r="D276" s="27" t="s">
        <v>873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1146</f>
        <v>1146.0</v>
      </c>
      <c r="L276" s="34" t="s">
        <v>48</v>
      </c>
      <c r="M276" s="33" t="n">
        <f>1186</f>
        <v>1186.0</v>
      </c>
      <c r="N276" s="34" t="s">
        <v>114</v>
      </c>
      <c r="O276" s="33" t="n">
        <f>1131</f>
        <v>1131.0</v>
      </c>
      <c r="P276" s="34" t="s">
        <v>50</v>
      </c>
      <c r="Q276" s="33" t="n">
        <f>1175.5</f>
        <v>1175.5</v>
      </c>
      <c r="R276" s="34" t="s">
        <v>51</v>
      </c>
      <c r="S276" s="35" t="n">
        <f>1154.72</f>
        <v>1154.72</v>
      </c>
      <c r="T276" s="32" t="n">
        <f>82600</f>
        <v>82600.0</v>
      </c>
      <c r="U276" s="32" t="n">
        <f>270</f>
        <v>270.0</v>
      </c>
      <c r="V276" s="32" t="n">
        <f>94943249</f>
        <v>9.4943249E7</v>
      </c>
      <c r="W276" s="32" t="n">
        <f>312889</f>
        <v>312889.0</v>
      </c>
      <c r="X276" s="36" t="n">
        <f>18</f>
        <v>18.0</v>
      </c>
    </row>
    <row r="277">
      <c r="A277" s="27" t="s">
        <v>42</v>
      </c>
      <c r="B277" s="27" t="s">
        <v>874</v>
      </c>
      <c r="C277" s="27" t="s">
        <v>875</v>
      </c>
      <c r="D277" s="27" t="s">
        <v>876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1900</f>
        <v>1900.0</v>
      </c>
      <c r="L277" s="34" t="s">
        <v>48</v>
      </c>
      <c r="M277" s="33" t="n">
        <f>1900.5</f>
        <v>1900.5</v>
      </c>
      <c r="N277" s="34" t="s">
        <v>49</v>
      </c>
      <c r="O277" s="33" t="n">
        <f>1808.5</f>
        <v>1808.5</v>
      </c>
      <c r="P277" s="34" t="s">
        <v>50</v>
      </c>
      <c r="Q277" s="33" t="n">
        <f>1854</f>
        <v>1854.0</v>
      </c>
      <c r="R277" s="34" t="s">
        <v>51</v>
      </c>
      <c r="S277" s="35" t="n">
        <f>1856.22</f>
        <v>1856.22</v>
      </c>
      <c r="T277" s="32" t="n">
        <f>148054</f>
        <v>148054.0</v>
      </c>
      <c r="U277" s="32" t="n">
        <f>1780</f>
        <v>1780.0</v>
      </c>
      <c r="V277" s="32" t="n">
        <f>274901474</f>
        <v>2.74901474E8</v>
      </c>
      <c r="W277" s="32" t="n">
        <f>3258381</f>
        <v>3258381.0</v>
      </c>
      <c r="X277" s="36" t="n">
        <f>18</f>
        <v>18.0</v>
      </c>
    </row>
    <row r="278">
      <c r="A278" s="27" t="s">
        <v>42</v>
      </c>
      <c r="B278" s="27" t="s">
        <v>877</v>
      </c>
      <c r="C278" s="27" t="s">
        <v>878</v>
      </c>
      <c r="D278" s="27" t="s">
        <v>879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1996</f>
        <v>1996.0</v>
      </c>
      <c r="L278" s="34" t="s">
        <v>48</v>
      </c>
      <c r="M278" s="33" t="n">
        <f>2002</f>
        <v>2002.0</v>
      </c>
      <c r="N278" s="34" t="s">
        <v>49</v>
      </c>
      <c r="O278" s="33" t="n">
        <f>1904</f>
        <v>1904.0</v>
      </c>
      <c r="P278" s="34" t="s">
        <v>148</v>
      </c>
      <c r="Q278" s="33" t="n">
        <f>1977</f>
        <v>1977.0</v>
      </c>
      <c r="R278" s="34" t="s">
        <v>51</v>
      </c>
      <c r="S278" s="35" t="n">
        <f>1967.39</f>
        <v>1967.39</v>
      </c>
      <c r="T278" s="32" t="n">
        <f>4922097</f>
        <v>4922097.0</v>
      </c>
      <c r="U278" s="32" t="n">
        <f>4321340</f>
        <v>4321340.0</v>
      </c>
      <c r="V278" s="32" t="n">
        <f>9705166704</f>
        <v>9.705166704E9</v>
      </c>
      <c r="W278" s="32" t="n">
        <f>8525358714</f>
        <v>8.525358714E9</v>
      </c>
      <c r="X278" s="36" t="n">
        <f>18</f>
        <v>18.0</v>
      </c>
    </row>
    <row r="279">
      <c r="A279" s="27" t="s">
        <v>42</v>
      </c>
      <c r="B279" s="27" t="s">
        <v>880</v>
      </c>
      <c r="C279" s="27" t="s">
        <v>881</v>
      </c>
      <c r="D279" s="27" t="s">
        <v>882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6924</f>
        <v>6924.0</v>
      </c>
      <c r="L279" s="34" t="s">
        <v>48</v>
      </c>
      <c r="M279" s="33" t="n">
        <f>6924</f>
        <v>6924.0</v>
      </c>
      <c r="N279" s="34" t="s">
        <v>48</v>
      </c>
      <c r="O279" s="33" t="n">
        <f>6259</f>
        <v>6259.0</v>
      </c>
      <c r="P279" s="34" t="s">
        <v>148</v>
      </c>
      <c r="Q279" s="33" t="n">
        <f>6747</f>
        <v>6747.0</v>
      </c>
      <c r="R279" s="34" t="s">
        <v>51</v>
      </c>
      <c r="S279" s="35" t="n">
        <f>6574.39</f>
        <v>6574.39</v>
      </c>
      <c r="T279" s="32" t="n">
        <f>95283</f>
        <v>95283.0</v>
      </c>
      <c r="U279" s="32" t="str">
        <f>"－"</f>
        <v>－</v>
      </c>
      <c r="V279" s="32" t="n">
        <f>625209577</f>
        <v>6.25209577E8</v>
      </c>
      <c r="W279" s="32" t="str">
        <f>"－"</f>
        <v>－</v>
      </c>
      <c r="X279" s="36" t="n">
        <f>18</f>
        <v>18.0</v>
      </c>
    </row>
    <row r="280">
      <c r="A280" s="27" t="s">
        <v>42</v>
      </c>
      <c r="B280" s="27" t="s">
        <v>883</v>
      </c>
      <c r="C280" s="27" t="s">
        <v>884</v>
      </c>
      <c r="D280" s="27" t="s">
        <v>885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2810</f>
        <v>2810.0</v>
      </c>
      <c r="L280" s="34" t="s">
        <v>48</v>
      </c>
      <c r="M280" s="33" t="n">
        <f>2830</f>
        <v>2830.0</v>
      </c>
      <c r="N280" s="34" t="s">
        <v>69</v>
      </c>
      <c r="O280" s="33" t="n">
        <f>2760</f>
        <v>2760.0</v>
      </c>
      <c r="P280" s="34" t="s">
        <v>50</v>
      </c>
      <c r="Q280" s="33" t="n">
        <f>2780</f>
        <v>2780.0</v>
      </c>
      <c r="R280" s="34" t="s">
        <v>51</v>
      </c>
      <c r="S280" s="35" t="n">
        <f>2795</f>
        <v>2795.0</v>
      </c>
      <c r="T280" s="32" t="n">
        <f>230</f>
        <v>230.0</v>
      </c>
      <c r="U280" s="32" t="str">
        <f>"－"</f>
        <v>－</v>
      </c>
      <c r="V280" s="32" t="n">
        <f>644300</f>
        <v>644300.0</v>
      </c>
      <c r="W280" s="32" t="str">
        <f>"－"</f>
        <v>－</v>
      </c>
      <c r="X280" s="36" t="n">
        <f>4</f>
        <v>4.0</v>
      </c>
    </row>
    <row r="281">
      <c r="A281" s="27" t="s">
        <v>42</v>
      </c>
      <c r="B281" s="27" t="s">
        <v>886</v>
      </c>
      <c r="C281" s="27" t="s">
        <v>887</v>
      </c>
      <c r="D281" s="27" t="s">
        <v>888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10.0</v>
      </c>
      <c r="K281" s="33" t="n">
        <f>3406</f>
        <v>3406.0</v>
      </c>
      <c r="L281" s="34" t="s">
        <v>48</v>
      </c>
      <c r="M281" s="33" t="n">
        <f>3494</f>
        <v>3494.0</v>
      </c>
      <c r="N281" s="34" t="s">
        <v>69</v>
      </c>
      <c r="O281" s="33" t="n">
        <f>3298</f>
        <v>3298.0</v>
      </c>
      <c r="P281" s="34" t="s">
        <v>50</v>
      </c>
      <c r="Q281" s="33" t="n">
        <f>3465</f>
        <v>3465.0</v>
      </c>
      <c r="R281" s="34" t="s">
        <v>51</v>
      </c>
      <c r="S281" s="35" t="n">
        <f>3412.06</f>
        <v>3412.06</v>
      </c>
      <c r="T281" s="32" t="n">
        <f>888170</f>
        <v>888170.0</v>
      </c>
      <c r="U281" s="32" t="n">
        <f>618760</f>
        <v>618760.0</v>
      </c>
      <c r="V281" s="32" t="n">
        <f>3006569352</f>
        <v>3.006569352E9</v>
      </c>
      <c r="W281" s="32" t="n">
        <f>2084102452</f>
        <v>2.084102452E9</v>
      </c>
      <c r="X281" s="36" t="n">
        <f>17</f>
        <v>17.0</v>
      </c>
    </row>
    <row r="282">
      <c r="A282" s="27" t="s">
        <v>42</v>
      </c>
      <c r="B282" s="27" t="s">
        <v>889</v>
      </c>
      <c r="C282" s="27" t="s">
        <v>890</v>
      </c>
      <c r="D282" s="27" t="s">
        <v>891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52850</f>
        <v>52850.0</v>
      </c>
      <c r="L282" s="34" t="s">
        <v>48</v>
      </c>
      <c r="M282" s="33" t="n">
        <f>52990</f>
        <v>52990.0</v>
      </c>
      <c r="N282" s="34" t="s">
        <v>48</v>
      </c>
      <c r="O282" s="33" t="n">
        <f>49000</f>
        <v>49000.0</v>
      </c>
      <c r="P282" s="34" t="s">
        <v>148</v>
      </c>
      <c r="Q282" s="33" t="n">
        <f>50590</f>
        <v>50590.0</v>
      </c>
      <c r="R282" s="34" t="s">
        <v>51</v>
      </c>
      <c r="S282" s="35" t="n">
        <f>50605</f>
        <v>50605.0</v>
      </c>
      <c r="T282" s="32" t="n">
        <f>108470</f>
        <v>108470.0</v>
      </c>
      <c r="U282" s="32" t="n">
        <f>77141</f>
        <v>77141.0</v>
      </c>
      <c r="V282" s="32" t="n">
        <f>5474500380</f>
        <v>5.47450038E9</v>
      </c>
      <c r="W282" s="32" t="n">
        <f>3882431660</f>
        <v>3.88243166E9</v>
      </c>
      <c r="X282" s="36" t="n">
        <f>18</f>
        <v>18.0</v>
      </c>
    </row>
    <row r="283">
      <c r="A283" s="27" t="s">
        <v>42</v>
      </c>
      <c r="B283" s="27" t="s">
        <v>892</v>
      </c>
      <c r="C283" s="27" t="s">
        <v>893</v>
      </c>
      <c r="D283" s="27" t="s">
        <v>894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30840</f>
        <v>30840.0</v>
      </c>
      <c r="L283" s="34" t="s">
        <v>48</v>
      </c>
      <c r="M283" s="33" t="n">
        <f>31150</f>
        <v>31150.0</v>
      </c>
      <c r="N283" s="34" t="s">
        <v>49</v>
      </c>
      <c r="O283" s="33" t="n">
        <f>29790</f>
        <v>29790.0</v>
      </c>
      <c r="P283" s="34" t="s">
        <v>50</v>
      </c>
      <c r="Q283" s="33" t="n">
        <f>31030</f>
        <v>31030.0</v>
      </c>
      <c r="R283" s="34" t="s">
        <v>51</v>
      </c>
      <c r="S283" s="35" t="n">
        <f>30611.11</f>
        <v>30611.11</v>
      </c>
      <c r="T283" s="32" t="n">
        <f>14168</f>
        <v>14168.0</v>
      </c>
      <c r="U283" s="32" t="n">
        <f>3854</f>
        <v>3854.0</v>
      </c>
      <c r="V283" s="32" t="n">
        <f>433556736</f>
        <v>4.33556736E8</v>
      </c>
      <c r="W283" s="32" t="n">
        <f>118684276</f>
        <v>1.18684276E8</v>
      </c>
      <c r="X283" s="36" t="n">
        <f>18</f>
        <v>18.0</v>
      </c>
    </row>
    <row r="284">
      <c r="A284" s="27" t="s">
        <v>42</v>
      </c>
      <c r="B284" s="27" t="s">
        <v>895</v>
      </c>
      <c r="C284" s="27" t="s">
        <v>896</v>
      </c>
      <c r="D284" s="27" t="s">
        <v>897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10.0</v>
      </c>
      <c r="K284" s="33" t="n">
        <f>1239</f>
        <v>1239.0</v>
      </c>
      <c r="L284" s="34" t="s">
        <v>48</v>
      </c>
      <c r="M284" s="33" t="n">
        <f>1248.5</f>
        <v>1248.5</v>
      </c>
      <c r="N284" s="34" t="s">
        <v>51</v>
      </c>
      <c r="O284" s="33" t="n">
        <f>1200.5</f>
        <v>1200.5</v>
      </c>
      <c r="P284" s="34" t="s">
        <v>48</v>
      </c>
      <c r="Q284" s="33" t="n">
        <f>1248.5</f>
        <v>1248.5</v>
      </c>
      <c r="R284" s="34" t="s">
        <v>51</v>
      </c>
      <c r="S284" s="35" t="n">
        <f>1224</f>
        <v>1224.0</v>
      </c>
      <c r="T284" s="32" t="n">
        <f>2604310</f>
        <v>2604310.0</v>
      </c>
      <c r="U284" s="32" t="n">
        <f>2316280</f>
        <v>2316280.0</v>
      </c>
      <c r="V284" s="32" t="n">
        <f>3181486058</f>
        <v>3.181486058E9</v>
      </c>
      <c r="W284" s="32" t="n">
        <f>2829528563</f>
        <v>2.829528563E9</v>
      </c>
      <c r="X284" s="36" t="n">
        <f>14</f>
        <v>14.0</v>
      </c>
    </row>
    <row r="285">
      <c r="A285" s="27" t="s">
        <v>42</v>
      </c>
      <c r="B285" s="27" t="s">
        <v>898</v>
      </c>
      <c r="C285" s="27" t="s">
        <v>899</v>
      </c>
      <c r="D285" s="27" t="s">
        <v>900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1187</f>
        <v>1187.0</v>
      </c>
      <c r="L285" s="34" t="s">
        <v>48</v>
      </c>
      <c r="M285" s="33" t="n">
        <f>1233</f>
        <v>1233.0</v>
      </c>
      <c r="N285" s="34" t="s">
        <v>69</v>
      </c>
      <c r="O285" s="33" t="n">
        <f>1180</f>
        <v>1180.0</v>
      </c>
      <c r="P285" s="34" t="s">
        <v>50</v>
      </c>
      <c r="Q285" s="33" t="n">
        <f>1222</f>
        <v>1222.0</v>
      </c>
      <c r="R285" s="34" t="s">
        <v>51</v>
      </c>
      <c r="S285" s="35" t="n">
        <f>1205.94</f>
        <v>1205.94</v>
      </c>
      <c r="T285" s="32" t="n">
        <f>352205</f>
        <v>352205.0</v>
      </c>
      <c r="U285" s="32" t="n">
        <f>188100</f>
        <v>188100.0</v>
      </c>
      <c r="V285" s="32" t="n">
        <f>423161067</f>
        <v>4.23161067E8</v>
      </c>
      <c r="W285" s="32" t="n">
        <f>225852075</f>
        <v>2.25852075E8</v>
      </c>
      <c r="X285" s="36" t="n">
        <f>18</f>
        <v>18.0</v>
      </c>
    </row>
    <row r="286">
      <c r="A286" s="27" t="s">
        <v>42</v>
      </c>
      <c r="B286" s="27" t="s">
        <v>901</v>
      </c>
      <c r="C286" s="27" t="s">
        <v>902</v>
      </c>
      <c r="D286" s="27" t="s">
        <v>903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1896</f>
        <v>1896.0</v>
      </c>
      <c r="L286" s="34" t="s">
        <v>48</v>
      </c>
      <c r="M286" s="33" t="n">
        <f>1977</f>
        <v>1977.0</v>
      </c>
      <c r="N286" s="34" t="s">
        <v>51</v>
      </c>
      <c r="O286" s="33" t="n">
        <f>1835</f>
        <v>1835.0</v>
      </c>
      <c r="P286" s="34" t="s">
        <v>50</v>
      </c>
      <c r="Q286" s="33" t="n">
        <f>1976</f>
        <v>1976.0</v>
      </c>
      <c r="R286" s="34" t="s">
        <v>51</v>
      </c>
      <c r="S286" s="35" t="n">
        <f>1921.94</f>
        <v>1921.94</v>
      </c>
      <c r="T286" s="32" t="n">
        <f>262924</f>
        <v>262924.0</v>
      </c>
      <c r="U286" s="32" t="n">
        <f>62047</f>
        <v>62047.0</v>
      </c>
      <c r="V286" s="32" t="n">
        <f>504563578</f>
        <v>5.04563578E8</v>
      </c>
      <c r="W286" s="32" t="n">
        <f>120531402</f>
        <v>1.20531402E8</v>
      </c>
      <c r="X286" s="36" t="n">
        <f>18</f>
        <v>18.0</v>
      </c>
    </row>
    <row r="287">
      <c r="A287" s="27" t="s">
        <v>42</v>
      </c>
      <c r="B287" s="27" t="s">
        <v>904</v>
      </c>
      <c r="C287" s="27" t="s">
        <v>905</v>
      </c>
      <c r="D287" s="27" t="s">
        <v>906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17085</f>
        <v>17085.0</v>
      </c>
      <c r="L287" s="34" t="s">
        <v>48</v>
      </c>
      <c r="M287" s="33" t="n">
        <f>17235</f>
        <v>17235.0</v>
      </c>
      <c r="N287" s="34" t="s">
        <v>201</v>
      </c>
      <c r="O287" s="33" t="n">
        <f>15600</f>
        <v>15600.0</v>
      </c>
      <c r="P287" s="34" t="s">
        <v>148</v>
      </c>
      <c r="Q287" s="33" t="n">
        <f>16565</f>
        <v>16565.0</v>
      </c>
      <c r="R287" s="34" t="s">
        <v>51</v>
      </c>
      <c r="S287" s="35" t="n">
        <f>16860.83</f>
        <v>16860.83</v>
      </c>
      <c r="T287" s="32" t="n">
        <f>3101</f>
        <v>3101.0</v>
      </c>
      <c r="U287" s="32" t="str">
        <f>"－"</f>
        <v>－</v>
      </c>
      <c r="V287" s="32" t="n">
        <f>52014785</f>
        <v>5.2014785E7</v>
      </c>
      <c r="W287" s="32" t="str">
        <f>"－"</f>
        <v>－</v>
      </c>
      <c r="X287" s="36" t="n">
        <f>18</f>
        <v>18.0</v>
      </c>
    </row>
    <row r="288">
      <c r="A288" s="27" t="s">
        <v>42</v>
      </c>
      <c r="B288" s="27" t="s">
        <v>907</v>
      </c>
      <c r="C288" s="27" t="s">
        <v>908</v>
      </c>
      <c r="D288" s="27" t="s">
        <v>909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2150</f>
        <v>2150.0</v>
      </c>
      <c r="L288" s="34" t="s">
        <v>48</v>
      </c>
      <c r="M288" s="33" t="n">
        <f>2208</f>
        <v>2208.0</v>
      </c>
      <c r="N288" s="34" t="s">
        <v>51</v>
      </c>
      <c r="O288" s="33" t="n">
        <f>2108</f>
        <v>2108.0</v>
      </c>
      <c r="P288" s="34" t="s">
        <v>50</v>
      </c>
      <c r="Q288" s="33" t="n">
        <f>2199</f>
        <v>2199.0</v>
      </c>
      <c r="R288" s="34" t="s">
        <v>51</v>
      </c>
      <c r="S288" s="35" t="n">
        <f>2160.39</f>
        <v>2160.39</v>
      </c>
      <c r="T288" s="32" t="n">
        <f>233069</f>
        <v>233069.0</v>
      </c>
      <c r="U288" s="32" t="n">
        <f>1240</f>
        <v>1240.0</v>
      </c>
      <c r="V288" s="32" t="n">
        <f>504410481</f>
        <v>5.04410481E8</v>
      </c>
      <c r="W288" s="32" t="n">
        <f>2678060</f>
        <v>2678060.0</v>
      </c>
      <c r="X288" s="36" t="n">
        <f>18</f>
        <v>18.0</v>
      </c>
    </row>
    <row r="289">
      <c r="A289" s="27" t="s">
        <v>42</v>
      </c>
      <c r="B289" s="27" t="s">
        <v>910</v>
      </c>
      <c r="C289" s="27" t="s">
        <v>911</v>
      </c>
      <c r="D289" s="27" t="s">
        <v>912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2150</f>
        <v>2150.0</v>
      </c>
      <c r="L289" s="34" t="s">
        <v>48</v>
      </c>
      <c r="M289" s="33" t="n">
        <f>2150</f>
        <v>2150.0</v>
      </c>
      <c r="N289" s="34" t="s">
        <v>48</v>
      </c>
      <c r="O289" s="33" t="n">
        <f>2020.5</f>
        <v>2020.5</v>
      </c>
      <c r="P289" s="34" t="s">
        <v>148</v>
      </c>
      <c r="Q289" s="33" t="n">
        <f>2079</f>
        <v>2079.0</v>
      </c>
      <c r="R289" s="34" t="s">
        <v>51</v>
      </c>
      <c r="S289" s="35" t="n">
        <f>2087.61</f>
        <v>2087.61</v>
      </c>
      <c r="T289" s="32" t="n">
        <f>143660</f>
        <v>143660.0</v>
      </c>
      <c r="U289" s="32" t="str">
        <f>"－"</f>
        <v>－</v>
      </c>
      <c r="V289" s="32" t="n">
        <f>300580475</f>
        <v>3.00580475E8</v>
      </c>
      <c r="W289" s="32" t="str">
        <f>"－"</f>
        <v>－</v>
      </c>
      <c r="X289" s="36" t="n">
        <f>18</f>
        <v>18.0</v>
      </c>
    </row>
    <row r="290">
      <c r="A290" s="27" t="s">
        <v>42</v>
      </c>
      <c r="B290" s="27" t="s">
        <v>913</v>
      </c>
      <c r="C290" s="27" t="s">
        <v>914</v>
      </c>
      <c r="D290" s="27" t="s">
        <v>915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782.8</f>
        <v>782.8</v>
      </c>
      <c r="L290" s="34" t="s">
        <v>48</v>
      </c>
      <c r="M290" s="33" t="n">
        <f>794</f>
        <v>794.0</v>
      </c>
      <c r="N290" s="34" t="s">
        <v>51</v>
      </c>
      <c r="O290" s="33" t="n">
        <f>782.4</f>
        <v>782.4</v>
      </c>
      <c r="P290" s="34" t="s">
        <v>249</v>
      </c>
      <c r="Q290" s="33" t="n">
        <f>794</f>
        <v>794.0</v>
      </c>
      <c r="R290" s="34" t="s">
        <v>51</v>
      </c>
      <c r="S290" s="35" t="n">
        <f>785.07</f>
        <v>785.07</v>
      </c>
      <c r="T290" s="32" t="n">
        <f>150960</f>
        <v>150960.0</v>
      </c>
      <c r="U290" s="32" t="n">
        <f>81520</f>
        <v>81520.0</v>
      </c>
      <c r="V290" s="32" t="n">
        <f>118849740</f>
        <v>1.1884974E8</v>
      </c>
      <c r="W290" s="32" t="n">
        <f>64359323</f>
        <v>6.4359323E7</v>
      </c>
      <c r="X290" s="36" t="n">
        <f>18</f>
        <v>18.0</v>
      </c>
    </row>
    <row r="291">
      <c r="A291" s="27" t="s">
        <v>42</v>
      </c>
      <c r="B291" s="27" t="s">
        <v>916</v>
      </c>
      <c r="C291" s="27" t="s">
        <v>917</v>
      </c>
      <c r="D291" s="27" t="s">
        <v>918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2044</f>
        <v>2044.0</v>
      </c>
      <c r="L291" s="34" t="s">
        <v>48</v>
      </c>
      <c r="M291" s="33" t="n">
        <f>2127</f>
        <v>2127.0</v>
      </c>
      <c r="N291" s="34" t="s">
        <v>51</v>
      </c>
      <c r="O291" s="33" t="n">
        <f>2015</f>
        <v>2015.0</v>
      </c>
      <c r="P291" s="34" t="s">
        <v>89</v>
      </c>
      <c r="Q291" s="33" t="n">
        <f>2127</f>
        <v>2127.0</v>
      </c>
      <c r="R291" s="34" t="s">
        <v>51</v>
      </c>
      <c r="S291" s="35" t="n">
        <f>2065.5</f>
        <v>2065.5</v>
      </c>
      <c r="T291" s="32" t="n">
        <f>1075900</f>
        <v>1075900.0</v>
      </c>
      <c r="U291" s="32" t="n">
        <f>760100</f>
        <v>760100.0</v>
      </c>
      <c r="V291" s="32" t="n">
        <f>2234302545</f>
        <v>2.234302545E9</v>
      </c>
      <c r="W291" s="32" t="n">
        <f>1580836475</f>
        <v>1.580836475E9</v>
      </c>
      <c r="X291" s="36" t="n">
        <f>18</f>
        <v>18.0</v>
      </c>
    </row>
    <row r="292">
      <c r="A292" s="27" t="s">
        <v>42</v>
      </c>
      <c r="B292" s="27" t="s">
        <v>919</v>
      </c>
      <c r="C292" s="27" t="s">
        <v>920</v>
      </c>
      <c r="D292" s="27" t="s">
        <v>921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2018.5</f>
        <v>2018.5</v>
      </c>
      <c r="L292" s="34" t="s">
        <v>48</v>
      </c>
      <c r="M292" s="33" t="n">
        <f>2105</f>
        <v>2105.0</v>
      </c>
      <c r="N292" s="34" t="s">
        <v>69</v>
      </c>
      <c r="O292" s="33" t="n">
        <f>2011.5</f>
        <v>2011.5</v>
      </c>
      <c r="P292" s="34" t="s">
        <v>50</v>
      </c>
      <c r="Q292" s="33" t="n">
        <f>2084</f>
        <v>2084.0</v>
      </c>
      <c r="R292" s="34" t="s">
        <v>51</v>
      </c>
      <c r="S292" s="35" t="n">
        <f>2058.53</f>
        <v>2058.53</v>
      </c>
      <c r="T292" s="32" t="n">
        <f>2472170</f>
        <v>2472170.0</v>
      </c>
      <c r="U292" s="32" t="n">
        <f>1910330</f>
        <v>1910330.0</v>
      </c>
      <c r="V292" s="32" t="n">
        <f>5112779439</f>
        <v>5.112779439E9</v>
      </c>
      <c r="W292" s="32" t="n">
        <f>3958909139</f>
        <v>3.958909139E9</v>
      </c>
      <c r="X292" s="36" t="n">
        <f>18</f>
        <v>18.0</v>
      </c>
    </row>
    <row r="293">
      <c r="A293" s="27" t="s">
        <v>42</v>
      </c>
      <c r="B293" s="27" t="s">
        <v>922</v>
      </c>
      <c r="C293" s="27" t="s">
        <v>923</v>
      </c>
      <c r="D293" s="27" t="s">
        <v>924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3355</f>
        <v>3355.0</v>
      </c>
      <c r="L293" s="34" t="s">
        <v>48</v>
      </c>
      <c r="M293" s="33" t="n">
        <f>3405</f>
        <v>3405.0</v>
      </c>
      <c r="N293" s="34" t="s">
        <v>51</v>
      </c>
      <c r="O293" s="33" t="n">
        <f>3232</f>
        <v>3232.0</v>
      </c>
      <c r="P293" s="34" t="s">
        <v>50</v>
      </c>
      <c r="Q293" s="33" t="n">
        <f>3405</f>
        <v>3405.0</v>
      </c>
      <c r="R293" s="34" t="s">
        <v>51</v>
      </c>
      <c r="S293" s="35" t="n">
        <f>3353.89</f>
        <v>3353.89</v>
      </c>
      <c r="T293" s="32" t="n">
        <f>1885380</f>
        <v>1885380.0</v>
      </c>
      <c r="U293" s="32" t="n">
        <f>1610000</f>
        <v>1610000.0</v>
      </c>
      <c r="V293" s="32" t="n">
        <f>6358452366</f>
        <v>6.358452366E9</v>
      </c>
      <c r="W293" s="32" t="n">
        <f>5441698276</f>
        <v>5.441698276E9</v>
      </c>
      <c r="X293" s="36" t="n">
        <f>18</f>
        <v>18.0</v>
      </c>
    </row>
    <row r="294">
      <c r="A294" s="27" t="s">
        <v>42</v>
      </c>
      <c r="B294" s="27" t="s">
        <v>925</v>
      </c>
      <c r="C294" s="27" t="s">
        <v>926</v>
      </c>
      <c r="D294" s="27" t="s">
        <v>927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30400</f>
        <v>30400.0</v>
      </c>
      <c r="L294" s="34" t="s">
        <v>48</v>
      </c>
      <c r="M294" s="33" t="n">
        <f>30820</f>
        <v>30820.0</v>
      </c>
      <c r="N294" s="34" t="s">
        <v>51</v>
      </c>
      <c r="O294" s="33" t="n">
        <f>29500</f>
        <v>29500.0</v>
      </c>
      <c r="P294" s="34" t="s">
        <v>73</v>
      </c>
      <c r="Q294" s="33" t="n">
        <f>30810</f>
        <v>30810.0</v>
      </c>
      <c r="R294" s="34" t="s">
        <v>51</v>
      </c>
      <c r="S294" s="35" t="n">
        <f>30186.11</f>
        <v>30186.11</v>
      </c>
      <c r="T294" s="32" t="n">
        <f>431931</f>
        <v>431931.0</v>
      </c>
      <c r="U294" s="32" t="n">
        <f>34020</f>
        <v>34020.0</v>
      </c>
      <c r="V294" s="32" t="n">
        <f>13049110234</f>
        <v>1.3049110234E10</v>
      </c>
      <c r="W294" s="32" t="n">
        <f>1024300174</f>
        <v>1.024300174E9</v>
      </c>
      <c r="X294" s="36" t="n">
        <f>18</f>
        <v>18.0</v>
      </c>
    </row>
    <row r="295">
      <c r="A295" s="27" t="s">
        <v>42</v>
      </c>
      <c r="B295" s="27" t="s">
        <v>928</v>
      </c>
      <c r="C295" s="27" t="s">
        <v>929</v>
      </c>
      <c r="D295" s="27" t="s">
        <v>930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25595</f>
        <v>25595.0</v>
      </c>
      <c r="L295" s="34" t="s">
        <v>48</v>
      </c>
      <c r="M295" s="33" t="n">
        <f>25880</f>
        <v>25880.0</v>
      </c>
      <c r="N295" s="34" t="s">
        <v>49</v>
      </c>
      <c r="O295" s="33" t="n">
        <f>24840</f>
        <v>24840.0</v>
      </c>
      <c r="P295" s="34" t="s">
        <v>50</v>
      </c>
      <c r="Q295" s="33" t="n">
        <f>25860</f>
        <v>25860.0</v>
      </c>
      <c r="R295" s="34" t="s">
        <v>51</v>
      </c>
      <c r="S295" s="35" t="n">
        <f>25423.61</f>
        <v>25423.61</v>
      </c>
      <c r="T295" s="32" t="n">
        <f>411908</f>
        <v>411908.0</v>
      </c>
      <c r="U295" s="32" t="n">
        <f>10905</f>
        <v>10905.0</v>
      </c>
      <c r="V295" s="32" t="n">
        <f>10460843971</f>
        <v>1.0460843971E10</v>
      </c>
      <c r="W295" s="32" t="n">
        <f>275104371</f>
        <v>2.75104371E8</v>
      </c>
      <c r="X295" s="36" t="n">
        <f>18</f>
        <v>18.0</v>
      </c>
    </row>
    <row r="296">
      <c r="A296" s="27" t="s">
        <v>42</v>
      </c>
      <c r="B296" s="27" t="s">
        <v>931</v>
      </c>
      <c r="C296" s="27" t="s">
        <v>932</v>
      </c>
      <c r="D296" s="27" t="s">
        <v>933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44890</f>
        <v>44890.0</v>
      </c>
      <c r="L296" s="34" t="s">
        <v>48</v>
      </c>
      <c r="M296" s="33" t="n">
        <f>49890</f>
        <v>49890.0</v>
      </c>
      <c r="N296" s="34" t="s">
        <v>89</v>
      </c>
      <c r="O296" s="33" t="n">
        <f>42270</f>
        <v>42270.0</v>
      </c>
      <c r="P296" s="34" t="s">
        <v>89</v>
      </c>
      <c r="Q296" s="33" t="n">
        <f>44520</f>
        <v>44520.0</v>
      </c>
      <c r="R296" s="34" t="s">
        <v>69</v>
      </c>
      <c r="S296" s="35" t="n">
        <f>44232.22</f>
        <v>44232.22</v>
      </c>
      <c r="T296" s="32" t="n">
        <f>54</f>
        <v>54.0</v>
      </c>
      <c r="U296" s="32" t="str">
        <f>"－"</f>
        <v>－</v>
      </c>
      <c r="V296" s="32" t="n">
        <f>2416140</f>
        <v>2416140.0</v>
      </c>
      <c r="W296" s="32" t="str">
        <f>"－"</f>
        <v>－</v>
      </c>
      <c r="X296" s="36" t="n">
        <f>9</f>
        <v>9.0</v>
      </c>
    </row>
    <row r="297">
      <c r="A297" s="27" t="s">
        <v>42</v>
      </c>
      <c r="B297" s="27" t="s">
        <v>934</v>
      </c>
      <c r="C297" s="27" t="s">
        <v>935</v>
      </c>
      <c r="D297" s="27" t="s">
        <v>936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2182</f>
        <v>2182.0</v>
      </c>
      <c r="L297" s="34" t="s">
        <v>48</v>
      </c>
      <c r="M297" s="33" t="n">
        <f>2184</f>
        <v>2184.0</v>
      </c>
      <c r="N297" s="34" t="s">
        <v>191</v>
      </c>
      <c r="O297" s="33" t="n">
        <f>2128</f>
        <v>2128.0</v>
      </c>
      <c r="P297" s="34" t="s">
        <v>61</v>
      </c>
      <c r="Q297" s="33" t="n">
        <f>2151</f>
        <v>2151.0</v>
      </c>
      <c r="R297" s="34" t="s">
        <v>51</v>
      </c>
      <c r="S297" s="35" t="n">
        <f>2159.89</f>
        <v>2159.89</v>
      </c>
      <c r="T297" s="32" t="n">
        <f>450528</f>
        <v>450528.0</v>
      </c>
      <c r="U297" s="32" t="n">
        <f>77686</f>
        <v>77686.0</v>
      </c>
      <c r="V297" s="32" t="n">
        <f>970238406</f>
        <v>9.70238406E8</v>
      </c>
      <c r="W297" s="32" t="n">
        <f>167195539</f>
        <v>1.67195539E8</v>
      </c>
      <c r="X297" s="36" t="n">
        <f>18</f>
        <v>18.0</v>
      </c>
    </row>
    <row r="298">
      <c r="A298" s="27" t="s">
        <v>42</v>
      </c>
      <c r="B298" s="27" t="s">
        <v>937</v>
      </c>
      <c r="C298" s="27" t="s">
        <v>938</v>
      </c>
      <c r="D298" s="27" t="s">
        <v>939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3381</f>
        <v>3381.0</v>
      </c>
      <c r="L298" s="34" t="s">
        <v>48</v>
      </c>
      <c r="M298" s="33" t="n">
        <f>3459</f>
        <v>3459.0</v>
      </c>
      <c r="N298" s="34" t="s">
        <v>49</v>
      </c>
      <c r="O298" s="33" t="n">
        <f>3272</f>
        <v>3272.0</v>
      </c>
      <c r="P298" s="34" t="s">
        <v>148</v>
      </c>
      <c r="Q298" s="33" t="n">
        <f>3390</f>
        <v>3390.0</v>
      </c>
      <c r="R298" s="34" t="s">
        <v>51</v>
      </c>
      <c r="S298" s="35" t="n">
        <f>3366.06</f>
        <v>3366.06</v>
      </c>
      <c r="T298" s="32" t="n">
        <f>1909287</f>
        <v>1909287.0</v>
      </c>
      <c r="U298" s="32" t="n">
        <f>1282108</f>
        <v>1282108.0</v>
      </c>
      <c r="V298" s="32" t="n">
        <f>6445890870</f>
        <v>6.44589087E9</v>
      </c>
      <c r="W298" s="32" t="n">
        <f>4323464224</f>
        <v>4.323464224E9</v>
      </c>
      <c r="X298" s="36" t="n">
        <f>18</f>
        <v>18.0</v>
      </c>
    </row>
    <row r="299">
      <c r="A299" s="27" t="s">
        <v>42</v>
      </c>
      <c r="B299" s="27" t="s">
        <v>940</v>
      </c>
      <c r="C299" s="27" t="s">
        <v>941</v>
      </c>
      <c r="D299" s="27" t="s">
        <v>942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372.4</f>
        <v>372.4</v>
      </c>
      <c r="L299" s="34" t="s">
        <v>48</v>
      </c>
      <c r="M299" s="33" t="n">
        <f>374</f>
        <v>374.0</v>
      </c>
      <c r="N299" s="34" t="s">
        <v>49</v>
      </c>
      <c r="O299" s="33" t="n">
        <f>355.2</f>
        <v>355.2</v>
      </c>
      <c r="P299" s="34" t="s">
        <v>148</v>
      </c>
      <c r="Q299" s="33" t="n">
        <f>370.9</f>
        <v>370.9</v>
      </c>
      <c r="R299" s="34" t="s">
        <v>51</v>
      </c>
      <c r="S299" s="35" t="n">
        <f>367.48</f>
        <v>367.48</v>
      </c>
      <c r="T299" s="32" t="n">
        <f>21143580</f>
        <v>2.114358E7</v>
      </c>
      <c r="U299" s="32" t="n">
        <f>4641130</f>
        <v>4641130.0</v>
      </c>
      <c r="V299" s="32" t="n">
        <f>7741532269</f>
        <v>7.741532269E9</v>
      </c>
      <c r="W299" s="32" t="n">
        <f>1690932913</f>
        <v>1.690932913E9</v>
      </c>
      <c r="X299" s="36" t="n">
        <f>18</f>
        <v>18.0</v>
      </c>
    </row>
    <row r="300">
      <c r="A300" s="27" t="s">
        <v>42</v>
      </c>
      <c r="B300" s="27" t="s">
        <v>943</v>
      </c>
      <c r="C300" s="27" t="s">
        <v>944</v>
      </c>
      <c r="D300" s="27" t="s">
        <v>945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3153</f>
        <v>3153.0</v>
      </c>
      <c r="L300" s="34" t="s">
        <v>48</v>
      </c>
      <c r="M300" s="33" t="n">
        <f>3304</f>
        <v>3304.0</v>
      </c>
      <c r="N300" s="34" t="s">
        <v>51</v>
      </c>
      <c r="O300" s="33" t="n">
        <f>3061</f>
        <v>3061.0</v>
      </c>
      <c r="P300" s="34" t="s">
        <v>50</v>
      </c>
      <c r="Q300" s="33" t="n">
        <f>3304</f>
        <v>3304.0</v>
      </c>
      <c r="R300" s="34" t="s">
        <v>51</v>
      </c>
      <c r="S300" s="35" t="n">
        <f>3194.5</f>
        <v>3194.5</v>
      </c>
      <c r="T300" s="32" t="n">
        <f>1451470</f>
        <v>1451470.0</v>
      </c>
      <c r="U300" s="32" t="n">
        <f>632737</f>
        <v>632737.0</v>
      </c>
      <c r="V300" s="32" t="n">
        <f>4625515155</f>
        <v>4.625515155E9</v>
      </c>
      <c r="W300" s="32" t="n">
        <f>2009133614</f>
        <v>2.009133614E9</v>
      </c>
      <c r="X300" s="36" t="n">
        <f>18</f>
        <v>18.0</v>
      </c>
    </row>
    <row r="301">
      <c r="A301" s="27" t="s">
        <v>42</v>
      </c>
      <c r="B301" s="27" t="s">
        <v>946</v>
      </c>
      <c r="C301" s="27" t="s">
        <v>947</v>
      </c>
      <c r="D301" s="27" t="s">
        <v>948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940</f>
        <v>940.0</v>
      </c>
      <c r="L301" s="34" t="s">
        <v>48</v>
      </c>
      <c r="M301" s="33" t="n">
        <f>1000</f>
        <v>1000.0</v>
      </c>
      <c r="N301" s="34" t="s">
        <v>69</v>
      </c>
      <c r="O301" s="33" t="n">
        <f>940</f>
        <v>940.0</v>
      </c>
      <c r="P301" s="34" t="s">
        <v>48</v>
      </c>
      <c r="Q301" s="33" t="n">
        <f>993</f>
        <v>993.0</v>
      </c>
      <c r="R301" s="34" t="s">
        <v>51</v>
      </c>
      <c r="S301" s="35" t="n">
        <f>971.22</f>
        <v>971.22</v>
      </c>
      <c r="T301" s="32" t="n">
        <f>2335221</f>
        <v>2335221.0</v>
      </c>
      <c r="U301" s="32" t="n">
        <f>1886184</f>
        <v>1886184.0</v>
      </c>
      <c r="V301" s="32" t="n">
        <f>2290854564</f>
        <v>2.290854564E9</v>
      </c>
      <c r="W301" s="32" t="n">
        <f>1858527938</f>
        <v>1.858527938E9</v>
      </c>
      <c r="X301" s="36" t="n">
        <f>18</f>
        <v>18.0</v>
      </c>
    </row>
    <row r="302">
      <c r="A302" s="27" t="s">
        <v>42</v>
      </c>
      <c r="B302" s="27" t="s">
        <v>949</v>
      </c>
      <c r="C302" s="27" t="s">
        <v>950</v>
      </c>
      <c r="D302" s="27" t="s">
        <v>951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1110</f>
        <v>1110.0</v>
      </c>
      <c r="L302" s="34" t="s">
        <v>48</v>
      </c>
      <c r="M302" s="33" t="n">
        <f>1160</f>
        <v>1160.0</v>
      </c>
      <c r="N302" s="34" t="s">
        <v>208</v>
      </c>
      <c r="O302" s="33" t="n">
        <f>1105</f>
        <v>1105.0</v>
      </c>
      <c r="P302" s="34" t="s">
        <v>50</v>
      </c>
      <c r="Q302" s="33" t="n">
        <f>1146</f>
        <v>1146.0</v>
      </c>
      <c r="R302" s="34" t="s">
        <v>51</v>
      </c>
      <c r="S302" s="35" t="n">
        <f>1136.06</f>
        <v>1136.06</v>
      </c>
      <c r="T302" s="32" t="n">
        <f>528474</f>
        <v>528474.0</v>
      </c>
      <c r="U302" s="32" t="n">
        <f>438040</f>
        <v>438040.0</v>
      </c>
      <c r="V302" s="32" t="n">
        <f>595421049</f>
        <v>5.95421049E8</v>
      </c>
      <c r="W302" s="32" t="n">
        <f>493624587</f>
        <v>4.93624587E8</v>
      </c>
      <c r="X302" s="36" t="n">
        <f>18</f>
        <v>18.0</v>
      </c>
    </row>
    <row r="303">
      <c r="A303" s="27" t="s">
        <v>42</v>
      </c>
      <c r="B303" s="27" t="s">
        <v>952</v>
      </c>
      <c r="C303" s="27" t="s">
        <v>953</v>
      </c>
      <c r="D303" s="27" t="s">
        <v>954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10.0</v>
      </c>
      <c r="K303" s="33" t="n">
        <f>435.8</f>
        <v>435.8</v>
      </c>
      <c r="L303" s="34" t="s">
        <v>48</v>
      </c>
      <c r="M303" s="33" t="n">
        <f>465</f>
        <v>465.0</v>
      </c>
      <c r="N303" s="34" t="s">
        <v>262</v>
      </c>
      <c r="O303" s="33" t="n">
        <f>427.3</f>
        <v>427.3</v>
      </c>
      <c r="P303" s="34" t="s">
        <v>61</v>
      </c>
      <c r="Q303" s="33" t="n">
        <f>451.8</f>
        <v>451.8</v>
      </c>
      <c r="R303" s="34" t="s">
        <v>51</v>
      </c>
      <c r="S303" s="35" t="n">
        <f>443.59</f>
        <v>443.59</v>
      </c>
      <c r="T303" s="32" t="n">
        <f>7350</f>
        <v>7350.0</v>
      </c>
      <c r="U303" s="32" t="str">
        <f>"－"</f>
        <v>－</v>
      </c>
      <c r="V303" s="32" t="n">
        <f>3271414</f>
        <v>3271414.0</v>
      </c>
      <c r="W303" s="32" t="str">
        <f>"－"</f>
        <v>－</v>
      </c>
      <c r="X303" s="36" t="n">
        <f>18</f>
        <v>18.0</v>
      </c>
    </row>
    <row r="304">
      <c r="A304" s="27" t="s">
        <v>42</v>
      </c>
      <c r="B304" s="27" t="s">
        <v>955</v>
      </c>
      <c r="C304" s="27" t="s">
        <v>956</v>
      </c>
      <c r="D304" s="27" t="s">
        <v>957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6866</f>
        <v>6866.0</v>
      </c>
      <c r="L304" s="34" t="s">
        <v>48</v>
      </c>
      <c r="M304" s="33" t="n">
        <f>6868</f>
        <v>6868.0</v>
      </c>
      <c r="N304" s="34" t="s">
        <v>48</v>
      </c>
      <c r="O304" s="33" t="n">
        <f>6482</f>
        <v>6482.0</v>
      </c>
      <c r="P304" s="34" t="s">
        <v>148</v>
      </c>
      <c r="Q304" s="33" t="n">
        <f>6781</f>
        <v>6781.0</v>
      </c>
      <c r="R304" s="34" t="s">
        <v>51</v>
      </c>
      <c r="S304" s="35" t="n">
        <f>6685.5</f>
        <v>6685.5</v>
      </c>
      <c r="T304" s="32" t="n">
        <f>432648</f>
        <v>432648.0</v>
      </c>
      <c r="U304" s="32" t="n">
        <f>1414</f>
        <v>1414.0</v>
      </c>
      <c r="V304" s="32" t="n">
        <f>2883011781</f>
        <v>2.883011781E9</v>
      </c>
      <c r="W304" s="32" t="n">
        <f>9584913</f>
        <v>9584913.0</v>
      </c>
      <c r="X304" s="36" t="n">
        <f>18</f>
        <v>18.0</v>
      </c>
    </row>
    <row r="305">
      <c r="A305" s="27" t="s">
        <v>42</v>
      </c>
      <c r="B305" s="27" t="s">
        <v>958</v>
      </c>
      <c r="C305" s="27" t="s">
        <v>959</v>
      </c>
      <c r="D305" s="27" t="s">
        <v>960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3900</f>
        <v>3900.0</v>
      </c>
      <c r="L305" s="34" t="s">
        <v>48</v>
      </c>
      <c r="M305" s="33" t="n">
        <f>3900</f>
        <v>3900.0</v>
      </c>
      <c r="N305" s="34" t="s">
        <v>48</v>
      </c>
      <c r="O305" s="33" t="n">
        <f>3591</f>
        <v>3591.0</v>
      </c>
      <c r="P305" s="34" t="s">
        <v>148</v>
      </c>
      <c r="Q305" s="33" t="n">
        <f>3795</f>
        <v>3795.0</v>
      </c>
      <c r="R305" s="34" t="s">
        <v>51</v>
      </c>
      <c r="S305" s="35" t="n">
        <f>3769.61</f>
        <v>3769.61</v>
      </c>
      <c r="T305" s="32" t="n">
        <f>2406841</f>
        <v>2406841.0</v>
      </c>
      <c r="U305" s="32" t="n">
        <f>1035800</f>
        <v>1035800.0</v>
      </c>
      <c r="V305" s="32" t="n">
        <f>8998811852</f>
        <v>8.998811852E9</v>
      </c>
      <c r="W305" s="32" t="n">
        <f>3825452446</f>
        <v>3.825452446E9</v>
      </c>
      <c r="X305" s="36" t="n">
        <f>18</f>
        <v>18.0</v>
      </c>
    </row>
    <row r="306">
      <c r="A306" s="27" t="s">
        <v>42</v>
      </c>
      <c r="B306" s="27" t="s">
        <v>961</v>
      </c>
      <c r="C306" s="27" t="s">
        <v>962</v>
      </c>
      <c r="D306" s="27" t="s">
        <v>963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3050</f>
        <v>3050.0</v>
      </c>
      <c r="L306" s="34" t="s">
        <v>48</v>
      </c>
      <c r="M306" s="33" t="n">
        <f>3050</f>
        <v>3050.0</v>
      </c>
      <c r="N306" s="34" t="s">
        <v>48</v>
      </c>
      <c r="O306" s="33" t="n">
        <f>2580</f>
        <v>2580.0</v>
      </c>
      <c r="P306" s="34" t="s">
        <v>50</v>
      </c>
      <c r="Q306" s="33" t="n">
        <f>2688</f>
        <v>2688.0</v>
      </c>
      <c r="R306" s="34" t="s">
        <v>51</v>
      </c>
      <c r="S306" s="35" t="n">
        <f>2682.56</f>
        <v>2682.56</v>
      </c>
      <c r="T306" s="32" t="n">
        <f>6076</f>
        <v>6076.0</v>
      </c>
      <c r="U306" s="32" t="str">
        <f>"－"</f>
        <v>－</v>
      </c>
      <c r="V306" s="32" t="n">
        <f>16510176</f>
        <v>1.6510176E7</v>
      </c>
      <c r="W306" s="32" t="str">
        <f>"－"</f>
        <v>－</v>
      </c>
      <c r="X306" s="36" t="n">
        <f>18</f>
        <v>18.0</v>
      </c>
    </row>
    <row r="307">
      <c r="A307" s="27" t="s">
        <v>42</v>
      </c>
      <c r="B307" s="27" t="s">
        <v>964</v>
      </c>
      <c r="C307" s="27" t="s">
        <v>965</v>
      </c>
      <c r="D307" s="27" t="s">
        <v>966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2315</f>
        <v>2315.0</v>
      </c>
      <c r="L307" s="34" t="s">
        <v>48</v>
      </c>
      <c r="M307" s="33" t="n">
        <f>2399</f>
        <v>2399.0</v>
      </c>
      <c r="N307" s="34" t="s">
        <v>69</v>
      </c>
      <c r="O307" s="33" t="n">
        <f>2260</f>
        <v>2260.0</v>
      </c>
      <c r="P307" s="34" t="s">
        <v>50</v>
      </c>
      <c r="Q307" s="33" t="n">
        <f>2350</f>
        <v>2350.0</v>
      </c>
      <c r="R307" s="34" t="s">
        <v>51</v>
      </c>
      <c r="S307" s="35" t="n">
        <f>2315.11</f>
        <v>2315.11</v>
      </c>
      <c r="T307" s="32" t="n">
        <f>101092</f>
        <v>101092.0</v>
      </c>
      <c r="U307" s="32" t="str">
        <f>"－"</f>
        <v>－</v>
      </c>
      <c r="V307" s="32" t="n">
        <f>233516226</f>
        <v>2.33516226E8</v>
      </c>
      <c r="W307" s="32" t="str">
        <f>"－"</f>
        <v>－</v>
      </c>
      <c r="X307" s="36" t="n">
        <f>18</f>
        <v>18.0</v>
      </c>
    </row>
    <row r="308">
      <c r="A308" s="27" t="s">
        <v>42</v>
      </c>
      <c r="B308" s="27" t="s">
        <v>967</v>
      </c>
      <c r="C308" s="27" t="s">
        <v>968</v>
      </c>
      <c r="D308" s="27" t="s">
        <v>969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10.0</v>
      </c>
      <c r="K308" s="33" t="n">
        <f>358.5</f>
        <v>358.5</v>
      </c>
      <c r="L308" s="34" t="s">
        <v>48</v>
      </c>
      <c r="M308" s="33" t="n">
        <f>367.2</f>
        <v>367.2</v>
      </c>
      <c r="N308" s="34" t="s">
        <v>148</v>
      </c>
      <c r="O308" s="33" t="n">
        <f>355.8</f>
        <v>355.8</v>
      </c>
      <c r="P308" s="34" t="s">
        <v>89</v>
      </c>
      <c r="Q308" s="33" t="n">
        <f>364.7</f>
        <v>364.7</v>
      </c>
      <c r="R308" s="34" t="s">
        <v>51</v>
      </c>
      <c r="S308" s="35" t="n">
        <f>361.09</f>
        <v>361.09</v>
      </c>
      <c r="T308" s="32" t="n">
        <f>7336300</f>
        <v>7336300.0</v>
      </c>
      <c r="U308" s="32" t="n">
        <f>4122110</f>
        <v>4122110.0</v>
      </c>
      <c r="V308" s="32" t="n">
        <f>2657701946</f>
        <v>2.657701946E9</v>
      </c>
      <c r="W308" s="32" t="n">
        <f>1495732567</f>
        <v>1.495732567E9</v>
      </c>
      <c r="X308" s="36" t="n">
        <f>18</f>
        <v>18.0</v>
      </c>
    </row>
    <row r="309">
      <c r="A309" s="27" t="s">
        <v>42</v>
      </c>
      <c r="B309" s="27" t="s">
        <v>970</v>
      </c>
      <c r="C309" s="27" t="s">
        <v>971</v>
      </c>
      <c r="D309" s="27" t="s">
        <v>972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1116</f>
        <v>1116.0</v>
      </c>
      <c r="L309" s="34" t="s">
        <v>48</v>
      </c>
      <c r="M309" s="33" t="n">
        <f>1124</f>
        <v>1124.0</v>
      </c>
      <c r="N309" s="34" t="s">
        <v>50</v>
      </c>
      <c r="O309" s="33" t="n">
        <f>1100</f>
        <v>1100.0</v>
      </c>
      <c r="P309" s="34" t="s">
        <v>61</v>
      </c>
      <c r="Q309" s="33" t="n">
        <f>1122</f>
        <v>1122.0</v>
      </c>
      <c r="R309" s="34" t="s">
        <v>51</v>
      </c>
      <c r="S309" s="35" t="n">
        <f>1111.67</f>
        <v>1111.67</v>
      </c>
      <c r="T309" s="32" t="n">
        <f>9737776</f>
        <v>9737776.0</v>
      </c>
      <c r="U309" s="32" t="str">
        <f>"－"</f>
        <v>－</v>
      </c>
      <c r="V309" s="32" t="n">
        <f>10825185827</f>
        <v>1.0825185827E10</v>
      </c>
      <c r="W309" s="32" t="str">
        <f>"－"</f>
        <v>－</v>
      </c>
      <c r="X309" s="36" t="n">
        <f>18</f>
        <v>18.0</v>
      </c>
    </row>
    <row r="310">
      <c r="A310" s="27" t="s">
        <v>42</v>
      </c>
      <c r="B310" s="27" t="s">
        <v>973</v>
      </c>
      <c r="C310" s="27" t="s">
        <v>974</v>
      </c>
      <c r="D310" s="27" t="s">
        <v>975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1770</f>
        <v>1770.0</v>
      </c>
      <c r="L310" s="34" t="s">
        <v>48</v>
      </c>
      <c r="M310" s="33" t="n">
        <f>1779</f>
        <v>1779.0</v>
      </c>
      <c r="N310" s="34" t="s">
        <v>262</v>
      </c>
      <c r="O310" s="33" t="n">
        <f>1756</f>
        <v>1756.0</v>
      </c>
      <c r="P310" s="34" t="s">
        <v>191</v>
      </c>
      <c r="Q310" s="33" t="n">
        <f>1777</f>
        <v>1777.0</v>
      </c>
      <c r="R310" s="34" t="s">
        <v>51</v>
      </c>
      <c r="S310" s="35" t="n">
        <f>1769.28</f>
        <v>1769.28</v>
      </c>
      <c r="T310" s="32" t="n">
        <f>77442</f>
        <v>77442.0</v>
      </c>
      <c r="U310" s="32" t="str">
        <f>"－"</f>
        <v>－</v>
      </c>
      <c r="V310" s="32" t="n">
        <f>137315229</f>
        <v>1.37315229E8</v>
      </c>
      <c r="W310" s="32" t="str">
        <f>"－"</f>
        <v>－</v>
      </c>
      <c r="X310" s="36" t="n">
        <f>18</f>
        <v>18.0</v>
      </c>
    </row>
    <row r="311">
      <c r="A311" s="27" t="s">
        <v>42</v>
      </c>
      <c r="B311" s="27" t="s">
        <v>976</v>
      </c>
      <c r="C311" s="27" t="s">
        <v>977</v>
      </c>
      <c r="D311" s="27" t="s">
        <v>978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2013</f>
        <v>2013.0</v>
      </c>
      <c r="L311" s="34" t="s">
        <v>48</v>
      </c>
      <c r="M311" s="33" t="n">
        <f>2013</f>
        <v>2013.0</v>
      </c>
      <c r="N311" s="34" t="s">
        <v>48</v>
      </c>
      <c r="O311" s="33" t="n">
        <f>1993</f>
        <v>1993.0</v>
      </c>
      <c r="P311" s="34" t="s">
        <v>68</v>
      </c>
      <c r="Q311" s="33" t="n">
        <f>2010</f>
        <v>2010.0</v>
      </c>
      <c r="R311" s="34" t="s">
        <v>51</v>
      </c>
      <c r="S311" s="35" t="n">
        <f>2007.61</f>
        <v>2007.61</v>
      </c>
      <c r="T311" s="32" t="n">
        <f>767594</f>
        <v>767594.0</v>
      </c>
      <c r="U311" s="32" t="n">
        <f>747008</f>
        <v>747008.0</v>
      </c>
      <c r="V311" s="32" t="n">
        <f>1536653325</f>
        <v>1.536653325E9</v>
      </c>
      <c r="W311" s="32" t="n">
        <f>1495459280</f>
        <v>1.49545928E9</v>
      </c>
      <c r="X311" s="36" t="n">
        <f>18</f>
        <v>18.0</v>
      </c>
    </row>
    <row r="312">
      <c r="A312" s="27" t="s">
        <v>42</v>
      </c>
      <c r="B312" s="27" t="s">
        <v>979</v>
      </c>
      <c r="C312" s="27" t="s">
        <v>980</v>
      </c>
      <c r="D312" s="27" t="s">
        <v>981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5270</f>
        <v>5270.0</v>
      </c>
      <c r="L312" s="34" t="s">
        <v>48</v>
      </c>
      <c r="M312" s="33" t="n">
        <f>5289</f>
        <v>5289.0</v>
      </c>
      <c r="N312" s="34" t="s">
        <v>48</v>
      </c>
      <c r="O312" s="33" t="n">
        <f>4849</f>
        <v>4849.0</v>
      </c>
      <c r="P312" s="34" t="s">
        <v>73</v>
      </c>
      <c r="Q312" s="33" t="n">
        <f>5048</f>
        <v>5048.0</v>
      </c>
      <c r="R312" s="34" t="s">
        <v>51</v>
      </c>
      <c r="S312" s="35" t="n">
        <f>5047.72</f>
        <v>5047.72</v>
      </c>
      <c r="T312" s="32" t="n">
        <f>637646</f>
        <v>637646.0</v>
      </c>
      <c r="U312" s="32" t="n">
        <f>409832</f>
        <v>409832.0</v>
      </c>
      <c r="V312" s="32" t="n">
        <f>3235467406</f>
        <v>3.235467406E9</v>
      </c>
      <c r="W312" s="32" t="n">
        <f>2091553015</f>
        <v>2.091553015E9</v>
      </c>
      <c r="X312" s="36" t="n">
        <f>18</f>
        <v>18.0</v>
      </c>
    </row>
    <row r="313">
      <c r="A313" s="27" t="s">
        <v>42</v>
      </c>
      <c r="B313" s="27" t="s">
        <v>982</v>
      </c>
      <c r="C313" s="27" t="s">
        <v>983</v>
      </c>
      <c r="D313" s="27" t="s">
        <v>984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3340</f>
        <v>3340.0</v>
      </c>
      <c r="L313" s="34" t="s">
        <v>48</v>
      </c>
      <c r="M313" s="33" t="n">
        <f>3393</f>
        <v>3393.0</v>
      </c>
      <c r="N313" s="34" t="s">
        <v>49</v>
      </c>
      <c r="O313" s="33" t="n">
        <f>3206</f>
        <v>3206.0</v>
      </c>
      <c r="P313" s="34" t="s">
        <v>50</v>
      </c>
      <c r="Q313" s="33" t="n">
        <f>3374</f>
        <v>3374.0</v>
      </c>
      <c r="R313" s="34" t="s">
        <v>51</v>
      </c>
      <c r="S313" s="35" t="n">
        <f>3328.11</f>
        <v>3328.11</v>
      </c>
      <c r="T313" s="32" t="n">
        <f>960449</f>
        <v>960449.0</v>
      </c>
      <c r="U313" s="32" t="n">
        <f>742997</f>
        <v>742997.0</v>
      </c>
      <c r="V313" s="32" t="n">
        <f>3148993319</f>
        <v>3.148993319E9</v>
      </c>
      <c r="W313" s="32" t="n">
        <f>2427933770</f>
        <v>2.42793377E9</v>
      </c>
      <c r="X313" s="36" t="n">
        <f>18</f>
        <v>18.0</v>
      </c>
    </row>
    <row r="314">
      <c r="A314" s="27" t="s">
        <v>42</v>
      </c>
      <c r="B314" s="27" t="s">
        <v>985</v>
      </c>
      <c r="C314" s="27" t="s">
        <v>986</v>
      </c>
      <c r="D314" s="27" t="s">
        <v>987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3293</f>
        <v>3293.0</v>
      </c>
      <c r="L314" s="34" t="s">
        <v>48</v>
      </c>
      <c r="M314" s="33" t="n">
        <f>3293</f>
        <v>3293.0</v>
      </c>
      <c r="N314" s="34" t="s">
        <v>48</v>
      </c>
      <c r="O314" s="33" t="n">
        <f>3098</f>
        <v>3098.0</v>
      </c>
      <c r="P314" s="34" t="s">
        <v>89</v>
      </c>
      <c r="Q314" s="33" t="n">
        <f>3177</f>
        <v>3177.0</v>
      </c>
      <c r="R314" s="34" t="s">
        <v>51</v>
      </c>
      <c r="S314" s="35" t="n">
        <f>3175.56</f>
        <v>3175.56</v>
      </c>
      <c r="T314" s="32" t="n">
        <f>24918</f>
        <v>24918.0</v>
      </c>
      <c r="U314" s="32" t="n">
        <f>1510</f>
        <v>1510.0</v>
      </c>
      <c r="V314" s="32" t="n">
        <f>79153086</f>
        <v>7.9153086E7</v>
      </c>
      <c r="W314" s="32" t="n">
        <f>4780550</f>
        <v>4780550.0</v>
      </c>
      <c r="X314" s="36" t="n">
        <f>18</f>
        <v>18.0</v>
      </c>
    </row>
    <row r="315">
      <c r="A315" s="27" t="s">
        <v>42</v>
      </c>
      <c r="B315" s="27" t="s">
        <v>988</v>
      </c>
      <c r="C315" s="27" t="s">
        <v>989</v>
      </c>
      <c r="D315" s="27" t="s">
        <v>990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1524</f>
        <v>1524.0</v>
      </c>
      <c r="L315" s="34" t="s">
        <v>48</v>
      </c>
      <c r="M315" s="33" t="n">
        <f>1550</f>
        <v>1550.0</v>
      </c>
      <c r="N315" s="34" t="s">
        <v>262</v>
      </c>
      <c r="O315" s="33" t="n">
        <f>1456</f>
        <v>1456.0</v>
      </c>
      <c r="P315" s="34" t="s">
        <v>89</v>
      </c>
      <c r="Q315" s="33" t="n">
        <f>1524</f>
        <v>1524.0</v>
      </c>
      <c r="R315" s="34" t="s">
        <v>51</v>
      </c>
      <c r="S315" s="35" t="n">
        <f>1501.11</f>
        <v>1501.11</v>
      </c>
      <c r="T315" s="32" t="n">
        <f>49275</f>
        <v>49275.0</v>
      </c>
      <c r="U315" s="32" t="n">
        <f>130</f>
        <v>130.0</v>
      </c>
      <c r="V315" s="32" t="n">
        <f>74337771</f>
        <v>7.4337771E7</v>
      </c>
      <c r="W315" s="32" t="n">
        <f>192660</f>
        <v>192660.0</v>
      </c>
      <c r="X315" s="36" t="n">
        <f>18</f>
        <v>18.0</v>
      </c>
    </row>
    <row r="316">
      <c r="A316" s="27" t="s">
        <v>42</v>
      </c>
      <c r="B316" s="27" t="s">
        <v>991</v>
      </c>
      <c r="C316" s="27" t="s">
        <v>992</v>
      </c>
      <c r="D316" s="27" t="s">
        <v>993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2960</f>
        <v>2960.0</v>
      </c>
      <c r="L316" s="34" t="s">
        <v>48</v>
      </c>
      <c r="M316" s="33" t="n">
        <f>2993</f>
        <v>2993.0</v>
      </c>
      <c r="N316" s="34" t="s">
        <v>191</v>
      </c>
      <c r="O316" s="33" t="n">
        <f>2742</f>
        <v>2742.0</v>
      </c>
      <c r="P316" s="34" t="s">
        <v>148</v>
      </c>
      <c r="Q316" s="33" t="n">
        <f>2830</f>
        <v>2830.0</v>
      </c>
      <c r="R316" s="34" t="s">
        <v>51</v>
      </c>
      <c r="S316" s="35" t="n">
        <f>2866.78</f>
        <v>2866.78</v>
      </c>
      <c r="T316" s="32" t="n">
        <f>94436</f>
        <v>94436.0</v>
      </c>
      <c r="U316" s="32" t="str">
        <f>"－"</f>
        <v>－</v>
      </c>
      <c r="V316" s="32" t="n">
        <f>270426280</f>
        <v>2.7042628E8</v>
      </c>
      <c r="W316" s="32" t="str">
        <f>"－"</f>
        <v>－</v>
      </c>
      <c r="X316" s="36" t="n">
        <f>18</f>
        <v>18.0</v>
      </c>
    </row>
    <row r="317">
      <c r="A317" s="27" t="s">
        <v>42</v>
      </c>
      <c r="B317" s="27" t="s">
        <v>994</v>
      </c>
      <c r="C317" s="27" t="s">
        <v>995</v>
      </c>
      <c r="D317" s="27" t="s">
        <v>996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3699</f>
        <v>3699.0</v>
      </c>
      <c r="L317" s="34" t="s">
        <v>48</v>
      </c>
      <c r="M317" s="33" t="n">
        <f>3699</f>
        <v>3699.0</v>
      </c>
      <c r="N317" s="34" t="s">
        <v>48</v>
      </c>
      <c r="O317" s="33" t="n">
        <f>3510</f>
        <v>3510.0</v>
      </c>
      <c r="P317" s="34" t="s">
        <v>201</v>
      </c>
      <c r="Q317" s="33" t="n">
        <f>3580</f>
        <v>3580.0</v>
      </c>
      <c r="R317" s="34" t="s">
        <v>51</v>
      </c>
      <c r="S317" s="35" t="n">
        <f>3604.44</f>
        <v>3604.44</v>
      </c>
      <c r="T317" s="32" t="n">
        <f>38458</f>
        <v>38458.0</v>
      </c>
      <c r="U317" s="32" t="str">
        <f>"－"</f>
        <v>－</v>
      </c>
      <c r="V317" s="32" t="n">
        <f>137976921</f>
        <v>1.37976921E8</v>
      </c>
      <c r="W317" s="32" t="str">
        <f>"－"</f>
        <v>－</v>
      </c>
      <c r="X317" s="36" t="n">
        <f>18</f>
        <v>18.0</v>
      </c>
    </row>
    <row r="318">
      <c r="A318" s="27" t="s">
        <v>42</v>
      </c>
      <c r="B318" s="27" t="s">
        <v>997</v>
      </c>
      <c r="C318" s="27" t="s">
        <v>998</v>
      </c>
      <c r="D318" s="27" t="s">
        <v>999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14700</f>
        <v>14700.0</v>
      </c>
      <c r="L318" s="34" t="s">
        <v>48</v>
      </c>
      <c r="M318" s="33" t="n">
        <f>14800</f>
        <v>14800.0</v>
      </c>
      <c r="N318" s="34" t="s">
        <v>302</v>
      </c>
      <c r="O318" s="33" t="n">
        <f>14085</f>
        <v>14085.0</v>
      </c>
      <c r="P318" s="34" t="s">
        <v>148</v>
      </c>
      <c r="Q318" s="33" t="n">
        <f>14740</f>
        <v>14740.0</v>
      </c>
      <c r="R318" s="34" t="s">
        <v>51</v>
      </c>
      <c r="S318" s="35" t="n">
        <f>14550</f>
        <v>14550.0</v>
      </c>
      <c r="T318" s="32" t="n">
        <f>497230</f>
        <v>497230.0</v>
      </c>
      <c r="U318" s="32" t="n">
        <f>342407</f>
        <v>342407.0</v>
      </c>
      <c r="V318" s="32" t="n">
        <f>7226804539</f>
        <v>7.226804539E9</v>
      </c>
      <c r="W318" s="32" t="n">
        <f>4979676599</f>
        <v>4.979676599E9</v>
      </c>
      <c r="X318" s="36" t="n">
        <f>18</f>
        <v>18.0</v>
      </c>
    </row>
    <row r="319">
      <c r="A319" s="27" t="s">
        <v>42</v>
      </c>
      <c r="B319" s="27" t="s">
        <v>1000</v>
      </c>
      <c r="C319" s="27" t="s">
        <v>1001</v>
      </c>
      <c r="D319" s="27" t="s">
        <v>1002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28655</f>
        <v>28655.0</v>
      </c>
      <c r="L319" s="34" t="s">
        <v>48</v>
      </c>
      <c r="M319" s="33" t="n">
        <f>28665</f>
        <v>28665.0</v>
      </c>
      <c r="N319" s="34" t="s">
        <v>48</v>
      </c>
      <c r="O319" s="33" t="n">
        <f>27060</f>
        <v>27060.0</v>
      </c>
      <c r="P319" s="34" t="s">
        <v>148</v>
      </c>
      <c r="Q319" s="33" t="n">
        <f>28440</f>
        <v>28440.0</v>
      </c>
      <c r="R319" s="34" t="s">
        <v>51</v>
      </c>
      <c r="S319" s="35" t="n">
        <f>27976.11</f>
        <v>27976.11</v>
      </c>
      <c r="T319" s="32" t="n">
        <f>322682</f>
        <v>322682.0</v>
      </c>
      <c r="U319" s="32" t="n">
        <f>617</f>
        <v>617.0</v>
      </c>
      <c r="V319" s="32" t="n">
        <f>9000372454</f>
        <v>9.000372454E9</v>
      </c>
      <c r="W319" s="32" t="n">
        <f>17009284</f>
        <v>1.7009284E7</v>
      </c>
      <c r="X319" s="36" t="n">
        <f>18</f>
        <v>18.0</v>
      </c>
    </row>
    <row r="320">
      <c r="A320" s="27" t="s">
        <v>42</v>
      </c>
      <c r="B320" s="27" t="s">
        <v>1003</v>
      </c>
      <c r="C320" s="27" t="s">
        <v>1004</v>
      </c>
      <c r="D320" s="27" t="s">
        <v>1005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16245</f>
        <v>16245.0</v>
      </c>
      <c r="L320" s="34" t="s">
        <v>48</v>
      </c>
      <c r="M320" s="33" t="n">
        <f>16250</f>
        <v>16250.0</v>
      </c>
      <c r="N320" s="34" t="s">
        <v>48</v>
      </c>
      <c r="O320" s="33" t="n">
        <f>15000</f>
        <v>15000.0</v>
      </c>
      <c r="P320" s="34" t="s">
        <v>148</v>
      </c>
      <c r="Q320" s="33" t="n">
        <f>15820</f>
        <v>15820.0</v>
      </c>
      <c r="R320" s="34" t="s">
        <v>51</v>
      </c>
      <c r="S320" s="35" t="n">
        <f>15751.67</f>
        <v>15751.67</v>
      </c>
      <c r="T320" s="32" t="n">
        <f>172283</f>
        <v>172283.0</v>
      </c>
      <c r="U320" s="32" t="n">
        <f>63495</f>
        <v>63495.0</v>
      </c>
      <c r="V320" s="32" t="n">
        <f>2716200631</f>
        <v>2.716200631E9</v>
      </c>
      <c r="W320" s="32" t="n">
        <f>1005926811</f>
        <v>1.005926811E9</v>
      </c>
      <c r="X320" s="36" t="n">
        <f>18</f>
        <v>18.0</v>
      </c>
    </row>
    <row r="321">
      <c r="A321" s="27" t="s">
        <v>42</v>
      </c>
      <c r="B321" s="27" t="s">
        <v>1006</v>
      </c>
      <c r="C321" s="27" t="s">
        <v>1007</v>
      </c>
      <c r="D321" s="27" t="s">
        <v>1008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10.0</v>
      </c>
      <c r="K321" s="33" t="n">
        <f>487.1</f>
        <v>487.1</v>
      </c>
      <c r="L321" s="34" t="s">
        <v>48</v>
      </c>
      <c r="M321" s="33" t="n">
        <f>493.6</f>
        <v>493.6</v>
      </c>
      <c r="N321" s="34" t="s">
        <v>51</v>
      </c>
      <c r="O321" s="33" t="n">
        <f>472.3</f>
        <v>472.3</v>
      </c>
      <c r="P321" s="34" t="s">
        <v>73</v>
      </c>
      <c r="Q321" s="33" t="n">
        <f>493.5</f>
        <v>493.5</v>
      </c>
      <c r="R321" s="34" t="s">
        <v>51</v>
      </c>
      <c r="S321" s="35" t="n">
        <f>483.38</f>
        <v>483.38</v>
      </c>
      <c r="T321" s="32" t="n">
        <f>8369690</f>
        <v>8369690.0</v>
      </c>
      <c r="U321" s="32" t="n">
        <f>3662110</f>
        <v>3662110.0</v>
      </c>
      <c r="V321" s="32" t="n">
        <f>4053076985</f>
        <v>4.053076985E9</v>
      </c>
      <c r="W321" s="32" t="n">
        <f>1766100500</f>
        <v>1.7661005E9</v>
      </c>
      <c r="X321" s="36" t="n">
        <f>18</f>
        <v>18.0</v>
      </c>
    </row>
    <row r="322">
      <c r="A322" s="27" t="s">
        <v>42</v>
      </c>
      <c r="B322" s="27" t="s">
        <v>1009</v>
      </c>
      <c r="C322" s="27" t="s">
        <v>1010</v>
      </c>
      <c r="D322" s="27" t="s">
        <v>1011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2906</f>
        <v>2906.0</v>
      </c>
      <c r="L322" s="34" t="s">
        <v>48</v>
      </c>
      <c r="M322" s="33" t="n">
        <f>2912</f>
        <v>2912.0</v>
      </c>
      <c r="N322" s="34" t="s">
        <v>49</v>
      </c>
      <c r="O322" s="33" t="n">
        <f>2770.5</f>
        <v>2770.5</v>
      </c>
      <c r="P322" s="34" t="s">
        <v>148</v>
      </c>
      <c r="Q322" s="33" t="n">
        <f>2878</f>
        <v>2878.0</v>
      </c>
      <c r="R322" s="34" t="s">
        <v>51</v>
      </c>
      <c r="S322" s="35" t="n">
        <f>2863.11</f>
        <v>2863.11</v>
      </c>
      <c r="T322" s="32" t="n">
        <f>3307132</f>
        <v>3307132.0</v>
      </c>
      <c r="U322" s="32" t="n">
        <f>2664824</f>
        <v>2664824.0</v>
      </c>
      <c r="V322" s="32" t="n">
        <f>9410352048</f>
        <v>9.410352048E9</v>
      </c>
      <c r="W322" s="32" t="n">
        <f>7580713280</f>
        <v>7.58071328E9</v>
      </c>
      <c r="X322" s="36" t="n">
        <f>18</f>
        <v>18.0</v>
      </c>
    </row>
    <row r="323">
      <c r="A323" s="27" t="s">
        <v>42</v>
      </c>
      <c r="B323" s="27" t="s">
        <v>1012</v>
      </c>
      <c r="C323" s="27" t="s">
        <v>1013</v>
      </c>
      <c r="D323" s="27" t="s">
        <v>1014</v>
      </c>
      <c r="E323" s="28" t="s">
        <v>1015</v>
      </c>
      <c r="F323" s="29" t="s">
        <v>1016</v>
      </c>
      <c r="G323" s="30" t="s">
        <v>1017</v>
      </c>
      <c r="H323" s="31" t="s">
        <v>1018</v>
      </c>
      <c r="I323" s="31"/>
      <c r="J323" s="32" t="n">
        <v>10.0</v>
      </c>
      <c r="K323" s="33" t="n">
        <f>4907</f>
        <v>4907.0</v>
      </c>
      <c r="L323" s="34" t="s">
        <v>48</v>
      </c>
      <c r="M323" s="33" t="n">
        <f>4909</f>
        <v>4909.0</v>
      </c>
      <c r="N323" s="34" t="s">
        <v>48</v>
      </c>
      <c r="O323" s="33" t="n">
        <f>4809</f>
        <v>4809.0</v>
      </c>
      <c r="P323" s="34" t="s">
        <v>50</v>
      </c>
      <c r="Q323" s="33" t="n">
        <f>4869</f>
        <v>4869.0</v>
      </c>
      <c r="R323" s="34" t="s">
        <v>191</v>
      </c>
      <c r="S323" s="35" t="n">
        <f>4857.67</f>
        <v>4857.67</v>
      </c>
      <c r="T323" s="32" t="n">
        <f>6090</f>
        <v>6090.0</v>
      </c>
      <c r="U323" s="32" t="n">
        <f>30</f>
        <v>30.0</v>
      </c>
      <c r="V323" s="32" t="n">
        <f>29672430</f>
        <v>2.967243E7</v>
      </c>
      <c r="W323" s="32" t="n">
        <f>156270</f>
        <v>156270.0</v>
      </c>
      <c r="X323" s="36" t="n">
        <f>3</f>
        <v>3.0</v>
      </c>
    </row>
    <row r="324">
      <c r="A324" s="27" t="s">
        <v>42</v>
      </c>
      <c r="B324" s="27" t="s">
        <v>1019</v>
      </c>
      <c r="C324" s="27" t="s">
        <v>1020</v>
      </c>
      <c r="D324" s="27" t="s">
        <v>1021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4050</f>
        <v>4050.0</v>
      </c>
      <c r="L324" s="34" t="s">
        <v>48</v>
      </c>
      <c r="M324" s="33" t="n">
        <f>4110</f>
        <v>4110.0</v>
      </c>
      <c r="N324" s="34" t="s">
        <v>49</v>
      </c>
      <c r="O324" s="33" t="n">
        <f>3889</f>
        <v>3889.0</v>
      </c>
      <c r="P324" s="34" t="s">
        <v>73</v>
      </c>
      <c r="Q324" s="33" t="n">
        <f>4044</f>
        <v>4044.0</v>
      </c>
      <c r="R324" s="34" t="s">
        <v>51</v>
      </c>
      <c r="S324" s="35" t="n">
        <f>4008.39</f>
        <v>4008.39</v>
      </c>
      <c r="T324" s="32" t="n">
        <f>5034</f>
        <v>5034.0</v>
      </c>
      <c r="U324" s="32" t="str">
        <f>"－"</f>
        <v>－</v>
      </c>
      <c r="V324" s="32" t="n">
        <f>20011443</f>
        <v>2.0011443E7</v>
      </c>
      <c r="W324" s="32" t="str">
        <f>"－"</f>
        <v>－</v>
      </c>
      <c r="X324" s="36" t="n">
        <f>18</f>
        <v>18.0</v>
      </c>
    </row>
    <row r="325">
      <c r="A325" s="27" t="s">
        <v>42</v>
      </c>
      <c r="B325" s="27" t="s">
        <v>1022</v>
      </c>
      <c r="C325" s="27" t="s">
        <v>1023</v>
      </c>
      <c r="D325" s="27" t="s">
        <v>1024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1860</f>
        <v>1860.0</v>
      </c>
      <c r="L325" s="34" t="s">
        <v>48</v>
      </c>
      <c r="M325" s="33" t="n">
        <f>1916</f>
        <v>1916.0</v>
      </c>
      <c r="N325" s="34" t="s">
        <v>49</v>
      </c>
      <c r="O325" s="33" t="n">
        <f>1778</f>
        <v>1778.0</v>
      </c>
      <c r="P325" s="34" t="s">
        <v>73</v>
      </c>
      <c r="Q325" s="33" t="n">
        <f>1895</f>
        <v>1895.0</v>
      </c>
      <c r="R325" s="34" t="s">
        <v>51</v>
      </c>
      <c r="S325" s="35" t="n">
        <f>1855.61</f>
        <v>1855.61</v>
      </c>
      <c r="T325" s="32" t="n">
        <f>22890</f>
        <v>22890.0</v>
      </c>
      <c r="U325" s="32" t="n">
        <f>550</f>
        <v>550.0</v>
      </c>
      <c r="V325" s="32" t="n">
        <f>42760186</f>
        <v>4.2760186E7</v>
      </c>
      <c r="W325" s="32" t="n">
        <f>1007399</f>
        <v>1007399.0</v>
      </c>
      <c r="X325" s="36" t="n">
        <f>18</f>
        <v>18.0</v>
      </c>
    </row>
    <row r="326">
      <c r="A326" s="27" t="s">
        <v>42</v>
      </c>
      <c r="B326" s="27" t="s">
        <v>1025</v>
      </c>
      <c r="C326" s="27" t="s">
        <v>1026</v>
      </c>
      <c r="D326" s="27" t="s">
        <v>1027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2423</f>
        <v>2423.0</v>
      </c>
      <c r="L326" s="34" t="s">
        <v>48</v>
      </c>
      <c r="M326" s="33" t="n">
        <f>2445</f>
        <v>2445.0</v>
      </c>
      <c r="N326" s="34" t="s">
        <v>48</v>
      </c>
      <c r="O326" s="33" t="n">
        <f>2199</f>
        <v>2199.0</v>
      </c>
      <c r="P326" s="34" t="s">
        <v>73</v>
      </c>
      <c r="Q326" s="33" t="n">
        <f>2287</f>
        <v>2287.0</v>
      </c>
      <c r="R326" s="34" t="s">
        <v>51</v>
      </c>
      <c r="S326" s="35" t="n">
        <f>2316.5</f>
        <v>2316.5</v>
      </c>
      <c r="T326" s="32" t="n">
        <f>769518</f>
        <v>769518.0</v>
      </c>
      <c r="U326" s="32" t="n">
        <f>466845</f>
        <v>466845.0</v>
      </c>
      <c r="V326" s="32" t="n">
        <f>1785862592</f>
        <v>1.785862592E9</v>
      </c>
      <c r="W326" s="32" t="n">
        <f>1085116127</f>
        <v>1.085116127E9</v>
      </c>
      <c r="X326" s="36" t="n">
        <f>18</f>
        <v>18.0</v>
      </c>
    </row>
    <row r="327">
      <c r="A327" s="27" t="s">
        <v>42</v>
      </c>
      <c r="B327" s="27" t="s">
        <v>1028</v>
      </c>
      <c r="C327" s="27" t="s">
        <v>1029</v>
      </c>
      <c r="D327" s="27" t="s">
        <v>1030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1661</f>
        <v>1661.0</v>
      </c>
      <c r="L327" s="34" t="s">
        <v>48</v>
      </c>
      <c r="M327" s="33" t="n">
        <f>1790</f>
        <v>1790.0</v>
      </c>
      <c r="N327" s="34" t="s">
        <v>208</v>
      </c>
      <c r="O327" s="33" t="n">
        <f>1630</f>
        <v>1630.0</v>
      </c>
      <c r="P327" s="34" t="s">
        <v>50</v>
      </c>
      <c r="Q327" s="33" t="n">
        <f>1737</f>
        <v>1737.0</v>
      </c>
      <c r="R327" s="34" t="s">
        <v>51</v>
      </c>
      <c r="S327" s="35" t="n">
        <f>1697.44</f>
        <v>1697.44</v>
      </c>
      <c r="T327" s="32" t="n">
        <f>137457</f>
        <v>137457.0</v>
      </c>
      <c r="U327" s="32" t="n">
        <f>118471</f>
        <v>118471.0</v>
      </c>
      <c r="V327" s="32" t="n">
        <f>232361094</f>
        <v>2.32361094E8</v>
      </c>
      <c r="W327" s="32" t="n">
        <f>200175741</f>
        <v>2.00175741E8</v>
      </c>
      <c r="X327" s="36" t="n">
        <f>18</f>
        <v>18.0</v>
      </c>
    </row>
    <row r="328">
      <c r="A328" s="27" t="s">
        <v>42</v>
      </c>
      <c r="B328" s="27" t="s">
        <v>1031</v>
      </c>
      <c r="C328" s="27" t="s">
        <v>1032</v>
      </c>
      <c r="D328" s="27" t="s">
        <v>1033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4700</f>
        <v>4700.0</v>
      </c>
      <c r="L328" s="34" t="s">
        <v>48</v>
      </c>
      <c r="M328" s="33" t="n">
        <f>4760</f>
        <v>4760.0</v>
      </c>
      <c r="N328" s="34" t="s">
        <v>191</v>
      </c>
      <c r="O328" s="33" t="n">
        <f>4540</f>
        <v>4540.0</v>
      </c>
      <c r="P328" s="34" t="s">
        <v>73</v>
      </c>
      <c r="Q328" s="33" t="n">
        <f>4715</f>
        <v>4715.0</v>
      </c>
      <c r="R328" s="34" t="s">
        <v>51</v>
      </c>
      <c r="S328" s="35" t="n">
        <f>4668.67</f>
        <v>4668.67</v>
      </c>
      <c r="T328" s="32" t="n">
        <f>255583</f>
        <v>255583.0</v>
      </c>
      <c r="U328" s="32" t="n">
        <f>4190</f>
        <v>4190.0</v>
      </c>
      <c r="V328" s="32" t="n">
        <f>1192396355</f>
        <v>1.192396355E9</v>
      </c>
      <c r="W328" s="32" t="n">
        <f>19536535</f>
        <v>1.9536535E7</v>
      </c>
      <c r="X328" s="36" t="n">
        <f>18</f>
        <v>18.0</v>
      </c>
    </row>
    <row r="329">
      <c r="A329" s="27" t="s">
        <v>42</v>
      </c>
      <c r="B329" s="27" t="s">
        <v>1034</v>
      </c>
      <c r="C329" s="27" t="s">
        <v>1035</v>
      </c>
      <c r="D329" s="27" t="s">
        <v>1036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3892</f>
        <v>3892.0</v>
      </c>
      <c r="L329" s="34" t="s">
        <v>48</v>
      </c>
      <c r="M329" s="33" t="n">
        <f>4037</f>
        <v>4037.0</v>
      </c>
      <c r="N329" s="34" t="s">
        <v>262</v>
      </c>
      <c r="O329" s="33" t="n">
        <f>3774</f>
        <v>3774.0</v>
      </c>
      <c r="P329" s="34" t="s">
        <v>50</v>
      </c>
      <c r="Q329" s="33" t="n">
        <f>3969</f>
        <v>3969.0</v>
      </c>
      <c r="R329" s="34" t="s">
        <v>51</v>
      </c>
      <c r="S329" s="35" t="n">
        <f>3911.11</f>
        <v>3911.11</v>
      </c>
      <c r="T329" s="32" t="n">
        <f>188352</f>
        <v>188352.0</v>
      </c>
      <c r="U329" s="32" t="n">
        <f>47474</f>
        <v>47474.0</v>
      </c>
      <c r="V329" s="32" t="n">
        <f>735274921</f>
        <v>7.35274921E8</v>
      </c>
      <c r="W329" s="32" t="n">
        <f>186024820</f>
        <v>1.8602482E8</v>
      </c>
      <c r="X329" s="36" t="n">
        <f>18</f>
        <v>18.0</v>
      </c>
    </row>
    <row r="330">
      <c r="A330" s="27" t="s">
        <v>42</v>
      </c>
      <c r="B330" s="27" t="s">
        <v>1037</v>
      </c>
      <c r="C330" s="27" t="s">
        <v>1038</v>
      </c>
      <c r="D330" s="27" t="s">
        <v>1039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44420</f>
        <v>44420.0</v>
      </c>
      <c r="L330" s="34" t="s">
        <v>48</v>
      </c>
      <c r="M330" s="33" t="n">
        <f>45050</f>
        <v>45050.0</v>
      </c>
      <c r="N330" s="34" t="s">
        <v>49</v>
      </c>
      <c r="O330" s="33" t="n">
        <f>43170</f>
        <v>43170.0</v>
      </c>
      <c r="P330" s="34" t="s">
        <v>50</v>
      </c>
      <c r="Q330" s="33" t="n">
        <f>44870</f>
        <v>44870.0</v>
      </c>
      <c r="R330" s="34" t="s">
        <v>69</v>
      </c>
      <c r="S330" s="35" t="n">
        <f>44291.43</f>
        <v>44291.43</v>
      </c>
      <c r="T330" s="32" t="n">
        <f>51</f>
        <v>51.0</v>
      </c>
      <c r="U330" s="32" t="str">
        <f>"－"</f>
        <v>－</v>
      </c>
      <c r="V330" s="32" t="n">
        <f>2249490</f>
        <v>2249490.0</v>
      </c>
      <c r="W330" s="32" t="str">
        <f>"－"</f>
        <v>－</v>
      </c>
      <c r="X330" s="36" t="n">
        <f>14</f>
        <v>14.0</v>
      </c>
    </row>
    <row r="331">
      <c r="A331" s="27" t="s">
        <v>42</v>
      </c>
      <c r="B331" s="27" t="s">
        <v>1040</v>
      </c>
      <c r="C331" s="27" t="s">
        <v>1041</v>
      </c>
      <c r="D331" s="27" t="s">
        <v>1042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3645</f>
        <v>3645.0</v>
      </c>
      <c r="L331" s="34" t="s">
        <v>48</v>
      </c>
      <c r="M331" s="33" t="n">
        <f>3645</f>
        <v>3645.0</v>
      </c>
      <c r="N331" s="34" t="s">
        <v>48</v>
      </c>
      <c r="O331" s="33" t="n">
        <f>3434</f>
        <v>3434.0</v>
      </c>
      <c r="P331" s="34" t="s">
        <v>50</v>
      </c>
      <c r="Q331" s="33" t="n">
        <f>3477</f>
        <v>3477.0</v>
      </c>
      <c r="R331" s="34" t="s">
        <v>114</v>
      </c>
      <c r="S331" s="35" t="n">
        <f>3515.55</f>
        <v>3515.55</v>
      </c>
      <c r="T331" s="32" t="n">
        <f>316</f>
        <v>316.0</v>
      </c>
      <c r="U331" s="32" t="str">
        <f>"－"</f>
        <v>－</v>
      </c>
      <c r="V331" s="32" t="n">
        <f>1105571</f>
        <v>1105571.0</v>
      </c>
      <c r="W331" s="32" t="str">
        <f>"－"</f>
        <v>－</v>
      </c>
      <c r="X331" s="36" t="n">
        <f>11</f>
        <v>11.0</v>
      </c>
    </row>
    <row r="332">
      <c r="A332" s="27" t="s">
        <v>42</v>
      </c>
      <c r="B332" s="27" t="s">
        <v>1043</v>
      </c>
      <c r="C332" s="27" t="s">
        <v>1044</v>
      </c>
      <c r="D332" s="27" t="s">
        <v>1045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2685</f>
        <v>2685.0</v>
      </c>
      <c r="L332" s="34" t="s">
        <v>48</v>
      </c>
      <c r="M332" s="33" t="n">
        <f>2709</f>
        <v>2709.0</v>
      </c>
      <c r="N332" s="34" t="s">
        <v>48</v>
      </c>
      <c r="O332" s="33" t="n">
        <f>2249</f>
        <v>2249.0</v>
      </c>
      <c r="P332" s="34" t="s">
        <v>73</v>
      </c>
      <c r="Q332" s="33" t="n">
        <f>2395</f>
        <v>2395.0</v>
      </c>
      <c r="R332" s="34" t="s">
        <v>51</v>
      </c>
      <c r="S332" s="35" t="n">
        <f>2422.67</f>
        <v>2422.67</v>
      </c>
      <c r="T332" s="32" t="n">
        <f>33437543</f>
        <v>3.3437543E7</v>
      </c>
      <c r="U332" s="32" t="n">
        <f>764253</f>
        <v>764253.0</v>
      </c>
      <c r="V332" s="32" t="n">
        <f>81284382821</f>
        <v>8.1284382821E10</v>
      </c>
      <c r="W332" s="32" t="n">
        <f>1809110989</f>
        <v>1.809110989E9</v>
      </c>
      <c r="X332" s="36" t="n">
        <f>18</f>
        <v>18.0</v>
      </c>
    </row>
    <row r="333">
      <c r="A333" s="27" t="s">
        <v>42</v>
      </c>
      <c r="B333" s="27" t="s">
        <v>1046</v>
      </c>
      <c r="C333" s="27" t="s">
        <v>1047</v>
      </c>
      <c r="D333" s="27" t="s">
        <v>1048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2760</f>
        <v>2760.0</v>
      </c>
      <c r="L333" s="34" t="s">
        <v>48</v>
      </c>
      <c r="M333" s="33" t="n">
        <f>2800</f>
        <v>2800.0</v>
      </c>
      <c r="N333" s="34" t="s">
        <v>51</v>
      </c>
      <c r="O333" s="33" t="n">
        <f>2601</f>
        <v>2601.0</v>
      </c>
      <c r="P333" s="34" t="s">
        <v>249</v>
      </c>
      <c r="Q333" s="33" t="n">
        <f>2763</f>
        <v>2763.0</v>
      </c>
      <c r="R333" s="34" t="s">
        <v>51</v>
      </c>
      <c r="S333" s="35" t="n">
        <f>2716.89</f>
        <v>2716.89</v>
      </c>
      <c r="T333" s="32" t="n">
        <f>16454</f>
        <v>16454.0</v>
      </c>
      <c r="U333" s="32" t="n">
        <f>50</f>
        <v>50.0</v>
      </c>
      <c r="V333" s="32" t="n">
        <f>44947123</f>
        <v>4.4947123E7</v>
      </c>
      <c r="W333" s="32" t="n">
        <f>132755</f>
        <v>132755.0</v>
      </c>
      <c r="X333" s="36" t="n">
        <f>18</f>
        <v>18.0</v>
      </c>
    </row>
    <row r="334">
      <c r="A334" s="27" t="s">
        <v>42</v>
      </c>
      <c r="B334" s="27" t="s">
        <v>1049</v>
      </c>
      <c r="C334" s="27" t="s">
        <v>1050</v>
      </c>
      <c r="D334" s="27" t="s">
        <v>1051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2398</f>
        <v>2398.0</v>
      </c>
      <c r="L334" s="34" t="s">
        <v>48</v>
      </c>
      <c r="M334" s="33" t="n">
        <f>2638</f>
        <v>2638.0</v>
      </c>
      <c r="N334" s="34" t="s">
        <v>262</v>
      </c>
      <c r="O334" s="33" t="n">
        <f>2271</f>
        <v>2271.0</v>
      </c>
      <c r="P334" s="34" t="s">
        <v>50</v>
      </c>
      <c r="Q334" s="33" t="n">
        <f>2600</f>
        <v>2600.0</v>
      </c>
      <c r="R334" s="34" t="s">
        <v>51</v>
      </c>
      <c r="S334" s="35" t="n">
        <f>2493.67</f>
        <v>2493.67</v>
      </c>
      <c r="T334" s="32" t="n">
        <f>92526</f>
        <v>92526.0</v>
      </c>
      <c r="U334" s="32" t="n">
        <f>2090</f>
        <v>2090.0</v>
      </c>
      <c r="V334" s="32" t="n">
        <f>229841286</f>
        <v>2.29841286E8</v>
      </c>
      <c r="W334" s="32" t="n">
        <f>5243812</f>
        <v>5243812.0</v>
      </c>
      <c r="X334" s="36" t="n">
        <f>18</f>
        <v>18.0</v>
      </c>
    </row>
    <row r="335">
      <c r="A335" s="27" t="s">
        <v>42</v>
      </c>
      <c r="B335" s="27" t="s">
        <v>1052</v>
      </c>
      <c r="C335" s="27" t="s">
        <v>1053</v>
      </c>
      <c r="D335" s="27" t="s">
        <v>1054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5902</f>
        <v>5902.0</v>
      </c>
      <c r="L335" s="34" t="s">
        <v>48</v>
      </c>
      <c r="M335" s="33" t="n">
        <f>6341</f>
        <v>6341.0</v>
      </c>
      <c r="N335" s="34" t="s">
        <v>69</v>
      </c>
      <c r="O335" s="33" t="n">
        <f>5866</f>
        <v>5866.0</v>
      </c>
      <c r="P335" s="34" t="s">
        <v>89</v>
      </c>
      <c r="Q335" s="33" t="n">
        <f>6039</f>
        <v>6039.0</v>
      </c>
      <c r="R335" s="34" t="s">
        <v>69</v>
      </c>
      <c r="S335" s="35" t="n">
        <f>5948.41</f>
        <v>5948.41</v>
      </c>
      <c r="T335" s="32" t="n">
        <f>257242</f>
        <v>257242.0</v>
      </c>
      <c r="U335" s="32" t="n">
        <f>251660</f>
        <v>251660.0</v>
      </c>
      <c r="V335" s="32" t="n">
        <f>1532254152</f>
        <v>1.532254152E9</v>
      </c>
      <c r="W335" s="32" t="n">
        <f>1498798442</f>
        <v>1.498798442E9</v>
      </c>
      <c r="X335" s="36" t="n">
        <f>17</f>
        <v>17.0</v>
      </c>
    </row>
    <row r="336">
      <c r="A336" s="27" t="s">
        <v>42</v>
      </c>
      <c r="B336" s="27" t="s">
        <v>1055</v>
      </c>
      <c r="C336" s="27" t="s">
        <v>1056</v>
      </c>
      <c r="D336" s="27" t="s">
        <v>1057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3573</f>
        <v>3573.0</v>
      </c>
      <c r="L336" s="34" t="s">
        <v>48</v>
      </c>
      <c r="M336" s="33" t="n">
        <f>3610</f>
        <v>3610.0</v>
      </c>
      <c r="N336" s="34" t="s">
        <v>208</v>
      </c>
      <c r="O336" s="33" t="n">
        <f>3560</f>
        <v>3560.0</v>
      </c>
      <c r="P336" s="34" t="s">
        <v>191</v>
      </c>
      <c r="Q336" s="33" t="n">
        <f>3603</f>
        <v>3603.0</v>
      </c>
      <c r="R336" s="34" t="s">
        <v>51</v>
      </c>
      <c r="S336" s="35" t="n">
        <f>3579.5</f>
        <v>3579.5</v>
      </c>
      <c r="T336" s="32" t="n">
        <f>1121950</f>
        <v>1121950.0</v>
      </c>
      <c r="U336" s="32" t="n">
        <f>1046020</f>
        <v>1046020.0</v>
      </c>
      <c r="V336" s="32" t="n">
        <f>3998999268</f>
        <v>3.998999268E9</v>
      </c>
      <c r="W336" s="32" t="n">
        <f>3727137340</f>
        <v>3.72713734E9</v>
      </c>
      <c r="X336" s="36" t="n">
        <f>18</f>
        <v>18.0</v>
      </c>
    </row>
    <row r="337">
      <c r="A337" s="27" t="s">
        <v>42</v>
      </c>
      <c r="B337" s="27" t="s">
        <v>1058</v>
      </c>
      <c r="C337" s="27" t="s">
        <v>1059</v>
      </c>
      <c r="D337" s="27" t="s">
        <v>1060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10.0</v>
      </c>
      <c r="K337" s="33" t="n">
        <f>606.1</f>
        <v>606.1</v>
      </c>
      <c r="L337" s="34" t="s">
        <v>48</v>
      </c>
      <c r="M337" s="33" t="n">
        <f>612.1</f>
        <v>612.1</v>
      </c>
      <c r="N337" s="34" t="s">
        <v>114</v>
      </c>
      <c r="O337" s="33" t="n">
        <f>601.9</f>
        <v>601.9</v>
      </c>
      <c r="P337" s="34" t="s">
        <v>61</v>
      </c>
      <c r="Q337" s="33" t="n">
        <f>607.2</f>
        <v>607.2</v>
      </c>
      <c r="R337" s="34" t="s">
        <v>208</v>
      </c>
      <c r="S337" s="35" t="n">
        <f>605.04</f>
        <v>605.04</v>
      </c>
      <c r="T337" s="32" t="n">
        <f>2790</f>
        <v>2790.0</v>
      </c>
      <c r="U337" s="32" t="str">
        <f>"－"</f>
        <v>－</v>
      </c>
      <c r="V337" s="32" t="n">
        <f>1688683</f>
        <v>1688683.0</v>
      </c>
      <c r="W337" s="32" t="str">
        <f>"－"</f>
        <v>－</v>
      </c>
      <c r="X337" s="36" t="n">
        <f>14</f>
        <v>14.0</v>
      </c>
    </row>
    <row r="338">
      <c r="A338" s="27" t="s">
        <v>42</v>
      </c>
      <c r="B338" s="27" t="s">
        <v>1061</v>
      </c>
      <c r="C338" s="27" t="s">
        <v>1062</v>
      </c>
      <c r="D338" s="27" t="s">
        <v>1063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9870</f>
        <v>9870.0</v>
      </c>
      <c r="L338" s="34" t="s">
        <v>48</v>
      </c>
      <c r="M338" s="33" t="n">
        <f>9870</f>
        <v>9870.0</v>
      </c>
      <c r="N338" s="34" t="s">
        <v>48</v>
      </c>
      <c r="O338" s="33" t="n">
        <f>9231</f>
        <v>9231.0</v>
      </c>
      <c r="P338" s="34" t="s">
        <v>51</v>
      </c>
      <c r="Q338" s="33" t="n">
        <f>9260</f>
        <v>9260.0</v>
      </c>
      <c r="R338" s="34" t="s">
        <v>51</v>
      </c>
      <c r="S338" s="35" t="n">
        <f>9502.94</f>
        <v>9502.94</v>
      </c>
      <c r="T338" s="32" t="n">
        <f>5799</f>
        <v>5799.0</v>
      </c>
      <c r="U338" s="32" t="str">
        <f>"－"</f>
        <v>－</v>
      </c>
      <c r="V338" s="32" t="n">
        <f>55120346</f>
        <v>5.5120346E7</v>
      </c>
      <c r="W338" s="32" t="str">
        <f>"－"</f>
        <v>－</v>
      </c>
      <c r="X338" s="36" t="n">
        <f>18</f>
        <v>18.0</v>
      </c>
    </row>
    <row r="339">
      <c r="A339" s="27" t="s">
        <v>42</v>
      </c>
      <c r="B339" s="27" t="s">
        <v>1064</v>
      </c>
      <c r="C339" s="27" t="s">
        <v>1065</v>
      </c>
      <c r="D339" s="27" t="s">
        <v>1066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1486</f>
        <v>1486.0</v>
      </c>
      <c r="L339" s="34" t="s">
        <v>48</v>
      </c>
      <c r="M339" s="33" t="n">
        <f>1487</f>
        <v>1487.0</v>
      </c>
      <c r="N339" s="34" t="s">
        <v>48</v>
      </c>
      <c r="O339" s="33" t="n">
        <f>1250</f>
        <v>1250.0</v>
      </c>
      <c r="P339" s="34" t="s">
        <v>73</v>
      </c>
      <c r="Q339" s="33" t="n">
        <f>1325</f>
        <v>1325.0</v>
      </c>
      <c r="R339" s="34" t="s">
        <v>51</v>
      </c>
      <c r="S339" s="35" t="n">
        <f>1338.5</f>
        <v>1338.5</v>
      </c>
      <c r="T339" s="32" t="n">
        <f>999532</f>
        <v>999532.0</v>
      </c>
      <c r="U339" s="32" t="str">
        <f>"－"</f>
        <v>－</v>
      </c>
      <c r="V339" s="32" t="n">
        <f>1358671443</f>
        <v>1.358671443E9</v>
      </c>
      <c r="W339" s="32" t="str">
        <f>"－"</f>
        <v>－</v>
      </c>
      <c r="X339" s="36" t="n">
        <f>18</f>
        <v>18.0</v>
      </c>
    </row>
    <row r="340">
      <c r="A340" s="27" t="s">
        <v>42</v>
      </c>
      <c r="B340" s="27" t="s">
        <v>1067</v>
      </c>
      <c r="C340" s="27" t="s">
        <v>1068</v>
      </c>
      <c r="D340" s="27" t="s">
        <v>1069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3209</f>
        <v>3209.0</v>
      </c>
      <c r="L340" s="34" t="s">
        <v>48</v>
      </c>
      <c r="M340" s="33" t="n">
        <f>3264</f>
        <v>3264.0</v>
      </c>
      <c r="N340" s="34" t="s">
        <v>49</v>
      </c>
      <c r="O340" s="33" t="n">
        <f>3065</f>
        <v>3065.0</v>
      </c>
      <c r="P340" s="34" t="s">
        <v>262</v>
      </c>
      <c r="Q340" s="33" t="n">
        <f>3221</f>
        <v>3221.0</v>
      </c>
      <c r="R340" s="34" t="s">
        <v>51</v>
      </c>
      <c r="S340" s="35" t="n">
        <f>3176.78</f>
        <v>3176.78</v>
      </c>
      <c r="T340" s="32" t="n">
        <f>15443</f>
        <v>15443.0</v>
      </c>
      <c r="U340" s="32" t="str">
        <f>"－"</f>
        <v>－</v>
      </c>
      <c r="V340" s="32" t="n">
        <f>48820246</f>
        <v>4.8820246E7</v>
      </c>
      <c r="W340" s="32" t="str">
        <f>"－"</f>
        <v>－</v>
      </c>
      <c r="X340" s="36" t="n">
        <f>18</f>
        <v>18.0</v>
      </c>
    </row>
    <row r="341">
      <c r="A341" s="27" t="s">
        <v>42</v>
      </c>
      <c r="B341" s="27" t="s">
        <v>1070</v>
      </c>
      <c r="C341" s="27" t="s">
        <v>1071</v>
      </c>
      <c r="D341" s="27" t="s">
        <v>1072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2916</f>
        <v>2916.0</v>
      </c>
      <c r="L341" s="34" t="s">
        <v>48</v>
      </c>
      <c r="M341" s="33" t="n">
        <f>2992</f>
        <v>2992.0</v>
      </c>
      <c r="N341" s="34" t="s">
        <v>201</v>
      </c>
      <c r="O341" s="33" t="n">
        <f>2715</f>
        <v>2715.0</v>
      </c>
      <c r="P341" s="34" t="s">
        <v>73</v>
      </c>
      <c r="Q341" s="33" t="n">
        <f>2824</f>
        <v>2824.0</v>
      </c>
      <c r="R341" s="34" t="s">
        <v>51</v>
      </c>
      <c r="S341" s="35" t="n">
        <f>2863.72</f>
        <v>2863.72</v>
      </c>
      <c r="T341" s="32" t="n">
        <f>462170</f>
        <v>462170.0</v>
      </c>
      <c r="U341" s="32" t="n">
        <f>157020</f>
        <v>157020.0</v>
      </c>
      <c r="V341" s="32" t="n">
        <f>1294928378</f>
        <v>1.294928378E9</v>
      </c>
      <c r="W341" s="32" t="n">
        <f>437743959</f>
        <v>4.37743959E8</v>
      </c>
      <c r="X341" s="36" t="n">
        <f>18</f>
        <v>18.0</v>
      </c>
    </row>
    <row r="342">
      <c r="A342" s="27" t="s">
        <v>42</v>
      </c>
      <c r="B342" s="27" t="s">
        <v>1073</v>
      </c>
      <c r="C342" s="27" t="s">
        <v>1074</v>
      </c>
      <c r="D342" s="27" t="s">
        <v>1075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8823</f>
        <v>8823.0</v>
      </c>
      <c r="L342" s="34" t="s">
        <v>48</v>
      </c>
      <c r="M342" s="33" t="n">
        <f>9112</f>
        <v>9112.0</v>
      </c>
      <c r="N342" s="34" t="s">
        <v>51</v>
      </c>
      <c r="O342" s="33" t="n">
        <f>8683</f>
        <v>8683.0</v>
      </c>
      <c r="P342" s="34" t="s">
        <v>89</v>
      </c>
      <c r="Q342" s="33" t="n">
        <f>9060</f>
        <v>9060.0</v>
      </c>
      <c r="R342" s="34" t="s">
        <v>51</v>
      </c>
      <c r="S342" s="35" t="n">
        <f>8839.83</f>
        <v>8839.83</v>
      </c>
      <c r="T342" s="32" t="n">
        <f>9749</f>
        <v>9749.0</v>
      </c>
      <c r="U342" s="32" t="n">
        <f>4500</f>
        <v>4500.0</v>
      </c>
      <c r="V342" s="32" t="n">
        <f>86084781</f>
        <v>8.6084781E7</v>
      </c>
      <c r="W342" s="32" t="n">
        <f>40251143</f>
        <v>4.0251143E7</v>
      </c>
      <c r="X342" s="36" t="n">
        <f>18</f>
        <v>18.0</v>
      </c>
    </row>
    <row r="343">
      <c r="A343" s="27" t="s">
        <v>42</v>
      </c>
      <c r="B343" s="27" t="s">
        <v>1076</v>
      </c>
      <c r="C343" s="27" t="s">
        <v>1077</v>
      </c>
      <c r="D343" s="27" t="s">
        <v>1078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5347</f>
        <v>5347.0</v>
      </c>
      <c r="L343" s="34" t="s">
        <v>48</v>
      </c>
      <c r="M343" s="33" t="n">
        <f>5355</f>
        <v>5355.0</v>
      </c>
      <c r="N343" s="34" t="s">
        <v>50</v>
      </c>
      <c r="O343" s="33" t="n">
        <f>5270</f>
        <v>5270.0</v>
      </c>
      <c r="P343" s="34" t="s">
        <v>249</v>
      </c>
      <c r="Q343" s="33" t="n">
        <f>5332</f>
        <v>5332.0</v>
      </c>
      <c r="R343" s="34" t="s">
        <v>51</v>
      </c>
      <c r="S343" s="35" t="n">
        <f>5303.12</f>
        <v>5303.12</v>
      </c>
      <c r="T343" s="32" t="n">
        <f>352146</f>
        <v>352146.0</v>
      </c>
      <c r="U343" s="32" t="n">
        <f>350000</f>
        <v>350000.0</v>
      </c>
      <c r="V343" s="32" t="n">
        <f>1858587588</f>
        <v>1.858587588E9</v>
      </c>
      <c r="W343" s="32" t="n">
        <f>1847218941</f>
        <v>1.847218941E9</v>
      </c>
      <c r="X343" s="36" t="n">
        <f>17</f>
        <v>17.0</v>
      </c>
    </row>
    <row r="344">
      <c r="A344" s="27" t="s">
        <v>42</v>
      </c>
      <c r="B344" s="27" t="s">
        <v>1079</v>
      </c>
      <c r="C344" s="27" t="s">
        <v>1080</v>
      </c>
      <c r="D344" s="27" t="s">
        <v>1081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1143</f>
        <v>1143.0</v>
      </c>
      <c r="L344" s="34" t="s">
        <v>48</v>
      </c>
      <c r="M344" s="33" t="n">
        <f>1145</f>
        <v>1145.0</v>
      </c>
      <c r="N344" s="34" t="s">
        <v>48</v>
      </c>
      <c r="O344" s="33" t="n">
        <f>1075</f>
        <v>1075.0</v>
      </c>
      <c r="P344" s="34" t="s">
        <v>73</v>
      </c>
      <c r="Q344" s="33" t="n">
        <f>1132</f>
        <v>1132.0</v>
      </c>
      <c r="R344" s="34" t="s">
        <v>51</v>
      </c>
      <c r="S344" s="35" t="n">
        <f>1114.89</f>
        <v>1114.89</v>
      </c>
      <c r="T344" s="32" t="n">
        <f>491557</f>
        <v>491557.0</v>
      </c>
      <c r="U344" s="32" t="str">
        <f>"－"</f>
        <v>－</v>
      </c>
      <c r="V344" s="32" t="n">
        <f>550166593</f>
        <v>5.50166593E8</v>
      </c>
      <c r="W344" s="32" t="str">
        <f>"－"</f>
        <v>－</v>
      </c>
      <c r="X344" s="36" t="n">
        <f>18</f>
        <v>18.0</v>
      </c>
    </row>
    <row r="345">
      <c r="A345" s="27" t="s">
        <v>42</v>
      </c>
      <c r="B345" s="27" t="s">
        <v>1082</v>
      </c>
      <c r="C345" s="27" t="s">
        <v>1083</v>
      </c>
      <c r="D345" s="27" t="s">
        <v>1084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2308</f>
        <v>2308.0</v>
      </c>
      <c r="L345" s="34" t="s">
        <v>48</v>
      </c>
      <c r="M345" s="33" t="n">
        <f>2319</f>
        <v>2319.0</v>
      </c>
      <c r="N345" s="34" t="s">
        <v>48</v>
      </c>
      <c r="O345" s="33" t="n">
        <f>2179</f>
        <v>2179.0</v>
      </c>
      <c r="P345" s="34" t="s">
        <v>148</v>
      </c>
      <c r="Q345" s="33" t="n">
        <f>2283</f>
        <v>2283.0</v>
      </c>
      <c r="R345" s="34" t="s">
        <v>51</v>
      </c>
      <c r="S345" s="35" t="n">
        <f>2255.11</f>
        <v>2255.11</v>
      </c>
      <c r="T345" s="32" t="n">
        <f>1609093</f>
        <v>1609093.0</v>
      </c>
      <c r="U345" s="32" t="n">
        <f>9860</f>
        <v>9860.0</v>
      </c>
      <c r="V345" s="32" t="n">
        <f>3609389217</f>
        <v>3.609389217E9</v>
      </c>
      <c r="W345" s="32" t="n">
        <f>22329226</f>
        <v>2.2329226E7</v>
      </c>
      <c r="X345" s="36" t="n">
        <f>18</f>
        <v>18.0</v>
      </c>
    </row>
    <row r="346">
      <c r="A346" s="27" t="s">
        <v>42</v>
      </c>
      <c r="B346" s="27" t="s">
        <v>1085</v>
      </c>
      <c r="C346" s="27" t="s">
        <v>1086</v>
      </c>
      <c r="D346" s="27" t="s">
        <v>1087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1531</f>
        <v>1531.0</v>
      </c>
      <c r="L346" s="34" t="s">
        <v>48</v>
      </c>
      <c r="M346" s="33" t="n">
        <f>1531</f>
        <v>1531.0</v>
      </c>
      <c r="N346" s="34" t="s">
        <v>48</v>
      </c>
      <c r="O346" s="33" t="n">
        <f>1413</f>
        <v>1413.0</v>
      </c>
      <c r="P346" s="34" t="s">
        <v>148</v>
      </c>
      <c r="Q346" s="33" t="n">
        <f>1488</f>
        <v>1488.0</v>
      </c>
      <c r="R346" s="34" t="s">
        <v>51</v>
      </c>
      <c r="S346" s="35" t="n">
        <f>1483.67</f>
        <v>1483.67</v>
      </c>
      <c r="T346" s="32" t="n">
        <f>4056424</f>
        <v>4056424.0</v>
      </c>
      <c r="U346" s="32" t="n">
        <f>2592220</f>
        <v>2592220.0</v>
      </c>
      <c r="V346" s="32" t="n">
        <f>5985583055</f>
        <v>5.985583055E9</v>
      </c>
      <c r="W346" s="32" t="n">
        <f>3817693745</f>
        <v>3.817693745E9</v>
      </c>
      <c r="X346" s="36" t="n">
        <f>18</f>
        <v>18.0</v>
      </c>
    </row>
    <row r="347">
      <c r="A347" s="27" t="s">
        <v>42</v>
      </c>
      <c r="B347" s="27" t="s">
        <v>1088</v>
      </c>
      <c r="C347" s="27" t="s">
        <v>1089</v>
      </c>
      <c r="D347" s="27" t="s">
        <v>1090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13860</f>
        <v>13860.0</v>
      </c>
      <c r="L347" s="34" t="s">
        <v>48</v>
      </c>
      <c r="M347" s="33" t="n">
        <f>14945</f>
        <v>14945.0</v>
      </c>
      <c r="N347" s="34" t="s">
        <v>148</v>
      </c>
      <c r="O347" s="33" t="n">
        <f>13860</f>
        <v>13860.0</v>
      </c>
      <c r="P347" s="34" t="s">
        <v>48</v>
      </c>
      <c r="Q347" s="33" t="n">
        <f>14195</f>
        <v>14195.0</v>
      </c>
      <c r="R347" s="34" t="s">
        <v>51</v>
      </c>
      <c r="S347" s="35" t="n">
        <f>14291.94</f>
        <v>14291.94</v>
      </c>
      <c r="T347" s="32" t="n">
        <f>144297</f>
        <v>144297.0</v>
      </c>
      <c r="U347" s="32" t="n">
        <f>256</f>
        <v>256.0</v>
      </c>
      <c r="V347" s="32" t="n">
        <f>2074088705</f>
        <v>2.074088705E9</v>
      </c>
      <c r="W347" s="32" t="n">
        <f>3699180</f>
        <v>3699180.0</v>
      </c>
      <c r="X347" s="36" t="n">
        <f>18</f>
        <v>18.0</v>
      </c>
    </row>
    <row r="348">
      <c r="A348" s="27" t="s">
        <v>42</v>
      </c>
      <c r="B348" s="27" t="s">
        <v>1091</v>
      </c>
      <c r="C348" s="27" t="s">
        <v>1092</v>
      </c>
      <c r="D348" s="27" t="s">
        <v>1093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3979</f>
        <v>3979.0</v>
      </c>
      <c r="L348" s="34" t="s">
        <v>48</v>
      </c>
      <c r="M348" s="33" t="n">
        <f>4006</f>
        <v>4006.0</v>
      </c>
      <c r="N348" s="34" t="s">
        <v>89</v>
      </c>
      <c r="O348" s="33" t="n">
        <f>3889</f>
        <v>3889.0</v>
      </c>
      <c r="P348" s="34" t="s">
        <v>51</v>
      </c>
      <c r="Q348" s="33" t="n">
        <f>3890</f>
        <v>3890.0</v>
      </c>
      <c r="R348" s="34" t="s">
        <v>51</v>
      </c>
      <c r="S348" s="35" t="n">
        <f>3924.78</f>
        <v>3924.78</v>
      </c>
      <c r="T348" s="32" t="n">
        <f>324880</f>
        <v>324880.0</v>
      </c>
      <c r="U348" s="32" t="n">
        <f>254002</f>
        <v>254002.0</v>
      </c>
      <c r="V348" s="32" t="n">
        <f>1277648991</f>
        <v>1.277648991E9</v>
      </c>
      <c r="W348" s="32" t="n">
        <f>996652854</f>
        <v>9.96652854E8</v>
      </c>
      <c r="X348" s="36" t="n">
        <f>18</f>
        <v>18.0</v>
      </c>
    </row>
    <row r="349">
      <c r="A349" s="27" t="s">
        <v>42</v>
      </c>
      <c r="B349" s="27" t="s">
        <v>1094</v>
      </c>
      <c r="C349" s="27" t="s">
        <v>1095</v>
      </c>
      <c r="D349" s="27" t="s">
        <v>1096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5295</f>
        <v>5295.0</v>
      </c>
      <c r="L349" s="34" t="s">
        <v>48</v>
      </c>
      <c r="M349" s="33" t="n">
        <f>5297</f>
        <v>5297.0</v>
      </c>
      <c r="N349" s="34" t="s">
        <v>48</v>
      </c>
      <c r="O349" s="33" t="n">
        <f>5140</f>
        <v>5140.0</v>
      </c>
      <c r="P349" s="34" t="s">
        <v>89</v>
      </c>
      <c r="Q349" s="33" t="n">
        <f>5253</f>
        <v>5253.0</v>
      </c>
      <c r="R349" s="34" t="s">
        <v>51</v>
      </c>
      <c r="S349" s="35" t="n">
        <f>5225.28</f>
        <v>5225.28</v>
      </c>
      <c r="T349" s="32" t="n">
        <f>180419</f>
        <v>180419.0</v>
      </c>
      <c r="U349" s="32" t="n">
        <f>108041</f>
        <v>108041.0</v>
      </c>
      <c r="V349" s="32" t="n">
        <f>944465989</f>
        <v>9.44465989E8</v>
      </c>
      <c r="W349" s="32" t="n">
        <f>566778596</f>
        <v>5.66778596E8</v>
      </c>
      <c r="X349" s="36" t="n">
        <f>18</f>
        <v>18.0</v>
      </c>
    </row>
    <row r="350">
      <c r="A350" s="27" t="s">
        <v>42</v>
      </c>
      <c r="B350" s="27" t="s">
        <v>1097</v>
      </c>
      <c r="C350" s="27" t="s">
        <v>1098</v>
      </c>
      <c r="D350" s="27" t="s">
        <v>1099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3206</f>
        <v>3206.0</v>
      </c>
      <c r="L350" s="34" t="s">
        <v>48</v>
      </c>
      <c r="M350" s="33" t="n">
        <f>3210</f>
        <v>3210.0</v>
      </c>
      <c r="N350" s="34" t="s">
        <v>48</v>
      </c>
      <c r="O350" s="33" t="n">
        <f>2963</f>
        <v>2963.0</v>
      </c>
      <c r="P350" s="34" t="s">
        <v>148</v>
      </c>
      <c r="Q350" s="33" t="n">
        <f>3115</f>
        <v>3115.0</v>
      </c>
      <c r="R350" s="34" t="s">
        <v>51</v>
      </c>
      <c r="S350" s="35" t="n">
        <f>3112.28</f>
        <v>3112.28</v>
      </c>
      <c r="T350" s="32" t="n">
        <f>1288943</f>
        <v>1288943.0</v>
      </c>
      <c r="U350" s="32" t="n">
        <f>585179</f>
        <v>585179.0</v>
      </c>
      <c r="V350" s="32" t="n">
        <f>3988362936</f>
        <v>3.988362936E9</v>
      </c>
      <c r="W350" s="32" t="n">
        <f>1808108597</f>
        <v>1.808108597E9</v>
      </c>
      <c r="X350" s="36" t="n">
        <f>18</f>
        <v>18.0</v>
      </c>
    </row>
    <row r="351">
      <c r="A351" s="27" t="s">
        <v>42</v>
      </c>
      <c r="B351" s="27" t="s">
        <v>1100</v>
      </c>
      <c r="C351" s="27" t="s">
        <v>1101</v>
      </c>
      <c r="D351" s="27" t="s">
        <v>1102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2352</f>
        <v>2352.0</v>
      </c>
      <c r="L351" s="34" t="s">
        <v>48</v>
      </c>
      <c r="M351" s="33" t="n">
        <f>2394</f>
        <v>2394.0</v>
      </c>
      <c r="N351" s="34" t="s">
        <v>49</v>
      </c>
      <c r="O351" s="33" t="n">
        <f>2265</f>
        <v>2265.0</v>
      </c>
      <c r="P351" s="34" t="s">
        <v>148</v>
      </c>
      <c r="Q351" s="33" t="n">
        <f>2353</f>
        <v>2353.0</v>
      </c>
      <c r="R351" s="34" t="s">
        <v>51</v>
      </c>
      <c r="S351" s="35" t="n">
        <f>2328.17</f>
        <v>2328.17</v>
      </c>
      <c r="T351" s="32" t="n">
        <f>1970757</f>
        <v>1970757.0</v>
      </c>
      <c r="U351" s="32" t="n">
        <f>1064910</f>
        <v>1064910.0</v>
      </c>
      <c r="V351" s="32" t="n">
        <f>4593781143</f>
        <v>4.593781143E9</v>
      </c>
      <c r="W351" s="32" t="n">
        <f>2487059719</f>
        <v>2.487059719E9</v>
      </c>
      <c r="X351" s="36" t="n">
        <f>18</f>
        <v>18.0</v>
      </c>
    </row>
    <row r="352">
      <c r="A352" s="27" t="s">
        <v>42</v>
      </c>
      <c r="B352" s="27" t="s">
        <v>1103</v>
      </c>
      <c r="C352" s="27" t="s">
        <v>1104</v>
      </c>
      <c r="D352" s="27" t="s">
        <v>1105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2680</f>
        <v>2680.0</v>
      </c>
      <c r="L352" s="34" t="s">
        <v>48</v>
      </c>
      <c r="M352" s="33" t="n">
        <f>2702</f>
        <v>2702.0</v>
      </c>
      <c r="N352" s="34" t="s">
        <v>48</v>
      </c>
      <c r="O352" s="33" t="n">
        <f>2497</f>
        <v>2497.0</v>
      </c>
      <c r="P352" s="34" t="s">
        <v>50</v>
      </c>
      <c r="Q352" s="33" t="n">
        <f>2589</f>
        <v>2589.0</v>
      </c>
      <c r="R352" s="34" t="s">
        <v>51</v>
      </c>
      <c r="S352" s="35" t="n">
        <f>2567.44</f>
        <v>2567.44</v>
      </c>
      <c r="T352" s="32" t="n">
        <f>16323</f>
        <v>16323.0</v>
      </c>
      <c r="U352" s="32" t="str">
        <f>"－"</f>
        <v>－</v>
      </c>
      <c r="V352" s="32" t="n">
        <f>41917233</f>
        <v>4.1917233E7</v>
      </c>
      <c r="W352" s="32" t="str">
        <f>"－"</f>
        <v>－</v>
      </c>
      <c r="X352" s="36" t="n">
        <f>18</f>
        <v>18.0</v>
      </c>
    </row>
    <row r="353">
      <c r="A353" s="27" t="s">
        <v>42</v>
      </c>
      <c r="B353" s="27" t="s">
        <v>1106</v>
      </c>
      <c r="C353" s="27" t="s">
        <v>1107</v>
      </c>
      <c r="D353" s="27" t="s">
        <v>1108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2558</f>
        <v>2558.0</v>
      </c>
      <c r="L353" s="34" t="s">
        <v>48</v>
      </c>
      <c r="M353" s="33" t="n">
        <f>2592</f>
        <v>2592.0</v>
      </c>
      <c r="N353" s="34" t="s">
        <v>49</v>
      </c>
      <c r="O353" s="33" t="n">
        <f>2465</f>
        <v>2465.0</v>
      </c>
      <c r="P353" s="34" t="s">
        <v>50</v>
      </c>
      <c r="Q353" s="33" t="n">
        <f>2577</f>
        <v>2577.0</v>
      </c>
      <c r="R353" s="34" t="s">
        <v>51</v>
      </c>
      <c r="S353" s="35" t="n">
        <f>2532.35</f>
        <v>2532.35</v>
      </c>
      <c r="T353" s="32" t="n">
        <f>27586</f>
        <v>27586.0</v>
      </c>
      <c r="U353" s="32" t="str">
        <f>"－"</f>
        <v>－</v>
      </c>
      <c r="V353" s="32" t="n">
        <f>69874517</f>
        <v>6.9874517E7</v>
      </c>
      <c r="W353" s="32" t="str">
        <f>"－"</f>
        <v>－</v>
      </c>
      <c r="X353" s="36" t="n">
        <f>17</f>
        <v>17.0</v>
      </c>
    </row>
    <row r="354">
      <c r="A354" s="27" t="s">
        <v>42</v>
      </c>
      <c r="B354" s="27" t="s">
        <v>1109</v>
      </c>
      <c r="C354" s="27" t="s">
        <v>1110</v>
      </c>
      <c r="D354" s="27" t="s">
        <v>1111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5150</f>
        <v>5150.0</v>
      </c>
      <c r="L354" s="34" t="s">
        <v>48</v>
      </c>
      <c r="M354" s="33" t="n">
        <f>5258</f>
        <v>5258.0</v>
      </c>
      <c r="N354" s="34" t="s">
        <v>61</v>
      </c>
      <c r="O354" s="33" t="n">
        <f>4989</f>
        <v>4989.0</v>
      </c>
      <c r="P354" s="34" t="s">
        <v>50</v>
      </c>
      <c r="Q354" s="33" t="n">
        <f>5135</f>
        <v>5135.0</v>
      </c>
      <c r="R354" s="34" t="s">
        <v>51</v>
      </c>
      <c r="S354" s="35" t="n">
        <f>5087.56</f>
        <v>5087.56</v>
      </c>
      <c r="T354" s="32" t="n">
        <f>85954</f>
        <v>85954.0</v>
      </c>
      <c r="U354" s="32" t="n">
        <f>78062</f>
        <v>78062.0</v>
      </c>
      <c r="V354" s="32" t="n">
        <f>438917940</f>
        <v>4.3891794E8</v>
      </c>
      <c r="W354" s="32" t="n">
        <f>398530229</f>
        <v>3.98530229E8</v>
      </c>
      <c r="X354" s="36" t="n">
        <f>18</f>
        <v>18.0</v>
      </c>
    </row>
    <row r="355">
      <c r="A355" s="27" t="s">
        <v>42</v>
      </c>
      <c r="B355" s="27" t="s">
        <v>1112</v>
      </c>
      <c r="C355" s="27" t="s">
        <v>1113</v>
      </c>
      <c r="D355" s="27" t="s">
        <v>1114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10.0</v>
      </c>
      <c r="K355" s="33" t="n">
        <f>329</f>
        <v>329.0</v>
      </c>
      <c r="L355" s="34" t="s">
        <v>48</v>
      </c>
      <c r="M355" s="33" t="n">
        <f>335.8</f>
        <v>335.8</v>
      </c>
      <c r="N355" s="34" t="s">
        <v>50</v>
      </c>
      <c r="O355" s="33" t="n">
        <f>315.3</f>
        <v>315.3</v>
      </c>
      <c r="P355" s="34" t="s">
        <v>50</v>
      </c>
      <c r="Q355" s="33" t="n">
        <f>333.3</f>
        <v>333.3</v>
      </c>
      <c r="R355" s="34" t="s">
        <v>51</v>
      </c>
      <c r="S355" s="35" t="n">
        <f>327.37</f>
        <v>327.37</v>
      </c>
      <c r="T355" s="32" t="n">
        <f>210620</f>
        <v>210620.0</v>
      </c>
      <c r="U355" s="32" t="n">
        <f>1200</f>
        <v>1200.0</v>
      </c>
      <c r="V355" s="32" t="n">
        <f>68799361</f>
        <v>6.8799361E7</v>
      </c>
      <c r="W355" s="32" t="n">
        <f>392700</f>
        <v>392700.0</v>
      </c>
      <c r="X355" s="36" t="n">
        <f>17</f>
        <v>17.0</v>
      </c>
    </row>
    <row r="356">
      <c r="A356" s="27" t="s">
        <v>42</v>
      </c>
      <c r="B356" s="27" t="s">
        <v>1115</v>
      </c>
      <c r="C356" s="27" t="s">
        <v>1116</v>
      </c>
      <c r="D356" s="27" t="s">
        <v>1117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10.0</v>
      </c>
      <c r="K356" s="33" t="n">
        <f>192.7</f>
        <v>192.7</v>
      </c>
      <c r="L356" s="34" t="s">
        <v>48</v>
      </c>
      <c r="M356" s="33" t="n">
        <f>199.2</f>
        <v>199.2</v>
      </c>
      <c r="N356" s="34" t="s">
        <v>69</v>
      </c>
      <c r="O356" s="33" t="n">
        <f>192</f>
        <v>192.0</v>
      </c>
      <c r="P356" s="34" t="s">
        <v>48</v>
      </c>
      <c r="Q356" s="33" t="n">
        <f>197.2</f>
        <v>197.2</v>
      </c>
      <c r="R356" s="34" t="s">
        <v>51</v>
      </c>
      <c r="S356" s="35" t="n">
        <f>194.54</f>
        <v>194.54</v>
      </c>
      <c r="T356" s="32" t="n">
        <f>384660</f>
        <v>384660.0</v>
      </c>
      <c r="U356" s="32" t="n">
        <f>1880</f>
        <v>1880.0</v>
      </c>
      <c r="V356" s="32" t="n">
        <f>74454490</f>
        <v>7.445449E7</v>
      </c>
      <c r="W356" s="32" t="n">
        <f>365870</f>
        <v>365870.0</v>
      </c>
      <c r="X356" s="36" t="n">
        <f>18</f>
        <v>18.0</v>
      </c>
    </row>
    <row r="357">
      <c r="A357" s="27" t="s">
        <v>42</v>
      </c>
      <c r="B357" s="27" t="s">
        <v>1118</v>
      </c>
      <c r="C357" s="27" t="s">
        <v>1119</v>
      </c>
      <c r="D357" s="27" t="s">
        <v>1120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10.0</v>
      </c>
      <c r="K357" s="33" t="n">
        <f>643.3</f>
        <v>643.3</v>
      </c>
      <c r="L357" s="34" t="s">
        <v>48</v>
      </c>
      <c r="M357" s="33" t="n">
        <f>644</f>
        <v>644.0</v>
      </c>
      <c r="N357" s="34" t="s">
        <v>69</v>
      </c>
      <c r="O357" s="33" t="n">
        <f>640</f>
        <v>640.0</v>
      </c>
      <c r="P357" s="34" t="s">
        <v>191</v>
      </c>
      <c r="Q357" s="33" t="n">
        <f>644</f>
        <v>644.0</v>
      </c>
      <c r="R357" s="34" t="s">
        <v>69</v>
      </c>
      <c r="S357" s="35" t="n">
        <f>641.93</f>
        <v>641.93</v>
      </c>
      <c r="T357" s="32" t="n">
        <f>12140</f>
        <v>12140.0</v>
      </c>
      <c r="U357" s="32" t="n">
        <f>11740</f>
        <v>11740.0</v>
      </c>
      <c r="V357" s="32" t="n">
        <f>7778037</f>
        <v>7778037.0</v>
      </c>
      <c r="W357" s="32" t="n">
        <f>7521583</f>
        <v>7521583.0</v>
      </c>
      <c r="X357" s="36" t="n">
        <f>12</f>
        <v>12.0</v>
      </c>
    </row>
    <row r="358">
      <c r="A358" s="27" t="s">
        <v>42</v>
      </c>
      <c r="B358" s="27" t="s">
        <v>1121</v>
      </c>
      <c r="C358" s="27" t="s">
        <v>1122</v>
      </c>
      <c r="D358" s="27" t="s">
        <v>1123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2057</f>
        <v>2057.0</v>
      </c>
      <c r="L358" s="34" t="s">
        <v>48</v>
      </c>
      <c r="M358" s="33" t="n">
        <f>2067</f>
        <v>2067.0</v>
      </c>
      <c r="N358" s="34" t="s">
        <v>48</v>
      </c>
      <c r="O358" s="33" t="n">
        <f>1909</f>
        <v>1909.0</v>
      </c>
      <c r="P358" s="34" t="s">
        <v>73</v>
      </c>
      <c r="Q358" s="33" t="n">
        <f>1991</f>
        <v>1991.0</v>
      </c>
      <c r="R358" s="34" t="s">
        <v>51</v>
      </c>
      <c r="S358" s="35" t="n">
        <f>1995.28</f>
        <v>1995.28</v>
      </c>
      <c r="T358" s="32" t="n">
        <f>265524</f>
        <v>265524.0</v>
      </c>
      <c r="U358" s="32" t="n">
        <f>940</f>
        <v>940.0</v>
      </c>
      <c r="V358" s="32" t="n">
        <f>524169640</f>
        <v>5.2416964E8</v>
      </c>
      <c r="W358" s="32" t="n">
        <f>1837170</f>
        <v>1837170.0</v>
      </c>
      <c r="X358" s="36" t="n">
        <f>18</f>
        <v>18.0</v>
      </c>
    </row>
    <row r="359">
      <c r="A359" s="27" t="s">
        <v>42</v>
      </c>
      <c r="B359" s="27" t="s">
        <v>1124</v>
      </c>
      <c r="C359" s="27" t="s">
        <v>1125</v>
      </c>
      <c r="D359" s="27" t="s">
        <v>1126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1029</f>
        <v>1029.0</v>
      </c>
      <c r="L359" s="34" t="s">
        <v>48</v>
      </c>
      <c r="M359" s="33" t="n">
        <f>1079</f>
        <v>1079.0</v>
      </c>
      <c r="N359" s="34" t="s">
        <v>69</v>
      </c>
      <c r="O359" s="33" t="n">
        <f>1025</f>
        <v>1025.0</v>
      </c>
      <c r="P359" s="34" t="s">
        <v>48</v>
      </c>
      <c r="Q359" s="33" t="n">
        <f>1069</f>
        <v>1069.0</v>
      </c>
      <c r="R359" s="34" t="s">
        <v>51</v>
      </c>
      <c r="S359" s="35" t="n">
        <f>1052</f>
        <v>1052.0</v>
      </c>
      <c r="T359" s="32" t="n">
        <f>1073306</f>
        <v>1073306.0</v>
      </c>
      <c r="U359" s="32" t="n">
        <f>1009418</f>
        <v>1009418.0</v>
      </c>
      <c r="V359" s="32" t="n">
        <f>1146357337</f>
        <v>1.146357337E9</v>
      </c>
      <c r="W359" s="32" t="n">
        <f>1079794522</f>
        <v>1.079794522E9</v>
      </c>
      <c r="X359" s="36" t="n">
        <f>18</f>
        <v>18.0</v>
      </c>
    </row>
    <row r="360">
      <c r="A360" s="27" t="s">
        <v>42</v>
      </c>
      <c r="B360" s="27" t="s">
        <v>1127</v>
      </c>
      <c r="C360" s="27" t="s">
        <v>1128</v>
      </c>
      <c r="D360" s="27" t="s">
        <v>1129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10.0</v>
      </c>
      <c r="K360" s="33" t="n">
        <f>679.7</f>
        <v>679.7</v>
      </c>
      <c r="L360" s="34" t="s">
        <v>48</v>
      </c>
      <c r="M360" s="33" t="n">
        <f>684.4</f>
        <v>684.4</v>
      </c>
      <c r="N360" s="34" t="s">
        <v>208</v>
      </c>
      <c r="O360" s="33" t="n">
        <f>678.1</f>
        <v>678.1</v>
      </c>
      <c r="P360" s="34" t="s">
        <v>191</v>
      </c>
      <c r="Q360" s="33" t="n">
        <f>681.8</f>
        <v>681.8</v>
      </c>
      <c r="R360" s="34" t="s">
        <v>51</v>
      </c>
      <c r="S360" s="35" t="n">
        <f>681.04</f>
        <v>681.04</v>
      </c>
      <c r="T360" s="32" t="n">
        <f>1388830</f>
        <v>1388830.0</v>
      </c>
      <c r="U360" s="32" t="n">
        <f>1103100</f>
        <v>1103100.0</v>
      </c>
      <c r="V360" s="32" t="n">
        <f>944482805</f>
        <v>9.44482805E8</v>
      </c>
      <c r="W360" s="32" t="n">
        <f>750011140</f>
        <v>7.5001114E8</v>
      </c>
      <c r="X360" s="36" t="n">
        <f>18</f>
        <v>18.0</v>
      </c>
    </row>
    <row r="361">
      <c r="A361" s="27" t="s">
        <v>42</v>
      </c>
      <c r="B361" s="27" t="s">
        <v>1130</v>
      </c>
      <c r="C361" s="27" t="s">
        <v>1131</v>
      </c>
      <c r="D361" s="27" t="s">
        <v>1132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10.0</v>
      </c>
      <c r="K361" s="33" t="n">
        <f>655</f>
        <v>655.0</v>
      </c>
      <c r="L361" s="34" t="s">
        <v>48</v>
      </c>
      <c r="M361" s="33" t="n">
        <f>655.7</f>
        <v>655.7</v>
      </c>
      <c r="N361" s="34" t="s">
        <v>191</v>
      </c>
      <c r="O361" s="33" t="n">
        <f>648.1</f>
        <v>648.1</v>
      </c>
      <c r="P361" s="34" t="s">
        <v>249</v>
      </c>
      <c r="Q361" s="33" t="n">
        <f>650</f>
        <v>650.0</v>
      </c>
      <c r="R361" s="34" t="s">
        <v>51</v>
      </c>
      <c r="S361" s="35" t="n">
        <f>650.38</f>
        <v>650.38</v>
      </c>
      <c r="T361" s="32" t="n">
        <f>1896830</f>
        <v>1896830.0</v>
      </c>
      <c r="U361" s="32" t="n">
        <f>1886210</f>
        <v>1886210.0</v>
      </c>
      <c r="V361" s="32" t="n">
        <f>1233151864</f>
        <v>1.233151864E9</v>
      </c>
      <c r="W361" s="32" t="n">
        <f>1226247047</f>
        <v>1.226247047E9</v>
      </c>
      <c r="X361" s="36" t="n">
        <f>18</f>
        <v>18.0</v>
      </c>
    </row>
    <row r="362">
      <c r="A362" s="27" t="s">
        <v>42</v>
      </c>
      <c r="B362" s="27" t="s">
        <v>1133</v>
      </c>
      <c r="C362" s="27" t="s">
        <v>1134</v>
      </c>
      <c r="D362" s="27" t="s">
        <v>1135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1278</f>
        <v>1278.0</v>
      </c>
      <c r="L362" s="34" t="s">
        <v>48</v>
      </c>
      <c r="M362" s="33" t="n">
        <f>1389</f>
        <v>1389.0</v>
      </c>
      <c r="N362" s="34" t="s">
        <v>68</v>
      </c>
      <c r="O362" s="33" t="n">
        <f>1237</f>
        <v>1237.0</v>
      </c>
      <c r="P362" s="34" t="s">
        <v>249</v>
      </c>
      <c r="Q362" s="33" t="n">
        <f>1291</f>
        <v>1291.0</v>
      </c>
      <c r="R362" s="34" t="s">
        <v>51</v>
      </c>
      <c r="S362" s="35" t="n">
        <f>1272.94</f>
        <v>1272.94</v>
      </c>
      <c r="T362" s="32" t="n">
        <f>17681</f>
        <v>17681.0</v>
      </c>
      <c r="U362" s="32" t="str">
        <f>"－"</f>
        <v>－</v>
      </c>
      <c r="V362" s="32" t="n">
        <f>22505533</f>
        <v>2.2505533E7</v>
      </c>
      <c r="W362" s="32" t="str">
        <f>"－"</f>
        <v>－</v>
      </c>
      <c r="X362" s="36" t="n">
        <f>18</f>
        <v>18.0</v>
      </c>
    </row>
    <row r="363">
      <c r="A363" s="27" t="s">
        <v>42</v>
      </c>
      <c r="B363" s="27" t="s">
        <v>1136</v>
      </c>
      <c r="C363" s="27" t="s">
        <v>1137</v>
      </c>
      <c r="D363" s="27" t="s">
        <v>1138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2873</f>
        <v>2873.0</v>
      </c>
      <c r="L363" s="34" t="s">
        <v>48</v>
      </c>
      <c r="M363" s="33" t="n">
        <f>2948</f>
        <v>2948.0</v>
      </c>
      <c r="N363" s="34" t="s">
        <v>49</v>
      </c>
      <c r="O363" s="33" t="n">
        <f>2782</f>
        <v>2782.0</v>
      </c>
      <c r="P363" s="34" t="s">
        <v>148</v>
      </c>
      <c r="Q363" s="33" t="n">
        <f>2877</f>
        <v>2877.0</v>
      </c>
      <c r="R363" s="34" t="s">
        <v>51</v>
      </c>
      <c r="S363" s="35" t="n">
        <f>2861.33</f>
        <v>2861.33</v>
      </c>
      <c r="T363" s="32" t="n">
        <f>62580</f>
        <v>62580.0</v>
      </c>
      <c r="U363" s="32" t="n">
        <f>291</f>
        <v>291.0</v>
      </c>
      <c r="V363" s="32" t="n">
        <f>179372466</f>
        <v>1.79372466E8</v>
      </c>
      <c r="W363" s="32" t="n">
        <f>828549</f>
        <v>828549.0</v>
      </c>
      <c r="X363" s="36" t="n">
        <f>18</f>
        <v>18.0</v>
      </c>
    </row>
    <row r="364">
      <c r="A364" s="27" t="s">
        <v>42</v>
      </c>
      <c r="B364" s="27" t="s">
        <v>1139</v>
      </c>
      <c r="C364" s="27" t="s">
        <v>1140</v>
      </c>
      <c r="D364" s="27" t="s">
        <v>1141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3132</f>
        <v>3132.0</v>
      </c>
      <c r="L364" s="34" t="s">
        <v>48</v>
      </c>
      <c r="M364" s="33" t="n">
        <f>3184</f>
        <v>3184.0</v>
      </c>
      <c r="N364" s="34" t="s">
        <v>49</v>
      </c>
      <c r="O364" s="33" t="n">
        <f>2975</f>
        <v>2975.0</v>
      </c>
      <c r="P364" s="34" t="s">
        <v>148</v>
      </c>
      <c r="Q364" s="33" t="n">
        <f>3053</f>
        <v>3053.0</v>
      </c>
      <c r="R364" s="34" t="s">
        <v>51</v>
      </c>
      <c r="S364" s="35" t="n">
        <f>3078.89</f>
        <v>3078.89</v>
      </c>
      <c r="T364" s="32" t="n">
        <f>526578</f>
        <v>526578.0</v>
      </c>
      <c r="U364" s="32" t="n">
        <f>14290</f>
        <v>14290.0</v>
      </c>
      <c r="V364" s="32" t="n">
        <f>1607745776</f>
        <v>1.607745776E9</v>
      </c>
      <c r="W364" s="32" t="n">
        <f>43515661</f>
        <v>4.3515661E7</v>
      </c>
      <c r="X364" s="36" t="n">
        <f>18</f>
        <v>18.0</v>
      </c>
    </row>
    <row r="365">
      <c r="A365" s="27" t="s">
        <v>42</v>
      </c>
      <c r="B365" s="27" t="s">
        <v>1142</v>
      </c>
      <c r="C365" s="27" t="s">
        <v>1143</v>
      </c>
      <c r="D365" s="27" t="s">
        <v>1144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5913</f>
        <v>5913.0</v>
      </c>
      <c r="L365" s="34" t="s">
        <v>48</v>
      </c>
      <c r="M365" s="33" t="n">
        <f>5913</f>
        <v>5913.0</v>
      </c>
      <c r="N365" s="34" t="s">
        <v>48</v>
      </c>
      <c r="O365" s="33" t="n">
        <f>5665</f>
        <v>5665.0</v>
      </c>
      <c r="P365" s="34" t="s">
        <v>89</v>
      </c>
      <c r="Q365" s="33" t="n">
        <f>5835</f>
        <v>5835.0</v>
      </c>
      <c r="R365" s="34" t="s">
        <v>51</v>
      </c>
      <c r="S365" s="35" t="n">
        <f>5768.72</f>
        <v>5768.72</v>
      </c>
      <c r="T365" s="32" t="n">
        <f>46577</f>
        <v>46577.0</v>
      </c>
      <c r="U365" s="32" t="n">
        <f>1000</f>
        <v>1000.0</v>
      </c>
      <c r="V365" s="32" t="n">
        <f>270592613</f>
        <v>2.70592613E8</v>
      </c>
      <c r="W365" s="32" t="n">
        <f>5787600</f>
        <v>5787600.0</v>
      </c>
      <c r="X365" s="36" t="n">
        <f>18</f>
        <v>18.0</v>
      </c>
    </row>
    <row r="366">
      <c r="A366" s="27" t="s">
        <v>42</v>
      </c>
      <c r="B366" s="27" t="s">
        <v>1145</v>
      </c>
      <c r="C366" s="27" t="s">
        <v>1146</v>
      </c>
      <c r="D366" s="27" t="s">
        <v>1147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4083</f>
        <v>4083.0</v>
      </c>
      <c r="L366" s="34" t="s">
        <v>48</v>
      </c>
      <c r="M366" s="33" t="n">
        <f>4400</f>
        <v>4400.0</v>
      </c>
      <c r="N366" s="34" t="s">
        <v>249</v>
      </c>
      <c r="O366" s="33" t="n">
        <f>4030</f>
        <v>4030.0</v>
      </c>
      <c r="P366" s="34" t="s">
        <v>245</v>
      </c>
      <c r="Q366" s="33" t="n">
        <f>4059</f>
        <v>4059.0</v>
      </c>
      <c r="R366" s="34" t="s">
        <v>51</v>
      </c>
      <c r="S366" s="35" t="n">
        <f>4084.36</f>
        <v>4084.36</v>
      </c>
      <c r="T366" s="32" t="n">
        <f>2946</f>
        <v>2946.0</v>
      </c>
      <c r="U366" s="32" t="str">
        <f>"－"</f>
        <v>－</v>
      </c>
      <c r="V366" s="32" t="n">
        <f>11908625</f>
        <v>1.1908625E7</v>
      </c>
      <c r="W366" s="32" t="str">
        <f>"－"</f>
        <v>－</v>
      </c>
      <c r="X366" s="36" t="n">
        <f>11</f>
        <v>11.0</v>
      </c>
    </row>
    <row r="367">
      <c r="A367" s="27" t="s">
        <v>42</v>
      </c>
      <c r="B367" s="27" t="s">
        <v>1148</v>
      </c>
      <c r="C367" s="27" t="s">
        <v>1149</v>
      </c>
      <c r="D367" s="27" t="s">
        <v>1150</v>
      </c>
      <c r="E367" s="28" t="s">
        <v>1015</v>
      </c>
      <c r="F367" s="29" t="s">
        <v>1016</v>
      </c>
      <c r="G367" s="30" t="s">
        <v>1151</v>
      </c>
      <c r="H367" s="31" t="s">
        <v>1018</v>
      </c>
      <c r="I367" s="31"/>
      <c r="J367" s="32" t="n">
        <v>10.0</v>
      </c>
      <c r="K367" s="33" t="n">
        <f>1932.5</f>
        <v>1932.5</v>
      </c>
      <c r="L367" s="34" t="s">
        <v>48</v>
      </c>
      <c r="M367" s="33" t="n">
        <f>1938.5</f>
        <v>1938.5</v>
      </c>
      <c r="N367" s="34" t="s">
        <v>49</v>
      </c>
      <c r="O367" s="33" t="n">
        <f>1898</f>
        <v>1898.0</v>
      </c>
      <c r="P367" s="34" t="s">
        <v>245</v>
      </c>
      <c r="Q367" s="33" t="n">
        <f>1927</f>
        <v>1927.0</v>
      </c>
      <c r="R367" s="34" t="s">
        <v>262</v>
      </c>
      <c r="S367" s="35" t="n">
        <f>1931.93</f>
        <v>1931.93</v>
      </c>
      <c r="T367" s="32" t="n">
        <f>1580</f>
        <v>1580.0</v>
      </c>
      <c r="U367" s="32" t="str">
        <f>"－"</f>
        <v>－</v>
      </c>
      <c r="V367" s="32" t="n">
        <f>3046460</f>
        <v>3046460.0</v>
      </c>
      <c r="W367" s="32" t="str">
        <f>"－"</f>
        <v>－</v>
      </c>
      <c r="X367" s="36" t="n">
        <f>7</f>
        <v>7.0</v>
      </c>
    </row>
    <row r="368">
      <c r="A368" s="27" t="s">
        <v>42</v>
      </c>
      <c r="B368" s="27" t="s">
        <v>1152</v>
      </c>
      <c r="C368" s="27" t="s">
        <v>1153</v>
      </c>
      <c r="D368" s="27" t="s">
        <v>1154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1268</f>
        <v>1268.0</v>
      </c>
      <c r="L368" s="34" t="s">
        <v>48</v>
      </c>
      <c r="M368" s="33" t="n">
        <f>1300</f>
        <v>1300.0</v>
      </c>
      <c r="N368" s="34" t="s">
        <v>51</v>
      </c>
      <c r="O368" s="33" t="n">
        <f>1226</f>
        <v>1226.0</v>
      </c>
      <c r="P368" s="34" t="s">
        <v>68</v>
      </c>
      <c r="Q368" s="33" t="n">
        <f>1300</f>
        <v>1300.0</v>
      </c>
      <c r="R368" s="34" t="s">
        <v>51</v>
      </c>
      <c r="S368" s="35" t="n">
        <f>1251.22</f>
        <v>1251.22</v>
      </c>
      <c r="T368" s="32" t="n">
        <f>7576</f>
        <v>7576.0</v>
      </c>
      <c r="U368" s="32" t="str">
        <f>"－"</f>
        <v>－</v>
      </c>
      <c r="V368" s="32" t="n">
        <f>9511401</f>
        <v>9511401.0</v>
      </c>
      <c r="W368" s="32" t="str">
        <f>"－"</f>
        <v>－</v>
      </c>
      <c r="X368" s="36" t="n">
        <f>18</f>
        <v>18.0</v>
      </c>
    </row>
    <row r="369">
      <c r="A369" s="27" t="s">
        <v>42</v>
      </c>
      <c r="B369" s="27" t="s">
        <v>1155</v>
      </c>
      <c r="C369" s="27" t="s">
        <v>1156</v>
      </c>
      <c r="D369" s="27" t="s">
        <v>1157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1188</f>
        <v>1188.0</v>
      </c>
      <c r="L369" s="34" t="s">
        <v>48</v>
      </c>
      <c r="M369" s="33" t="n">
        <f>1208</f>
        <v>1208.0</v>
      </c>
      <c r="N369" s="34" t="s">
        <v>69</v>
      </c>
      <c r="O369" s="33" t="n">
        <f>1159</f>
        <v>1159.0</v>
      </c>
      <c r="P369" s="34" t="s">
        <v>89</v>
      </c>
      <c r="Q369" s="33" t="n">
        <f>1206</f>
        <v>1206.0</v>
      </c>
      <c r="R369" s="34" t="s">
        <v>51</v>
      </c>
      <c r="S369" s="35" t="n">
        <f>1185.28</f>
        <v>1185.28</v>
      </c>
      <c r="T369" s="32" t="n">
        <f>7091657</f>
        <v>7091657.0</v>
      </c>
      <c r="U369" s="32" t="n">
        <f>350</f>
        <v>350.0</v>
      </c>
      <c r="V369" s="32" t="n">
        <f>8400732493</f>
        <v>8.400732493E9</v>
      </c>
      <c r="W369" s="32" t="n">
        <f>407410</f>
        <v>407410.0</v>
      </c>
      <c r="X369" s="36" t="n">
        <f>18</f>
        <v>18.0</v>
      </c>
    </row>
    <row r="370">
      <c r="A370" s="27" t="s">
        <v>42</v>
      </c>
      <c r="B370" s="27" t="s">
        <v>1158</v>
      </c>
      <c r="C370" s="27" t="s">
        <v>1159</v>
      </c>
      <c r="D370" s="27" t="s">
        <v>1160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1000</f>
        <v>1000.0</v>
      </c>
      <c r="L370" s="34" t="s">
        <v>48</v>
      </c>
      <c r="M370" s="33" t="n">
        <f>1000</f>
        <v>1000.0</v>
      </c>
      <c r="N370" s="34" t="s">
        <v>48</v>
      </c>
      <c r="O370" s="33" t="n">
        <f>975</f>
        <v>975.0</v>
      </c>
      <c r="P370" s="34" t="s">
        <v>89</v>
      </c>
      <c r="Q370" s="33" t="n">
        <f>993</f>
        <v>993.0</v>
      </c>
      <c r="R370" s="34" t="s">
        <v>51</v>
      </c>
      <c r="S370" s="35" t="n">
        <f>987.78</f>
        <v>987.78</v>
      </c>
      <c r="T370" s="32" t="n">
        <f>1493656</f>
        <v>1493656.0</v>
      </c>
      <c r="U370" s="32" t="str">
        <f>"－"</f>
        <v>－</v>
      </c>
      <c r="V370" s="32" t="n">
        <f>1474477590</f>
        <v>1.47447759E9</v>
      </c>
      <c r="W370" s="32" t="str">
        <f>"－"</f>
        <v>－</v>
      </c>
      <c r="X370" s="36" t="n">
        <f>18</f>
        <v>18.0</v>
      </c>
    </row>
    <row r="371">
      <c r="A371" s="27" t="s">
        <v>42</v>
      </c>
      <c r="B371" s="27" t="s">
        <v>1161</v>
      </c>
      <c r="C371" s="27" t="s">
        <v>1162</v>
      </c>
      <c r="D371" s="27" t="s">
        <v>1163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1503</f>
        <v>1503.0</v>
      </c>
      <c r="L371" s="34" t="s">
        <v>48</v>
      </c>
      <c r="M371" s="33" t="n">
        <f>1503</f>
        <v>1503.0</v>
      </c>
      <c r="N371" s="34" t="s">
        <v>48</v>
      </c>
      <c r="O371" s="33" t="n">
        <f>1368</f>
        <v>1368.0</v>
      </c>
      <c r="P371" s="34" t="s">
        <v>50</v>
      </c>
      <c r="Q371" s="33" t="n">
        <f>1446</f>
        <v>1446.0</v>
      </c>
      <c r="R371" s="34" t="s">
        <v>51</v>
      </c>
      <c r="S371" s="35" t="n">
        <f>1440.28</f>
        <v>1440.28</v>
      </c>
      <c r="T371" s="32" t="n">
        <f>18135</f>
        <v>18135.0</v>
      </c>
      <c r="U371" s="32" t="str">
        <f>"－"</f>
        <v>－</v>
      </c>
      <c r="V371" s="32" t="n">
        <f>26035418</f>
        <v>2.6035418E7</v>
      </c>
      <c r="W371" s="32" t="str">
        <f>"－"</f>
        <v>－</v>
      </c>
      <c r="X371" s="36" t="n">
        <f>18</f>
        <v>18.0</v>
      </c>
    </row>
    <row r="372">
      <c r="A372" s="27" t="s">
        <v>42</v>
      </c>
      <c r="B372" s="27" t="s">
        <v>1164</v>
      </c>
      <c r="C372" s="27" t="s">
        <v>1165</v>
      </c>
      <c r="D372" s="27" t="s">
        <v>1166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1069</f>
        <v>1069.0</v>
      </c>
      <c r="L372" s="34" t="s">
        <v>48</v>
      </c>
      <c r="M372" s="33" t="n">
        <f>1098</f>
        <v>1098.0</v>
      </c>
      <c r="N372" s="34" t="s">
        <v>208</v>
      </c>
      <c r="O372" s="33" t="n">
        <f>1050</f>
        <v>1050.0</v>
      </c>
      <c r="P372" s="34" t="s">
        <v>89</v>
      </c>
      <c r="Q372" s="33" t="n">
        <f>1097</f>
        <v>1097.0</v>
      </c>
      <c r="R372" s="34" t="s">
        <v>51</v>
      </c>
      <c r="S372" s="35" t="n">
        <f>1073.44</f>
        <v>1073.44</v>
      </c>
      <c r="T372" s="32" t="n">
        <f>1525151</f>
        <v>1525151.0</v>
      </c>
      <c r="U372" s="32" t="n">
        <f>146</f>
        <v>146.0</v>
      </c>
      <c r="V372" s="32" t="n">
        <f>1635222387</f>
        <v>1.635222387E9</v>
      </c>
      <c r="W372" s="32" t="n">
        <f>155298</f>
        <v>155298.0</v>
      </c>
      <c r="X372" s="36" t="n">
        <f>18</f>
        <v>18.0</v>
      </c>
    </row>
    <row r="373">
      <c r="A373" s="27" t="s">
        <v>42</v>
      </c>
      <c r="B373" s="27" t="s">
        <v>1167</v>
      </c>
      <c r="C373" s="27" t="s">
        <v>1168</v>
      </c>
      <c r="D373" s="27" t="s">
        <v>1169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63150</f>
        <v>63150.0</v>
      </c>
      <c r="L373" s="34" t="s">
        <v>48</v>
      </c>
      <c r="M373" s="33" t="n">
        <f>63160</f>
        <v>63160.0</v>
      </c>
      <c r="N373" s="34" t="s">
        <v>48</v>
      </c>
      <c r="O373" s="33" t="n">
        <f>53870</f>
        <v>53870.0</v>
      </c>
      <c r="P373" s="34" t="s">
        <v>148</v>
      </c>
      <c r="Q373" s="33" t="n">
        <f>59710</f>
        <v>59710.0</v>
      </c>
      <c r="R373" s="34" t="s">
        <v>51</v>
      </c>
      <c r="S373" s="35" t="n">
        <f>59283.33</f>
        <v>59283.33</v>
      </c>
      <c r="T373" s="32" t="n">
        <f>327501</f>
        <v>327501.0</v>
      </c>
      <c r="U373" s="32" t="n">
        <f>1985</f>
        <v>1985.0</v>
      </c>
      <c r="V373" s="32" t="n">
        <f>19244179383</f>
        <v>1.9244179383E10</v>
      </c>
      <c r="W373" s="32" t="n">
        <f>115999463</f>
        <v>1.15999463E8</v>
      </c>
      <c r="X373" s="36" t="n">
        <f>18</f>
        <v>18.0</v>
      </c>
    </row>
    <row r="374">
      <c r="A374" s="27" t="s">
        <v>42</v>
      </c>
      <c r="B374" s="27" t="s">
        <v>1170</v>
      </c>
      <c r="C374" s="27" t="s">
        <v>1171</v>
      </c>
      <c r="D374" s="27" t="s">
        <v>1172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10225</f>
        <v>10225.0</v>
      </c>
      <c r="L374" s="34" t="s">
        <v>48</v>
      </c>
      <c r="M374" s="33" t="n">
        <f>11855</f>
        <v>11855.0</v>
      </c>
      <c r="N374" s="34" t="s">
        <v>148</v>
      </c>
      <c r="O374" s="33" t="n">
        <f>10225</f>
        <v>10225.0</v>
      </c>
      <c r="P374" s="34" t="s">
        <v>48</v>
      </c>
      <c r="Q374" s="33" t="n">
        <f>10500</f>
        <v>10500.0</v>
      </c>
      <c r="R374" s="34" t="s">
        <v>51</v>
      </c>
      <c r="S374" s="35" t="n">
        <f>10855.28</f>
        <v>10855.28</v>
      </c>
      <c r="T374" s="32" t="n">
        <f>965310</f>
        <v>965310.0</v>
      </c>
      <c r="U374" s="32" t="n">
        <f>7549</f>
        <v>7549.0</v>
      </c>
      <c r="V374" s="32" t="n">
        <f>10610576125</f>
        <v>1.0610576125E10</v>
      </c>
      <c r="W374" s="32" t="n">
        <f>81818150</f>
        <v>8.181815E7</v>
      </c>
      <c r="X374" s="36" t="n">
        <f>18</f>
        <v>18.0</v>
      </c>
    </row>
    <row r="375">
      <c r="A375" s="27" t="s">
        <v>42</v>
      </c>
      <c r="B375" s="27" t="s">
        <v>1173</v>
      </c>
      <c r="C375" s="27" t="s">
        <v>1174</v>
      </c>
      <c r="D375" s="27" t="s">
        <v>1175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2551</f>
        <v>2551.0</v>
      </c>
      <c r="L375" s="34" t="s">
        <v>48</v>
      </c>
      <c r="M375" s="33" t="n">
        <f>2565</f>
        <v>2565.0</v>
      </c>
      <c r="N375" s="34" t="s">
        <v>48</v>
      </c>
      <c r="O375" s="33" t="n">
        <f>2468</f>
        <v>2468.0</v>
      </c>
      <c r="P375" s="34" t="s">
        <v>68</v>
      </c>
      <c r="Q375" s="33" t="n">
        <f>2490</f>
        <v>2490.0</v>
      </c>
      <c r="R375" s="34" t="s">
        <v>114</v>
      </c>
      <c r="S375" s="35" t="n">
        <f>2513</f>
        <v>2513.0</v>
      </c>
      <c r="T375" s="32" t="n">
        <f>188</f>
        <v>188.0</v>
      </c>
      <c r="U375" s="32" t="str">
        <f>"－"</f>
        <v>－</v>
      </c>
      <c r="V375" s="32" t="n">
        <f>476605</f>
        <v>476605.0</v>
      </c>
      <c r="W375" s="32" t="str">
        <f>"－"</f>
        <v>－</v>
      </c>
      <c r="X375" s="36" t="n">
        <f>10</f>
        <v>10.0</v>
      </c>
    </row>
    <row r="376">
      <c r="A376" s="27" t="s">
        <v>42</v>
      </c>
      <c r="B376" s="27" t="s">
        <v>1176</v>
      </c>
      <c r="C376" s="27" t="s">
        <v>1177</v>
      </c>
      <c r="D376" s="27" t="s">
        <v>1178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10070</f>
        <v>10070.0</v>
      </c>
      <c r="L376" s="34" t="s">
        <v>48</v>
      </c>
      <c r="M376" s="33" t="n">
        <f>10475</f>
        <v>10475.0</v>
      </c>
      <c r="N376" s="34" t="s">
        <v>191</v>
      </c>
      <c r="O376" s="33" t="n">
        <f>9350</f>
        <v>9350.0</v>
      </c>
      <c r="P376" s="34" t="s">
        <v>69</v>
      </c>
      <c r="Q376" s="33" t="n">
        <f>9395</f>
        <v>9395.0</v>
      </c>
      <c r="R376" s="34" t="s">
        <v>51</v>
      </c>
      <c r="S376" s="35" t="n">
        <f>9723.29</f>
        <v>9723.29</v>
      </c>
      <c r="T376" s="32" t="n">
        <f>922</f>
        <v>922.0</v>
      </c>
      <c r="U376" s="32" t="str">
        <f>"－"</f>
        <v>－</v>
      </c>
      <c r="V376" s="32" t="n">
        <f>8913884</f>
        <v>8913884.0</v>
      </c>
      <c r="W376" s="32" t="str">
        <f>"－"</f>
        <v>－</v>
      </c>
      <c r="X376" s="36" t="n">
        <f>17</f>
        <v>17.0</v>
      </c>
    </row>
    <row r="377">
      <c r="A377" s="27" t="s">
        <v>42</v>
      </c>
      <c r="B377" s="27" t="s">
        <v>1179</v>
      </c>
      <c r="C377" s="27" t="s">
        <v>1180</v>
      </c>
      <c r="D377" s="27" t="s">
        <v>1181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123500</f>
        <v>123500.0</v>
      </c>
      <c r="L377" s="34" t="s">
        <v>48</v>
      </c>
      <c r="M377" s="33" t="n">
        <f>128000</f>
        <v>128000.0</v>
      </c>
      <c r="N377" s="34" t="s">
        <v>208</v>
      </c>
      <c r="O377" s="33" t="n">
        <f>123400</f>
        <v>123400.0</v>
      </c>
      <c r="P377" s="34" t="s">
        <v>48</v>
      </c>
      <c r="Q377" s="33" t="n">
        <f>126800</f>
        <v>126800.0</v>
      </c>
      <c r="R377" s="34" t="s">
        <v>51</v>
      </c>
      <c r="S377" s="35" t="n">
        <f>125672.22</f>
        <v>125672.22</v>
      </c>
      <c r="T377" s="32" t="n">
        <f>10566</f>
        <v>10566.0</v>
      </c>
      <c r="U377" s="32" t="n">
        <f>1626</f>
        <v>1626.0</v>
      </c>
      <c r="V377" s="32" t="n">
        <f>1328770893</f>
        <v>1.328770893E9</v>
      </c>
      <c r="W377" s="32" t="n">
        <f>204641893</f>
        <v>2.04641893E8</v>
      </c>
      <c r="X377" s="36" t="n">
        <f>18</f>
        <v>18.0</v>
      </c>
    </row>
    <row r="378">
      <c r="A378" s="27" t="s">
        <v>42</v>
      </c>
      <c r="B378" s="27" t="s">
        <v>1182</v>
      </c>
      <c r="C378" s="27" t="s">
        <v>1183</v>
      </c>
      <c r="D378" s="27" t="s">
        <v>1184</v>
      </c>
      <c r="E378" s="28" t="s">
        <v>46</v>
      </c>
      <c r="F378" s="29" t="s">
        <v>46</v>
      </c>
      <c r="G378" s="30" t="s">
        <v>46</v>
      </c>
      <c r="H378" s="31"/>
      <c r="I378" s="31" t="s">
        <v>414</v>
      </c>
      <c r="J378" s="32" t="n">
        <v>1.0</v>
      </c>
      <c r="K378" s="33" t="n">
        <f>98800</f>
        <v>98800.0</v>
      </c>
      <c r="L378" s="34" t="s">
        <v>48</v>
      </c>
      <c r="M378" s="33" t="n">
        <f>103700</f>
        <v>103700.0</v>
      </c>
      <c r="N378" s="34" t="s">
        <v>69</v>
      </c>
      <c r="O378" s="33" t="n">
        <f>97800</f>
        <v>97800.0</v>
      </c>
      <c r="P378" s="34" t="s">
        <v>50</v>
      </c>
      <c r="Q378" s="33" t="n">
        <f>102500</f>
        <v>102500.0</v>
      </c>
      <c r="R378" s="34" t="s">
        <v>51</v>
      </c>
      <c r="S378" s="35" t="n">
        <f>101233.33</f>
        <v>101233.33</v>
      </c>
      <c r="T378" s="32" t="n">
        <f>23741</f>
        <v>23741.0</v>
      </c>
      <c r="U378" s="32" t="n">
        <f>4115</f>
        <v>4115.0</v>
      </c>
      <c r="V378" s="32" t="n">
        <f>2399153351</f>
        <v>2.399153351E9</v>
      </c>
      <c r="W378" s="32" t="n">
        <f>414885651</f>
        <v>4.14885651E8</v>
      </c>
      <c r="X378" s="36" t="n">
        <f>18</f>
        <v>18.0</v>
      </c>
    </row>
    <row r="379">
      <c r="A379" s="27" t="s">
        <v>42</v>
      </c>
      <c r="B379" s="27" t="s">
        <v>1185</v>
      </c>
      <c r="C379" s="27" t="s">
        <v>1186</v>
      </c>
      <c r="D379" s="27" t="s">
        <v>1187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1.0</v>
      </c>
      <c r="K379" s="33" t="n">
        <f>124300</f>
        <v>124300.0</v>
      </c>
      <c r="L379" s="34" t="s">
        <v>48</v>
      </c>
      <c r="M379" s="33" t="n">
        <f>128400</f>
        <v>128400.0</v>
      </c>
      <c r="N379" s="34" t="s">
        <v>201</v>
      </c>
      <c r="O379" s="33" t="n">
        <f>122000</f>
        <v>122000.0</v>
      </c>
      <c r="P379" s="34" t="s">
        <v>73</v>
      </c>
      <c r="Q379" s="33" t="n">
        <f>123400</f>
        <v>123400.0</v>
      </c>
      <c r="R379" s="34" t="s">
        <v>51</v>
      </c>
      <c r="S379" s="35" t="n">
        <f>125172.22</f>
        <v>125172.22</v>
      </c>
      <c r="T379" s="32" t="n">
        <f>60189</f>
        <v>60189.0</v>
      </c>
      <c r="U379" s="32" t="n">
        <f>11042</f>
        <v>11042.0</v>
      </c>
      <c r="V379" s="32" t="n">
        <f>7528398321</f>
        <v>7.528398321E9</v>
      </c>
      <c r="W379" s="32" t="n">
        <f>1378183821</f>
        <v>1.378183821E9</v>
      </c>
      <c r="X379" s="36" t="n">
        <f>18</f>
        <v>18.0</v>
      </c>
    </row>
    <row r="380">
      <c r="A380" s="27" t="s">
        <v>42</v>
      </c>
      <c r="B380" s="27" t="s">
        <v>1188</v>
      </c>
      <c r="C380" s="27" t="s">
        <v>1189</v>
      </c>
      <c r="D380" s="27" t="s">
        <v>1190</v>
      </c>
      <c r="E380" s="28" t="s">
        <v>46</v>
      </c>
      <c r="F380" s="29" t="s">
        <v>46</v>
      </c>
      <c r="G380" s="30" t="s">
        <v>46</v>
      </c>
      <c r="H380" s="31"/>
      <c r="I380" s="31" t="s">
        <v>414</v>
      </c>
      <c r="J380" s="32" t="n">
        <v>1.0</v>
      </c>
      <c r="K380" s="33" t="n">
        <f>113600</f>
        <v>113600.0</v>
      </c>
      <c r="L380" s="34" t="s">
        <v>48</v>
      </c>
      <c r="M380" s="33" t="n">
        <f>118200</f>
        <v>118200.0</v>
      </c>
      <c r="N380" s="34" t="s">
        <v>302</v>
      </c>
      <c r="O380" s="33" t="n">
        <f>113100</f>
        <v>113100.0</v>
      </c>
      <c r="P380" s="34" t="s">
        <v>48</v>
      </c>
      <c r="Q380" s="33" t="n">
        <f>116900</f>
        <v>116900.0</v>
      </c>
      <c r="R380" s="34" t="s">
        <v>51</v>
      </c>
      <c r="S380" s="35" t="n">
        <f>116338.89</f>
        <v>116338.89</v>
      </c>
      <c r="T380" s="32" t="n">
        <f>16448</f>
        <v>16448.0</v>
      </c>
      <c r="U380" s="32" t="n">
        <f>1983</f>
        <v>1983.0</v>
      </c>
      <c r="V380" s="32" t="n">
        <f>1911650274</f>
        <v>1.911650274E9</v>
      </c>
      <c r="W380" s="32" t="n">
        <f>230055574</f>
        <v>2.30055574E8</v>
      </c>
      <c r="X380" s="36" t="n">
        <f>18</f>
        <v>18.0</v>
      </c>
    </row>
    <row r="381">
      <c r="A381" s="27" t="s">
        <v>42</v>
      </c>
      <c r="B381" s="27" t="s">
        <v>1191</v>
      </c>
      <c r="C381" s="27" t="s">
        <v>1192</v>
      </c>
      <c r="D381" s="27" t="s">
        <v>1193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10.0</v>
      </c>
      <c r="K381" s="33" t="n">
        <f>241</f>
        <v>241.0</v>
      </c>
      <c r="L381" s="34" t="s">
        <v>48</v>
      </c>
      <c r="M381" s="33" t="n">
        <f>243</f>
        <v>243.0</v>
      </c>
      <c r="N381" s="34" t="s">
        <v>61</v>
      </c>
      <c r="O381" s="33" t="n">
        <f>231.9</f>
        <v>231.9</v>
      </c>
      <c r="P381" s="34" t="s">
        <v>73</v>
      </c>
      <c r="Q381" s="33" t="n">
        <f>241.7</f>
        <v>241.7</v>
      </c>
      <c r="R381" s="34" t="s">
        <v>51</v>
      </c>
      <c r="S381" s="35" t="n">
        <f>237.89</f>
        <v>237.89</v>
      </c>
      <c r="T381" s="32" t="n">
        <f>11245310</f>
        <v>1.124531E7</v>
      </c>
      <c r="U381" s="32" t="str">
        <f>"－"</f>
        <v>－</v>
      </c>
      <c r="V381" s="32" t="n">
        <f>2678403830</f>
        <v>2.67840383E9</v>
      </c>
      <c r="W381" s="32" t="str">
        <f>"－"</f>
        <v>－</v>
      </c>
      <c r="X381" s="36" t="n">
        <f>18</f>
        <v>18.0</v>
      </c>
    </row>
    <row r="382">
      <c r="A382" s="27" t="s">
        <v>42</v>
      </c>
      <c r="B382" s="27" t="s">
        <v>1194</v>
      </c>
      <c r="C382" s="27" t="s">
        <v>1195</v>
      </c>
      <c r="D382" s="27" t="s">
        <v>1196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10.0</v>
      </c>
      <c r="K382" s="33" t="n">
        <f>292.6</f>
        <v>292.6</v>
      </c>
      <c r="L382" s="34" t="s">
        <v>48</v>
      </c>
      <c r="M382" s="33" t="n">
        <f>311</f>
        <v>311.0</v>
      </c>
      <c r="N382" s="34" t="s">
        <v>51</v>
      </c>
      <c r="O382" s="33" t="n">
        <f>285.7</f>
        <v>285.7</v>
      </c>
      <c r="P382" s="34" t="s">
        <v>50</v>
      </c>
      <c r="Q382" s="33" t="n">
        <f>310.5</f>
        <v>310.5</v>
      </c>
      <c r="R382" s="34" t="s">
        <v>51</v>
      </c>
      <c r="S382" s="35" t="n">
        <f>300.6</f>
        <v>300.6</v>
      </c>
      <c r="T382" s="32" t="n">
        <f>123622950</f>
        <v>1.2362295E8</v>
      </c>
      <c r="U382" s="32" t="n">
        <f>3848960</f>
        <v>3848960.0</v>
      </c>
      <c r="V382" s="32" t="n">
        <f>36980849985</f>
        <v>3.6980849985E10</v>
      </c>
      <c r="W382" s="32" t="n">
        <f>1145743389</f>
        <v>1.145743389E9</v>
      </c>
      <c r="X382" s="36" t="n">
        <f>18</f>
        <v>18.0</v>
      </c>
    </row>
    <row r="383">
      <c r="A383" s="27" t="s">
        <v>42</v>
      </c>
      <c r="B383" s="27" t="s">
        <v>1197</v>
      </c>
      <c r="C383" s="27" t="s">
        <v>1198</v>
      </c>
      <c r="D383" s="27" t="s">
        <v>1199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1.0</v>
      </c>
      <c r="K383" s="33" t="n">
        <f>1188</f>
        <v>1188.0</v>
      </c>
      <c r="L383" s="34" t="s">
        <v>48</v>
      </c>
      <c r="M383" s="33" t="n">
        <f>1300</f>
        <v>1300.0</v>
      </c>
      <c r="N383" s="34" t="s">
        <v>69</v>
      </c>
      <c r="O383" s="33" t="n">
        <f>1141</f>
        <v>1141.0</v>
      </c>
      <c r="P383" s="34" t="s">
        <v>50</v>
      </c>
      <c r="Q383" s="33" t="n">
        <f>1286</f>
        <v>1286.0</v>
      </c>
      <c r="R383" s="34" t="s">
        <v>51</v>
      </c>
      <c r="S383" s="35" t="n">
        <f>1223.94</f>
        <v>1223.94</v>
      </c>
      <c r="T383" s="32" t="n">
        <f>2544704</f>
        <v>2544704.0</v>
      </c>
      <c r="U383" s="32" t="n">
        <f>1210751</f>
        <v>1210751.0</v>
      </c>
      <c r="V383" s="32" t="n">
        <f>3093309249</f>
        <v>3.093309249E9</v>
      </c>
      <c r="W383" s="32" t="n">
        <f>1477114989</f>
        <v>1.477114989E9</v>
      </c>
      <c r="X383" s="36" t="n">
        <f>18</f>
        <v>18.0</v>
      </c>
    </row>
    <row r="384">
      <c r="A384" s="27" t="s">
        <v>42</v>
      </c>
      <c r="B384" s="27" t="s">
        <v>1200</v>
      </c>
      <c r="C384" s="27" t="s">
        <v>1201</v>
      </c>
      <c r="D384" s="27" t="s">
        <v>1202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2422</f>
        <v>2422.0</v>
      </c>
      <c r="L384" s="34" t="s">
        <v>48</v>
      </c>
      <c r="M384" s="33" t="n">
        <f>2427</f>
        <v>2427.0</v>
      </c>
      <c r="N384" s="34" t="s">
        <v>48</v>
      </c>
      <c r="O384" s="33" t="n">
        <f>2284</f>
        <v>2284.0</v>
      </c>
      <c r="P384" s="34" t="s">
        <v>73</v>
      </c>
      <c r="Q384" s="33" t="n">
        <f>2398</f>
        <v>2398.0</v>
      </c>
      <c r="R384" s="34" t="s">
        <v>51</v>
      </c>
      <c r="S384" s="35" t="n">
        <f>2368.22</f>
        <v>2368.22</v>
      </c>
      <c r="T384" s="32" t="n">
        <f>11919749</f>
        <v>1.1919749E7</v>
      </c>
      <c r="U384" s="32" t="n">
        <f>116929</f>
        <v>116929.0</v>
      </c>
      <c r="V384" s="32" t="n">
        <f>28152078049</f>
        <v>2.8152078049E10</v>
      </c>
      <c r="W384" s="32" t="n">
        <f>278874848</f>
        <v>2.78874848E8</v>
      </c>
      <c r="X384" s="36" t="n">
        <f>18</f>
        <v>18.0</v>
      </c>
    </row>
    <row r="385">
      <c r="A385" s="27" t="s">
        <v>42</v>
      </c>
      <c r="B385" s="27" t="s">
        <v>1203</v>
      </c>
      <c r="C385" s="27" t="s">
        <v>1204</v>
      </c>
      <c r="D385" s="27" t="s">
        <v>1205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10.0</v>
      </c>
      <c r="K385" s="33" t="n">
        <f>668</f>
        <v>668.0</v>
      </c>
      <c r="L385" s="34" t="s">
        <v>48</v>
      </c>
      <c r="M385" s="33" t="n">
        <f>797.5</f>
        <v>797.5</v>
      </c>
      <c r="N385" s="34" t="s">
        <v>148</v>
      </c>
      <c r="O385" s="33" t="n">
        <f>647.8</f>
        <v>647.8</v>
      </c>
      <c r="P385" s="34" t="s">
        <v>201</v>
      </c>
      <c r="Q385" s="33" t="n">
        <f>662</f>
        <v>662.0</v>
      </c>
      <c r="R385" s="34" t="s">
        <v>51</v>
      </c>
      <c r="S385" s="35" t="n">
        <f>693.57</f>
        <v>693.57</v>
      </c>
      <c r="T385" s="32" t="n">
        <f>32614630</f>
        <v>3.261463E7</v>
      </c>
      <c r="U385" s="32" t="n">
        <f>25340</f>
        <v>25340.0</v>
      </c>
      <c r="V385" s="32" t="n">
        <f>22981232188</f>
        <v>2.2981232188E10</v>
      </c>
      <c r="W385" s="32" t="n">
        <f>17391745</f>
        <v>1.7391745E7</v>
      </c>
      <c r="X385" s="36" t="n">
        <f>18</f>
        <v>18.0</v>
      </c>
    </row>
    <row r="386">
      <c r="A386" s="27" t="s">
        <v>42</v>
      </c>
      <c r="B386" s="27" t="s">
        <v>1206</v>
      </c>
      <c r="C386" s="27" t="s">
        <v>1207</v>
      </c>
      <c r="D386" s="27" t="s">
        <v>1208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129800</f>
        <v>129800.0</v>
      </c>
      <c r="L386" s="34" t="s">
        <v>48</v>
      </c>
      <c r="M386" s="33" t="n">
        <f>135900</f>
        <v>135900.0</v>
      </c>
      <c r="N386" s="34" t="s">
        <v>69</v>
      </c>
      <c r="O386" s="33" t="n">
        <f>129200</f>
        <v>129200.0</v>
      </c>
      <c r="P386" s="34" t="s">
        <v>50</v>
      </c>
      <c r="Q386" s="33" t="n">
        <f>132900</f>
        <v>132900.0</v>
      </c>
      <c r="R386" s="34" t="s">
        <v>51</v>
      </c>
      <c r="S386" s="35" t="n">
        <f>132405.56</f>
        <v>132405.56</v>
      </c>
      <c r="T386" s="32" t="n">
        <f>107289</f>
        <v>107289.0</v>
      </c>
      <c r="U386" s="32" t="n">
        <f>29819</f>
        <v>29819.0</v>
      </c>
      <c r="V386" s="32" t="n">
        <f>14179229473</f>
        <v>1.4179229473E10</v>
      </c>
      <c r="W386" s="32" t="n">
        <f>3938288573</f>
        <v>3.938288573E9</v>
      </c>
      <c r="X386" s="36" t="n">
        <f>18</f>
        <v>18.0</v>
      </c>
    </row>
    <row r="387">
      <c r="A387" s="27" t="s">
        <v>42</v>
      </c>
      <c r="B387" s="27" t="s">
        <v>1209</v>
      </c>
      <c r="C387" s="27" t="s">
        <v>1210</v>
      </c>
      <c r="D387" s="27" t="s">
        <v>1211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146700</f>
        <v>146700.0</v>
      </c>
      <c r="L387" s="34" t="s">
        <v>48</v>
      </c>
      <c r="M387" s="33" t="n">
        <f>151800</f>
        <v>151800.0</v>
      </c>
      <c r="N387" s="34" t="s">
        <v>69</v>
      </c>
      <c r="O387" s="33" t="n">
        <f>146000</f>
        <v>146000.0</v>
      </c>
      <c r="P387" s="34" t="s">
        <v>50</v>
      </c>
      <c r="Q387" s="33" t="n">
        <f>150100</f>
        <v>150100.0</v>
      </c>
      <c r="R387" s="34" t="s">
        <v>51</v>
      </c>
      <c r="S387" s="35" t="n">
        <f>148900</f>
        <v>148900.0</v>
      </c>
      <c r="T387" s="32" t="n">
        <f>76971</f>
        <v>76971.0</v>
      </c>
      <c r="U387" s="32" t="n">
        <f>18808</f>
        <v>18808.0</v>
      </c>
      <c r="V387" s="32" t="n">
        <f>11448355311</f>
        <v>1.1448355311E10</v>
      </c>
      <c r="W387" s="32" t="n">
        <f>2789963911</f>
        <v>2.789963911E9</v>
      </c>
      <c r="X387" s="36" t="n">
        <f>18</f>
        <v>18.0</v>
      </c>
    </row>
    <row r="388">
      <c r="A388" s="27" t="s">
        <v>42</v>
      </c>
      <c r="B388" s="27" t="s">
        <v>1212</v>
      </c>
      <c r="C388" s="27" t="s">
        <v>1213</v>
      </c>
      <c r="D388" s="27" t="s">
        <v>1214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144600</f>
        <v>144600.0</v>
      </c>
      <c r="L388" s="34" t="s">
        <v>48</v>
      </c>
      <c r="M388" s="33" t="n">
        <f>151700</f>
        <v>151700.0</v>
      </c>
      <c r="N388" s="34" t="s">
        <v>51</v>
      </c>
      <c r="O388" s="33" t="n">
        <f>143400</f>
        <v>143400.0</v>
      </c>
      <c r="P388" s="34" t="s">
        <v>48</v>
      </c>
      <c r="Q388" s="33" t="n">
        <f>150900</f>
        <v>150900.0</v>
      </c>
      <c r="R388" s="34" t="s">
        <v>51</v>
      </c>
      <c r="S388" s="35" t="n">
        <f>148488.89</f>
        <v>148488.89</v>
      </c>
      <c r="T388" s="32" t="n">
        <f>178224</f>
        <v>178224.0</v>
      </c>
      <c r="U388" s="32" t="n">
        <f>44279</f>
        <v>44279.0</v>
      </c>
      <c r="V388" s="32" t="n">
        <f>26423312468</f>
        <v>2.6423312468E10</v>
      </c>
      <c r="W388" s="32" t="n">
        <f>6550528268</f>
        <v>6.550528268E9</v>
      </c>
      <c r="X388" s="36" t="n">
        <f>18</f>
        <v>18.0</v>
      </c>
    </row>
    <row r="389">
      <c r="A389" s="27" t="s">
        <v>42</v>
      </c>
      <c r="B389" s="27" t="s">
        <v>1215</v>
      </c>
      <c r="C389" s="27" t="s">
        <v>1216</v>
      </c>
      <c r="D389" s="27" t="s">
        <v>1217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167300</f>
        <v>167300.0</v>
      </c>
      <c r="L389" s="34" t="s">
        <v>48</v>
      </c>
      <c r="M389" s="33" t="n">
        <f>175300</f>
        <v>175300.0</v>
      </c>
      <c r="N389" s="34" t="s">
        <v>69</v>
      </c>
      <c r="O389" s="33" t="n">
        <f>166100</f>
        <v>166100.0</v>
      </c>
      <c r="P389" s="34" t="s">
        <v>50</v>
      </c>
      <c r="Q389" s="33" t="n">
        <f>171100</f>
        <v>171100.0</v>
      </c>
      <c r="R389" s="34" t="s">
        <v>51</v>
      </c>
      <c r="S389" s="35" t="n">
        <f>169222.22</f>
        <v>169222.22</v>
      </c>
      <c r="T389" s="32" t="n">
        <f>116744</f>
        <v>116744.0</v>
      </c>
      <c r="U389" s="32" t="n">
        <f>26215</f>
        <v>26215.0</v>
      </c>
      <c r="V389" s="32" t="n">
        <f>19785377200</f>
        <v>1.97853772E10</v>
      </c>
      <c r="W389" s="32" t="n">
        <f>4438395500</f>
        <v>4.4383955E9</v>
      </c>
      <c r="X389" s="36" t="n">
        <f>18</f>
        <v>18.0</v>
      </c>
    </row>
    <row r="390">
      <c r="A390" s="27" t="s">
        <v>42</v>
      </c>
      <c r="B390" s="27" t="s">
        <v>1218</v>
      </c>
      <c r="C390" s="27" t="s">
        <v>1219</v>
      </c>
      <c r="D390" s="27" t="s">
        <v>1220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141500</f>
        <v>141500.0</v>
      </c>
      <c r="L390" s="34" t="s">
        <v>48</v>
      </c>
      <c r="M390" s="33" t="n">
        <f>145900</f>
        <v>145900.0</v>
      </c>
      <c r="N390" s="34" t="s">
        <v>208</v>
      </c>
      <c r="O390" s="33" t="n">
        <f>140600</f>
        <v>140600.0</v>
      </c>
      <c r="P390" s="34" t="s">
        <v>48</v>
      </c>
      <c r="Q390" s="33" t="n">
        <f>143400</f>
        <v>143400.0</v>
      </c>
      <c r="R390" s="34" t="s">
        <v>51</v>
      </c>
      <c r="S390" s="35" t="n">
        <f>143511.11</f>
        <v>143511.11</v>
      </c>
      <c r="T390" s="32" t="n">
        <f>155948</f>
        <v>155948.0</v>
      </c>
      <c r="U390" s="32" t="n">
        <f>42946</f>
        <v>42946.0</v>
      </c>
      <c r="V390" s="32" t="n">
        <f>22377250022</f>
        <v>2.2377250022E10</v>
      </c>
      <c r="W390" s="32" t="n">
        <f>6153745222</f>
        <v>6.153745222E9</v>
      </c>
      <c r="X390" s="36" t="n">
        <f>18</f>
        <v>18.0</v>
      </c>
    </row>
    <row r="391">
      <c r="A391" s="27" t="s">
        <v>42</v>
      </c>
      <c r="B391" s="27" t="s">
        <v>1221</v>
      </c>
      <c r="C391" s="27" t="s">
        <v>1222</v>
      </c>
      <c r="D391" s="27" t="s">
        <v>1223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139500</f>
        <v>139500.0</v>
      </c>
      <c r="L391" s="34" t="s">
        <v>48</v>
      </c>
      <c r="M391" s="33" t="n">
        <f>149100</f>
        <v>149100.0</v>
      </c>
      <c r="N391" s="34" t="s">
        <v>69</v>
      </c>
      <c r="O391" s="33" t="n">
        <f>137800</f>
        <v>137800.0</v>
      </c>
      <c r="P391" s="34" t="s">
        <v>50</v>
      </c>
      <c r="Q391" s="33" t="n">
        <f>148000</f>
        <v>148000.0</v>
      </c>
      <c r="R391" s="34" t="s">
        <v>51</v>
      </c>
      <c r="S391" s="35" t="n">
        <f>144283.33</f>
        <v>144283.33</v>
      </c>
      <c r="T391" s="32" t="n">
        <f>262311</f>
        <v>262311.0</v>
      </c>
      <c r="U391" s="32" t="n">
        <f>73593</f>
        <v>73593.0</v>
      </c>
      <c r="V391" s="32" t="n">
        <f>37697121138</f>
        <v>3.7697121138E10</v>
      </c>
      <c r="W391" s="32" t="n">
        <f>10525869638</f>
        <v>1.0525869638E10</v>
      </c>
      <c r="X391" s="36" t="n">
        <f>18</f>
        <v>18.0</v>
      </c>
    </row>
    <row r="392">
      <c r="A392" s="27" t="s">
        <v>42</v>
      </c>
      <c r="B392" s="27" t="s">
        <v>1224</v>
      </c>
      <c r="C392" s="27" t="s">
        <v>1225</v>
      </c>
      <c r="D392" s="27" t="s">
        <v>1226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325500</f>
        <v>325500.0</v>
      </c>
      <c r="L392" s="34" t="s">
        <v>48</v>
      </c>
      <c r="M392" s="33" t="n">
        <f>339500</f>
        <v>339500.0</v>
      </c>
      <c r="N392" s="34" t="s">
        <v>69</v>
      </c>
      <c r="O392" s="33" t="n">
        <f>324000</f>
        <v>324000.0</v>
      </c>
      <c r="P392" s="34" t="s">
        <v>48</v>
      </c>
      <c r="Q392" s="33" t="n">
        <f>331000</f>
        <v>331000.0</v>
      </c>
      <c r="R392" s="34" t="s">
        <v>51</v>
      </c>
      <c r="S392" s="35" t="n">
        <f>330583.33</f>
        <v>330583.33</v>
      </c>
      <c r="T392" s="32" t="n">
        <f>34608</f>
        <v>34608.0</v>
      </c>
      <c r="U392" s="32" t="n">
        <f>10880</f>
        <v>10880.0</v>
      </c>
      <c r="V392" s="32" t="n">
        <f>11431708830</f>
        <v>1.143170883E10</v>
      </c>
      <c r="W392" s="32" t="n">
        <f>3591998830</f>
        <v>3.59199883E9</v>
      </c>
      <c r="X392" s="36" t="n">
        <f>18</f>
        <v>18.0</v>
      </c>
    </row>
    <row r="393">
      <c r="A393" s="27" t="s">
        <v>42</v>
      </c>
      <c r="B393" s="27" t="s">
        <v>1227</v>
      </c>
      <c r="C393" s="27" t="s">
        <v>1228</v>
      </c>
      <c r="D393" s="27" t="s">
        <v>1229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89700</f>
        <v>89700.0</v>
      </c>
      <c r="L393" s="34" t="s">
        <v>48</v>
      </c>
      <c r="M393" s="33" t="n">
        <f>96300</f>
        <v>96300.0</v>
      </c>
      <c r="N393" s="34" t="s">
        <v>208</v>
      </c>
      <c r="O393" s="33" t="n">
        <f>89300</f>
        <v>89300.0</v>
      </c>
      <c r="P393" s="34" t="s">
        <v>48</v>
      </c>
      <c r="Q393" s="33" t="n">
        <f>94100</f>
        <v>94100.0</v>
      </c>
      <c r="R393" s="34" t="s">
        <v>51</v>
      </c>
      <c r="S393" s="35" t="n">
        <f>93205.56</f>
        <v>93205.56</v>
      </c>
      <c r="T393" s="32" t="n">
        <f>432713</f>
        <v>432713.0</v>
      </c>
      <c r="U393" s="32" t="n">
        <f>127114</f>
        <v>127114.0</v>
      </c>
      <c r="V393" s="32" t="n">
        <f>40334713381</f>
        <v>4.0334713381E10</v>
      </c>
      <c r="W393" s="32" t="n">
        <f>11820054281</f>
        <v>1.1820054281E10</v>
      </c>
      <c r="X393" s="36" t="n">
        <f>18</f>
        <v>18.0</v>
      </c>
    </row>
    <row r="394">
      <c r="A394" s="27" t="s">
        <v>42</v>
      </c>
      <c r="B394" s="27" t="s">
        <v>1230</v>
      </c>
      <c r="C394" s="27" t="s">
        <v>1231</v>
      </c>
      <c r="D394" s="27" t="s">
        <v>1232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256900</f>
        <v>256900.0</v>
      </c>
      <c r="L394" s="34" t="s">
        <v>48</v>
      </c>
      <c r="M394" s="33" t="n">
        <f>267500</f>
        <v>267500.0</v>
      </c>
      <c r="N394" s="34" t="s">
        <v>302</v>
      </c>
      <c r="O394" s="33" t="n">
        <f>247900</f>
        <v>247900.0</v>
      </c>
      <c r="P394" s="34" t="s">
        <v>148</v>
      </c>
      <c r="Q394" s="33" t="n">
        <f>253300</f>
        <v>253300.0</v>
      </c>
      <c r="R394" s="34" t="s">
        <v>51</v>
      </c>
      <c r="S394" s="35" t="n">
        <f>257850</f>
        <v>257850.0</v>
      </c>
      <c r="T394" s="32" t="n">
        <f>39249</f>
        <v>39249.0</v>
      </c>
      <c r="U394" s="32" t="n">
        <f>8890</f>
        <v>8890.0</v>
      </c>
      <c r="V394" s="32" t="n">
        <f>10105478653</f>
        <v>1.0105478653E10</v>
      </c>
      <c r="W394" s="32" t="n">
        <f>2290632853</f>
        <v>2.290632853E9</v>
      </c>
      <c r="X394" s="36" t="n">
        <f>18</f>
        <v>18.0</v>
      </c>
    </row>
    <row r="395">
      <c r="A395" s="27" t="s">
        <v>42</v>
      </c>
      <c r="B395" s="27" t="s">
        <v>1233</v>
      </c>
      <c r="C395" s="27" t="s">
        <v>1234</v>
      </c>
      <c r="D395" s="27" t="s">
        <v>1235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1232</f>
        <v>1232.0</v>
      </c>
      <c r="L395" s="34" t="s">
        <v>48</v>
      </c>
      <c r="M395" s="33" t="n">
        <f>1314</f>
        <v>1314.0</v>
      </c>
      <c r="N395" s="34" t="s">
        <v>69</v>
      </c>
      <c r="O395" s="33" t="n">
        <f>1194</f>
        <v>1194.0</v>
      </c>
      <c r="P395" s="34" t="s">
        <v>50</v>
      </c>
      <c r="Q395" s="33" t="n">
        <f>1302</f>
        <v>1302.0</v>
      </c>
      <c r="R395" s="34" t="s">
        <v>51</v>
      </c>
      <c r="S395" s="35" t="n">
        <f>1263.06</f>
        <v>1263.06</v>
      </c>
      <c r="T395" s="32" t="n">
        <f>10673</f>
        <v>10673.0</v>
      </c>
      <c r="U395" s="32" t="str">
        <f>"－"</f>
        <v>－</v>
      </c>
      <c r="V395" s="32" t="n">
        <f>13480920</f>
        <v>1.348092E7</v>
      </c>
      <c r="W395" s="32" t="str">
        <f>"－"</f>
        <v>－</v>
      </c>
      <c r="X395" s="36" t="n">
        <f>18</f>
        <v>18.0</v>
      </c>
    </row>
    <row r="396">
      <c r="A396" s="27" t="s">
        <v>42</v>
      </c>
      <c r="B396" s="27" t="s">
        <v>1236</v>
      </c>
      <c r="C396" s="27" t="s">
        <v>1237</v>
      </c>
      <c r="D396" s="27" t="s">
        <v>1238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89400</f>
        <v>89400.0</v>
      </c>
      <c r="L396" s="34" t="s">
        <v>48</v>
      </c>
      <c r="M396" s="33" t="n">
        <f>92500</f>
        <v>92500.0</v>
      </c>
      <c r="N396" s="34" t="s">
        <v>69</v>
      </c>
      <c r="O396" s="33" t="n">
        <f>88800</f>
        <v>88800.0</v>
      </c>
      <c r="P396" s="34" t="s">
        <v>50</v>
      </c>
      <c r="Q396" s="33" t="n">
        <f>91500</f>
        <v>91500.0</v>
      </c>
      <c r="R396" s="34" t="s">
        <v>51</v>
      </c>
      <c r="S396" s="35" t="n">
        <f>90911.11</f>
        <v>90911.11</v>
      </c>
      <c r="T396" s="32" t="n">
        <f>42052</f>
        <v>42052.0</v>
      </c>
      <c r="U396" s="32" t="n">
        <f>13901</f>
        <v>13901.0</v>
      </c>
      <c r="V396" s="32" t="n">
        <f>3817199209</f>
        <v>3.817199209E9</v>
      </c>
      <c r="W396" s="32" t="n">
        <f>1260486009</f>
        <v>1.260486009E9</v>
      </c>
      <c r="X396" s="36" t="n">
        <f>18</f>
        <v>18.0</v>
      </c>
    </row>
    <row r="397">
      <c r="A397" s="27" t="s">
        <v>42</v>
      </c>
      <c r="B397" s="27" t="s">
        <v>1239</v>
      </c>
      <c r="C397" s="27" t="s">
        <v>1240</v>
      </c>
      <c r="D397" s="27" t="s">
        <v>1241</v>
      </c>
      <c r="E397" s="28" t="s">
        <v>46</v>
      </c>
      <c r="F397" s="29" t="s">
        <v>46</v>
      </c>
      <c r="G397" s="30" t="s">
        <v>46</v>
      </c>
      <c r="H397" s="31"/>
      <c r="I397" s="31" t="s">
        <v>47</v>
      </c>
      <c r="J397" s="32" t="n">
        <v>1.0</v>
      </c>
      <c r="K397" s="33" t="n">
        <f>130500</f>
        <v>130500.0</v>
      </c>
      <c r="L397" s="34" t="s">
        <v>48</v>
      </c>
      <c r="M397" s="33" t="n">
        <f>137400</f>
        <v>137400.0</v>
      </c>
      <c r="N397" s="34" t="s">
        <v>69</v>
      </c>
      <c r="O397" s="33" t="n">
        <f>129800</f>
        <v>129800.0</v>
      </c>
      <c r="P397" s="34" t="s">
        <v>50</v>
      </c>
      <c r="Q397" s="33" t="n">
        <f>135900</f>
        <v>135900.0</v>
      </c>
      <c r="R397" s="34" t="s">
        <v>51</v>
      </c>
      <c r="S397" s="35" t="n">
        <f>133594.44</f>
        <v>133594.44</v>
      </c>
      <c r="T397" s="32" t="n">
        <f>97934</f>
        <v>97934.0</v>
      </c>
      <c r="U397" s="32" t="n">
        <f>24336</f>
        <v>24336.0</v>
      </c>
      <c r="V397" s="32" t="n">
        <f>13081698275</f>
        <v>1.3081698275E10</v>
      </c>
      <c r="W397" s="32" t="n">
        <f>3245589575</f>
        <v>3.245589575E9</v>
      </c>
      <c r="X397" s="36" t="n">
        <f>18</f>
        <v>18.0</v>
      </c>
    </row>
    <row r="398">
      <c r="A398" s="27" t="s">
        <v>42</v>
      </c>
      <c r="B398" s="27" t="s">
        <v>1242</v>
      </c>
      <c r="C398" s="27" t="s">
        <v>1243</v>
      </c>
      <c r="D398" s="27" t="s">
        <v>1244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172000</f>
        <v>172000.0</v>
      </c>
      <c r="L398" s="34" t="s">
        <v>48</v>
      </c>
      <c r="M398" s="33" t="n">
        <f>178500</f>
        <v>178500.0</v>
      </c>
      <c r="N398" s="34" t="s">
        <v>69</v>
      </c>
      <c r="O398" s="33" t="n">
        <f>168400</f>
        <v>168400.0</v>
      </c>
      <c r="P398" s="34" t="s">
        <v>50</v>
      </c>
      <c r="Q398" s="33" t="n">
        <f>177200</f>
        <v>177200.0</v>
      </c>
      <c r="R398" s="34" t="s">
        <v>51</v>
      </c>
      <c r="S398" s="35" t="n">
        <f>174150</f>
        <v>174150.0</v>
      </c>
      <c r="T398" s="32" t="n">
        <f>65649</f>
        <v>65649.0</v>
      </c>
      <c r="U398" s="32" t="n">
        <f>15239</f>
        <v>15239.0</v>
      </c>
      <c r="V398" s="32" t="n">
        <f>11421927940</f>
        <v>1.142192794E10</v>
      </c>
      <c r="W398" s="32" t="n">
        <f>2653495840</f>
        <v>2.65349584E9</v>
      </c>
      <c r="X398" s="36" t="n">
        <f>18</f>
        <v>18.0</v>
      </c>
    </row>
    <row r="399">
      <c r="A399" s="27" t="s">
        <v>42</v>
      </c>
      <c r="B399" s="27" t="s">
        <v>1245</v>
      </c>
      <c r="C399" s="27" t="s">
        <v>1246</v>
      </c>
      <c r="D399" s="27" t="s">
        <v>1247</v>
      </c>
      <c r="E399" s="28" t="s">
        <v>46</v>
      </c>
      <c r="F399" s="29" t="s">
        <v>46</v>
      </c>
      <c r="G399" s="30" t="s">
        <v>46</v>
      </c>
      <c r="H399" s="31"/>
      <c r="I399" s="31" t="s">
        <v>47</v>
      </c>
      <c r="J399" s="32" t="n">
        <v>1.0</v>
      </c>
      <c r="K399" s="33" t="n">
        <f>97700</f>
        <v>97700.0</v>
      </c>
      <c r="L399" s="34" t="s">
        <v>48</v>
      </c>
      <c r="M399" s="33" t="n">
        <f>104100</f>
        <v>104100.0</v>
      </c>
      <c r="N399" s="34" t="s">
        <v>69</v>
      </c>
      <c r="O399" s="33" t="n">
        <f>97100</f>
        <v>97100.0</v>
      </c>
      <c r="P399" s="34" t="s">
        <v>48</v>
      </c>
      <c r="Q399" s="33" t="n">
        <f>102400</f>
        <v>102400.0</v>
      </c>
      <c r="R399" s="34" t="s">
        <v>51</v>
      </c>
      <c r="S399" s="35" t="n">
        <f>100944.44</f>
        <v>100944.44</v>
      </c>
      <c r="T399" s="32" t="n">
        <f>87875</f>
        <v>87875.0</v>
      </c>
      <c r="U399" s="32" t="n">
        <f>22332</f>
        <v>22332.0</v>
      </c>
      <c r="V399" s="32" t="n">
        <f>8883866311</f>
        <v>8.883866311E9</v>
      </c>
      <c r="W399" s="32" t="n">
        <f>2262483511</f>
        <v>2.262483511E9</v>
      </c>
      <c r="X399" s="36" t="n">
        <f>18</f>
        <v>18.0</v>
      </c>
    </row>
    <row r="400">
      <c r="A400" s="27" t="s">
        <v>42</v>
      </c>
      <c r="B400" s="27" t="s">
        <v>1248</v>
      </c>
      <c r="C400" s="27" t="s">
        <v>1249</v>
      </c>
      <c r="D400" s="27" t="s">
        <v>1250</v>
      </c>
      <c r="E400" s="28" t="s">
        <v>46</v>
      </c>
      <c r="F400" s="29" t="s">
        <v>46</v>
      </c>
      <c r="G400" s="30" t="s">
        <v>46</v>
      </c>
      <c r="H400" s="31"/>
      <c r="I400" s="31" t="s">
        <v>47</v>
      </c>
      <c r="J400" s="32" t="n">
        <v>1.0</v>
      </c>
      <c r="K400" s="33" t="n">
        <f>79400</f>
        <v>79400.0</v>
      </c>
      <c r="L400" s="34" t="s">
        <v>48</v>
      </c>
      <c r="M400" s="33" t="n">
        <f>81400</f>
        <v>81400.0</v>
      </c>
      <c r="N400" s="34" t="s">
        <v>302</v>
      </c>
      <c r="O400" s="33" t="n">
        <f>79000</f>
        <v>79000.0</v>
      </c>
      <c r="P400" s="34" t="s">
        <v>48</v>
      </c>
      <c r="Q400" s="33" t="n">
        <f>79600</f>
        <v>79600.0</v>
      </c>
      <c r="R400" s="34" t="s">
        <v>51</v>
      </c>
      <c r="S400" s="35" t="n">
        <f>80305.56</f>
        <v>80305.56</v>
      </c>
      <c r="T400" s="32" t="n">
        <f>282442</f>
        <v>282442.0</v>
      </c>
      <c r="U400" s="32" t="n">
        <f>84281</f>
        <v>84281.0</v>
      </c>
      <c r="V400" s="32" t="n">
        <f>22656519652</f>
        <v>2.2656519652E10</v>
      </c>
      <c r="W400" s="32" t="n">
        <f>6755266352</f>
        <v>6.755266352E9</v>
      </c>
      <c r="X400" s="36" t="n">
        <f>18</f>
        <v>18.0</v>
      </c>
    </row>
    <row r="401">
      <c r="A401" s="27" t="s">
        <v>42</v>
      </c>
      <c r="B401" s="27" t="s">
        <v>1251</v>
      </c>
      <c r="C401" s="27" t="s">
        <v>1252</v>
      </c>
      <c r="D401" s="27" t="s">
        <v>1253</v>
      </c>
      <c r="E401" s="28" t="s">
        <v>46</v>
      </c>
      <c r="F401" s="29" t="s">
        <v>46</v>
      </c>
      <c r="G401" s="30" t="s">
        <v>46</v>
      </c>
      <c r="H401" s="31"/>
      <c r="I401" s="31" t="s">
        <v>414</v>
      </c>
      <c r="J401" s="32" t="n">
        <v>1.0</v>
      </c>
      <c r="K401" s="33" t="n">
        <f>145900</f>
        <v>145900.0</v>
      </c>
      <c r="L401" s="34" t="s">
        <v>48</v>
      </c>
      <c r="M401" s="33" t="n">
        <f>151000</f>
        <v>151000.0</v>
      </c>
      <c r="N401" s="34" t="s">
        <v>69</v>
      </c>
      <c r="O401" s="33" t="n">
        <f>145400</f>
        <v>145400.0</v>
      </c>
      <c r="P401" s="34" t="s">
        <v>50</v>
      </c>
      <c r="Q401" s="33" t="n">
        <f>148000</f>
        <v>148000.0</v>
      </c>
      <c r="R401" s="34" t="s">
        <v>51</v>
      </c>
      <c r="S401" s="35" t="n">
        <f>148816.67</f>
        <v>148816.67</v>
      </c>
      <c r="T401" s="32" t="n">
        <f>17828</f>
        <v>17828.0</v>
      </c>
      <c r="U401" s="32" t="n">
        <f>2274</f>
        <v>2274.0</v>
      </c>
      <c r="V401" s="32" t="n">
        <f>2652926126</f>
        <v>2.652926126E9</v>
      </c>
      <c r="W401" s="32" t="n">
        <f>338610826</f>
        <v>3.38610826E8</v>
      </c>
      <c r="X401" s="36" t="n">
        <f>18</f>
        <v>18.0</v>
      </c>
    </row>
    <row r="402">
      <c r="A402" s="27" t="s">
        <v>42</v>
      </c>
      <c r="B402" s="27" t="s">
        <v>1254</v>
      </c>
      <c r="C402" s="27" t="s">
        <v>1255</v>
      </c>
      <c r="D402" s="27" t="s">
        <v>1256</v>
      </c>
      <c r="E402" s="28" t="s">
        <v>46</v>
      </c>
      <c r="F402" s="29" t="s">
        <v>46</v>
      </c>
      <c r="G402" s="30" t="s">
        <v>46</v>
      </c>
      <c r="H402" s="31"/>
      <c r="I402" s="31" t="s">
        <v>47</v>
      </c>
      <c r="J402" s="32" t="n">
        <v>1.0</v>
      </c>
      <c r="K402" s="33" t="n">
        <f>115200</f>
        <v>115200.0</v>
      </c>
      <c r="L402" s="34" t="s">
        <v>48</v>
      </c>
      <c r="M402" s="33" t="n">
        <f>120800</f>
        <v>120800.0</v>
      </c>
      <c r="N402" s="34" t="s">
        <v>69</v>
      </c>
      <c r="O402" s="33" t="n">
        <f>115200</f>
        <v>115200.0</v>
      </c>
      <c r="P402" s="34" t="s">
        <v>48</v>
      </c>
      <c r="Q402" s="33" t="n">
        <f>119300</f>
        <v>119300.0</v>
      </c>
      <c r="R402" s="34" t="s">
        <v>51</v>
      </c>
      <c r="S402" s="35" t="n">
        <f>117900</f>
        <v>117900.0</v>
      </c>
      <c r="T402" s="32" t="n">
        <f>15275</f>
        <v>15275.0</v>
      </c>
      <c r="U402" s="32" t="n">
        <f>2214</f>
        <v>2214.0</v>
      </c>
      <c r="V402" s="32" t="n">
        <f>1800916194</f>
        <v>1.800916194E9</v>
      </c>
      <c r="W402" s="32" t="n">
        <f>261308894</f>
        <v>2.61308894E8</v>
      </c>
      <c r="X402" s="36" t="n">
        <f>18</f>
        <v>18.0</v>
      </c>
    </row>
    <row r="403">
      <c r="A403" s="27" t="s">
        <v>42</v>
      </c>
      <c r="B403" s="27" t="s">
        <v>1257</v>
      </c>
      <c r="C403" s="27" t="s">
        <v>1258</v>
      </c>
      <c r="D403" s="27" t="s">
        <v>1259</v>
      </c>
      <c r="E403" s="28" t="s">
        <v>46</v>
      </c>
      <c r="F403" s="29" t="s">
        <v>46</v>
      </c>
      <c r="G403" s="30" t="s">
        <v>46</v>
      </c>
      <c r="H403" s="31"/>
      <c r="I403" s="31" t="s">
        <v>47</v>
      </c>
      <c r="J403" s="32" t="n">
        <v>1.0</v>
      </c>
      <c r="K403" s="33" t="n">
        <f>113400</f>
        <v>113400.0</v>
      </c>
      <c r="L403" s="34" t="s">
        <v>48</v>
      </c>
      <c r="M403" s="33" t="n">
        <f>120000</f>
        <v>120000.0</v>
      </c>
      <c r="N403" s="34" t="s">
        <v>262</v>
      </c>
      <c r="O403" s="33" t="n">
        <f>112900</f>
        <v>112900.0</v>
      </c>
      <c r="P403" s="34" t="s">
        <v>48</v>
      </c>
      <c r="Q403" s="33" t="n">
        <f>117100</f>
        <v>117100.0</v>
      </c>
      <c r="R403" s="34" t="s">
        <v>51</v>
      </c>
      <c r="S403" s="35" t="n">
        <f>117488.89</f>
        <v>117488.89</v>
      </c>
      <c r="T403" s="32" t="n">
        <f>22982</f>
        <v>22982.0</v>
      </c>
      <c r="U403" s="32" t="n">
        <f>3584</f>
        <v>3584.0</v>
      </c>
      <c r="V403" s="32" t="n">
        <f>2691235199</f>
        <v>2.691235199E9</v>
      </c>
      <c r="W403" s="32" t="n">
        <f>419976799</f>
        <v>4.19976799E8</v>
      </c>
      <c r="X403" s="36" t="n">
        <f>18</f>
        <v>18.0</v>
      </c>
    </row>
    <row r="404">
      <c r="A404" s="27" t="s">
        <v>42</v>
      </c>
      <c r="B404" s="27" t="s">
        <v>1260</v>
      </c>
      <c r="C404" s="27" t="s">
        <v>1261</v>
      </c>
      <c r="D404" s="27" t="s">
        <v>1262</v>
      </c>
      <c r="E404" s="28" t="s">
        <v>46</v>
      </c>
      <c r="F404" s="29" t="s">
        <v>46</v>
      </c>
      <c r="G404" s="30" t="s">
        <v>46</v>
      </c>
      <c r="H404" s="31"/>
      <c r="I404" s="31" t="s">
        <v>414</v>
      </c>
      <c r="J404" s="32" t="n">
        <v>1.0</v>
      </c>
      <c r="K404" s="33" t="n">
        <f>12170</f>
        <v>12170.0</v>
      </c>
      <c r="L404" s="34" t="s">
        <v>48</v>
      </c>
      <c r="M404" s="33" t="n">
        <f>12925</f>
        <v>12925.0</v>
      </c>
      <c r="N404" s="34" t="s">
        <v>51</v>
      </c>
      <c r="O404" s="33" t="n">
        <f>11895</f>
        <v>11895.0</v>
      </c>
      <c r="P404" s="34" t="s">
        <v>50</v>
      </c>
      <c r="Q404" s="33" t="n">
        <f>12895</f>
        <v>12895.0</v>
      </c>
      <c r="R404" s="34" t="s">
        <v>51</v>
      </c>
      <c r="S404" s="35" t="n">
        <f>12385</f>
        <v>12385.0</v>
      </c>
      <c r="T404" s="32" t="n">
        <f>17906</f>
        <v>17906.0</v>
      </c>
      <c r="U404" s="32" t="str">
        <f>"－"</f>
        <v>－</v>
      </c>
      <c r="V404" s="32" t="n">
        <f>220906590</f>
        <v>2.2090659E8</v>
      </c>
      <c r="W404" s="32" t="str">
        <f>"－"</f>
        <v>－</v>
      </c>
      <c r="X404" s="36" t="n">
        <f>18</f>
        <v>18.0</v>
      </c>
    </row>
    <row r="405">
      <c r="A405" s="27" t="s">
        <v>42</v>
      </c>
      <c r="B405" s="27" t="s">
        <v>1263</v>
      </c>
      <c r="C405" s="27" t="s">
        <v>1264</v>
      </c>
      <c r="D405" s="27" t="s">
        <v>1265</v>
      </c>
      <c r="E405" s="28" t="s">
        <v>46</v>
      </c>
      <c r="F405" s="29" t="s">
        <v>46</v>
      </c>
      <c r="G405" s="30" t="s">
        <v>46</v>
      </c>
      <c r="H405" s="31"/>
      <c r="I405" s="31" t="s">
        <v>47</v>
      </c>
      <c r="J405" s="32" t="n">
        <v>1.0</v>
      </c>
      <c r="K405" s="33" t="n">
        <f>164100</f>
        <v>164100.0</v>
      </c>
      <c r="L405" s="34" t="s">
        <v>48</v>
      </c>
      <c r="M405" s="33" t="n">
        <f>174000</f>
        <v>174000.0</v>
      </c>
      <c r="N405" s="34" t="s">
        <v>69</v>
      </c>
      <c r="O405" s="33" t="n">
        <f>162300</f>
        <v>162300.0</v>
      </c>
      <c r="P405" s="34" t="s">
        <v>50</v>
      </c>
      <c r="Q405" s="33" t="n">
        <f>170400</f>
        <v>170400.0</v>
      </c>
      <c r="R405" s="34" t="s">
        <v>51</v>
      </c>
      <c r="S405" s="35" t="n">
        <f>167966.67</f>
        <v>167966.67</v>
      </c>
      <c r="T405" s="32" t="n">
        <f>172687</f>
        <v>172687.0</v>
      </c>
      <c r="U405" s="32" t="n">
        <f>43104</f>
        <v>43104.0</v>
      </c>
      <c r="V405" s="32" t="n">
        <f>29014268054</f>
        <v>2.9014268054E10</v>
      </c>
      <c r="W405" s="32" t="n">
        <f>7241737054</f>
        <v>7.241737054E9</v>
      </c>
      <c r="X405" s="36" t="n">
        <f>18</f>
        <v>18.0</v>
      </c>
    </row>
    <row r="406">
      <c r="A406" s="27" t="s">
        <v>42</v>
      </c>
      <c r="B406" s="27" t="s">
        <v>1266</v>
      </c>
      <c r="C406" s="27" t="s">
        <v>1267</v>
      </c>
      <c r="D406" s="27" t="s">
        <v>1268</v>
      </c>
      <c r="E406" s="28" t="s">
        <v>46</v>
      </c>
      <c r="F406" s="29" t="s">
        <v>46</v>
      </c>
      <c r="G406" s="30" t="s">
        <v>46</v>
      </c>
      <c r="H406" s="31"/>
      <c r="I406" s="31" t="s">
        <v>414</v>
      </c>
      <c r="J406" s="32" t="n">
        <v>1.0</v>
      </c>
      <c r="K406" s="33" t="n">
        <f>132000</f>
        <v>132000.0</v>
      </c>
      <c r="L406" s="34" t="s">
        <v>48</v>
      </c>
      <c r="M406" s="33" t="n">
        <f>136700</f>
        <v>136700.0</v>
      </c>
      <c r="N406" s="34" t="s">
        <v>302</v>
      </c>
      <c r="O406" s="33" t="n">
        <f>127700</f>
        <v>127700.0</v>
      </c>
      <c r="P406" s="34" t="s">
        <v>73</v>
      </c>
      <c r="Q406" s="33" t="n">
        <f>128200</f>
        <v>128200.0</v>
      </c>
      <c r="R406" s="34" t="s">
        <v>51</v>
      </c>
      <c r="S406" s="35" t="n">
        <f>131544.44</f>
        <v>131544.44</v>
      </c>
      <c r="T406" s="32" t="n">
        <f>24923</f>
        <v>24923.0</v>
      </c>
      <c r="U406" s="32" t="n">
        <f>2653</f>
        <v>2653.0</v>
      </c>
      <c r="V406" s="32" t="n">
        <f>3271334121</f>
        <v>3.271334121E9</v>
      </c>
      <c r="W406" s="32" t="n">
        <f>347582621</f>
        <v>3.47582621E8</v>
      </c>
      <c r="X406" s="36" t="n">
        <f>18</f>
        <v>18.0</v>
      </c>
    </row>
    <row r="407">
      <c r="A407" s="27" t="s">
        <v>42</v>
      </c>
      <c r="B407" s="27" t="s">
        <v>1269</v>
      </c>
      <c r="C407" s="27" t="s">
        <v>1270</v>
      </c>
      <c r="D407" s="27" t="s">
        <v>1271</v>
      </c>
      <c r="E407" s="28" t="s">
        <v>46</v>
      </c>
      <c r="F407" s="29" t="s">
        <v>46</v>
      </c>
      <c r="G407" s="30" t="s">
        <v>46</v>
      </c>
      <c r="H407" s="31"/>
      <c r="I407" s="31" t="s">
        <v>47</v>
      </c>
      <c r="J407" s="32" t="n">
        <v>1.0</v>
      </c>
      <c r="K407" s="33" t="n">
        <f>150000</f>
        <v>150000.0</v>
      </c>
      <c r="L407" s="34" t="s">
        <v>48</v>
      </c>
      <c r="M407" s="33" t="n">
        <f>157000</f>
        <v>157000.0</v>
      </c>
      <c r="N407" s="34" t="s">
        <v>51</v>
      </c>
      <c r="O407" s="33" t="n">
        <f>149700</f>
        <v>149700.0</v>
      </c>
      <c r="P407" s="34" t="s">
        <v>48</v>
      </c>
      <c r="Q407" s="33" t="n">
        <f>155300</f>
        <v>155300.0</v>
      </c>
      <c r="R407" s="34" t="s">
        <v>51</v>
      </c>
      <c r="S407" s="35" t="n">
        <f>153438.89</f>
        <v>153438.89</v>
      </c>
      <c r="T407" s="32" t="n">
        <f>102324</f>
        <v>102324.0</v>
      </c>
      <c r="U407" s="32" t="n">
        <f>25560</f>
        <v>25560.0</v>
      </c>
      <c r="V407" s="32" t="n">
        <f>15665236901</f>
        <v>1.5665236901E10</v>
      </c>
      <c r="W407" s="32" t="n">
        <f>3911643601</f>
        <v>3.911643601E9</v>
      </c>
      <c r="X407" s="36" t="n">
        <f>18</f>
        <v>18.0</v>
      </c>
    </row>
    <row r="408">
      <c r="A408" s="27" t="s">
        <v>42</v>
      </c>
      <c r="B408" s="27" t="s">
        <v>1272</v>
      </c>
      <c r="C408" s="27" t="s">
        <v>1273</v>
      </c>
      <c r="D408" s="27" t="s">
        <v>1274</v>
      </c>
      <c r="E408" s="28" t="s">
        <v>46</v>
      </c>
      <c r="F408" s="29" t="s">
        <v>46</v>
      </c>
      <c r="G408" s="30" t="s">
        <v>46</v>
      </c>
      <c r="H408" s="31"/>
      <c r="I408" s="31" t="s">
        <v>47</v>
      </c>
      <c r="J408" s="32" t="n">
        <v>1.0</v>
      </c>
      <c r="K408" s="33" t="n">
        <f>61500</f>
        <v>61500.0</v>
      </c>
      <c r="L408" s="34" t="s">
        <v>48</v>
      </c>
      <c r="M408" s="33" t="n">
        <f>64000</f>
        <v>64000.0</v>
      </c>
      <c r="N408" s="34" t="s">
        <v>302</v>
      </c>
      <c r="O408" s="33" t="n">
        <f>61200</f>
        <v>61200.0</v>
      </c>
      <c r="P408" s="34" t="s">
        <v>73</v>
      </c>
      <c r="Q408" s="33" t="n">
        <f>62500</f>
        <v>62500.0</v>
      </c>
      <c r="R408" s="34" t="s">
        <v>51</v>
      </c>
      <c r="S408" s="35" t="n">
        <f>62633.33</f>
        <v>62633.33</v>
      </c>
      <c r="T408" s="32" t="n">
        <f>149651</f>
        <v>149651.0</v>
      </c>
      <c r="U408" s="32" t="n">
        <f>33345</f>
        <v>33345.0</v>
      </c>
      <c r="V408" s="32" t="n">
        <f>9360270278</f>
        <v>9.360270278E9</v>
      </c>
      <c r="W408" s="32" t="n">
        <f>2088090178</f>
        <v>2.088090178E9</v>
      </c>
      <c r="X408" s="36" t="n">
        <f>18</f>
        <v>18.0</v>
      </c>
    </row>
    <row r="409">
      <c r="A409" s="27" t="s">
        <v>42</v>
      </c>
      <c r="B409" s="27" t="s">
        <v>1275</v>
      </c>
      <c r="C409" s="27" t="s">
        <v>1276</v>
      </c>
      <c r="D409" s="27" t="s">
        <v>1277</v>
      </c>
      <c r="E409" s="28" t="s">
        <v>46</v>
      </c>
      <c r="F409" s="29" t="s">
        <v>46</v>
      </c>
      <c r="G409" s="30" t="s">
        <v>46</v>
      </c>
      <c r="H409" s="31"/>
      <c r="I409" s="31" t="s">
        <v>47</v>
      </c>
      <c r="J409" s="32" t="n">
        <v>1.0</v>
      </c>
      <c r="K409" s="33" t="n">
        <f>3500</f>
        <v>3500.0</v>
      </c>
      <c r="L409" s="34" t="s">
        <v>48</v>
      </c>
      <c r="M409" s="33" t="n">
        <f>3500</f>
        <v>3500.0</v>
      </c>
      <c r="N409" s="34" t="s">
        <v>48</v>
      </c>
      <c r="O409" s="33" t="n">
        <f>3160</f>
        <v>3160.0</v>
      </c>
      <c r="P409" s="34" t="s">
        <v>73</v>
      </c>
      <c r="Q409" s="33" t="n">
        <f>3425</f>
        <v>3425.0</v>
      </c>
      <c r="R409" s="34" t="s">
        <v>51</v>
      </c>
      <c r="S409" s="35" t="n">
        <f>3338.22</f>
        <v>3338.22</v>
      </c>
      <c r="T409" s="32" t="n">
        <f>478637</f>
        <v>478637.0</v>
      </c>
      <c r="U409" s="32" t="n">
        <f>40</f>
        <v>40.0</v>
      </c>
      <c r="V409" s="32" t="n">
        <f>1584008516</f>
        <v>1.584008516E9</v>
      </c>
      <c r="W409" s="32" t="n">
        <f>131001</f>
        <v>131001.0</v>
      </c>
      <c r="X409" s="36" t="n">
        <f>18</f>
        <v>18.0</v>
      </c>
    </row>
    <row r="410">
      <c r="A410" s="27" t="s">
        <v>42</v>
      </c>
      <c r="B410" s="27" t="s">
        <v>1278</v>
      </c>
      <c r="C410" s="27" t="s">
        <v>1279</v>
      </c>
      <c r="D410" s="27" t="s">
        <v>1280</v>
      </c>
      <c r="E410" s="28" t="s">
        <v>46</v>
      </c>
      <c r="F410" s="29" t="s">
        <v>46</v>
      </c>
      <c r="G410" s="30" t="s">
        <v>46</v>
      </c>
      <c r="H410" s="31"/>
      <c r="I410" s="31" t="s">
        <v>414</v>
      </c>
      <c r="J410" s="32" t="n">
        <v>1.0</v>
      </c>
      <c r="K410" s="33" t="n">
        <f>110300</f>
        <v>110300.0</v>
      </c>
      <c r="L410" s="34" t="s">
        <v>48</v>
      </c>
      <c r="M410" s="33" t="n">
        <f>115900</f>
        <v>115900.0</v>
      </c>
      <c r="N410" s="34" t="s">
        <v>51</v>
      </c>
      <c r="O410" s="33" t="n">
        <f>109800</f>
        <v>109800.0</v>
      </c>
      <c r="P410" s="34" t="s">
        <v>48</v>
      </c>
      <c r="Q410" s="33" t="n">
        <f>114900</f>
        <v>114900.0</v>
      </c>
      <c r="R410" s="34" t="s">
        <v>51</v>
      </c>
      <c r="S410" s="35" t="n">
        <f>113100</f>
        <v>113100.0</v>
      </c>
      <c r="T410" s="32" t="n">
        <f>12939</f>
        <v>12939.0</v>
      </c>
      <c r="U410" s="32" t="n">
        <f>1621</f>
        <v>1621.0</v>
      </c>
      <c r="V410" s="32" t="n">
        <f>1464286080</f>
        <v>1.46428608E9</v>
      </c>
      <c r="W410" s="32" t="n">
        <f>183667680</f>
        <v>1.8366768E8</v>
      </c>
      <c r="X410" s="36" t="n">
        <f>18</f>
        <v>18.0</v>
      </c>
    </row>
    <row r="411">
      <c r="A411" s="27" t="s">
        <v>42</v>
      </c>
      <c r="B411" s="27" t="s">
        <v>1281</v>
      </c>
      <c r="C411" s="27" t="s">
        <v>1282</v>
      </c>
      <c r="D411" s="27" t="s">
        <v>1283</v>
      </c>
      <c r="E411" s="28" t="s">
        <v>46</v>
      </c>
      <c r="F411" s="29" t="s">
        <v>46</v>
      </c>
      <c r="G411" s="30" t="s">
        <v>46</v>
      </c>
      <c r="H411" s="31"/>
      <c r="I411" s="31" t="s">
        <v>47</v>
      </c>
      <c r="J411" s="32" t="n">
        <v>1.0</v>
      </c>
      <c r="K411" s="33" t="n">
        <f>113100</f>
        <v>113100.0</v>
      </c>
      <c r="L411" s="34" t="s">
        <v>48</v>
      </c>
      <c r="M411" s="33" t="n">
        <f>121900</f>
        <v>121900.0</v>
      </c>
      <c r="N411" s="34" t="s">
        <v>69</v>
      </c>
      <c r="O411" s="33" t="n">
        <f>111600</f>
        <v>111600.0</v>
      </c>
      <c r="P411" s="34" t="s">
        <v>48</v>
      </c>
      <c r="Q411" s="33" t="n">
        <f>120500</f>
        <v>120500.0</v>
      </c>
      <c r="R411" s="34" t="s">
        <v>51</v>
      </c>
      <c r="S411" s="35" t="n">
        <f>117077.78</f>
        <v>117077.78</v>
      </c>
      <c r="T411" s="32" t="n">
        <f>249909</f>
        <v>249909.0</v>
      </c>
      <c r="U411" s="32" t="n">
        <f>63080</f>
        <v>63080.0</v>
      </c>
      <c r="V411" s="32" t="n">
        <f>29260248584</f>
        <v>2.9260248584E10</v>
      </c>
      <c r="W411" s="32" t="n">
        <f>7389032384</f>
        <v>7.389032384E9</v>
      </c>
      <c r="X411" s="36" t="n">
        <f>18</f>
        <v>18.0</v>
      </c>
    </row>
    <row r="412">
      <c r="A412" s="27" t="s">
        <v>42</v>
      </c>
      <c r="B412" s="27" t="s">
        <v>1284</v>
      </c>
      <c r="C412" s="27" t="s">
        <v>1285</v>
      </c>
      <c r="D412" s="27" t="s">
        <v>1286</v>
      </c>
      <c r="E412" s="28" t="s">
        <v>46</v>
      </c>
      <c r="F412" s="29" t="s">
        <v>46</v>
      </c>
      <c r="G412" s="30" t="s">
        <v>46</v>
      </c>
      <c r="H412" s="31"/>
      <c r="I412" s="31" t="s">
        <v>414</v>
      </c>
      <c r="J412" s="32" t="n">
        <v>1.0</v>
      </c>
      <c r="K412" s="33" t="n">
        <f>81500</f>
        <v>81500.0</v>
      </c>
      <c r="L412" s="34" t="s">
        <v>48</v>
      </c>
      <c r="M412" s="33" t="n">
        <f>85000</f>
        <v>85000.0</v>
      </c>
      <c r="N412" s="34" t="s">
        <v>302</v>
      </c>
      <c r="O412" s="33" t="n">
        <f>79700</f>
        <v>79700.0</v>
      </c>
      <c r="P412" s="34" t="s">
        <v>61</v>
      </c>
      <c r="Q412" s="33" t="n">
        <f>80700</f>
        <v>80700.0</v>
      </c>
      <c r="R412" s="34" t="s">
        <v>51</v>
      </c>
      <c r="S412" s="35" t="n">
        <f>82411.11</f>
        <v>82411.11</v>
      </c>
      <c r="T412" s="32" t="n">
        <f>86795</f>
        <v>86795.0</v>
      </c>
      <c r="U412" s="32" t="n">
        <f>3059</f>
        <v>3059.0</v>
      </c>
      <c r="V412" s="32" t="n">
        <f>7113299660</f>
        <v>7.11329966E9</v>
      </c>
      <c r="W412" s="32" t="n">
        <f>250554860</f>
        <v>2.5055486E8</v>
      </c>
      <c r="X412" s="36" t="n">
        <f>18</f>
        <v>18.0</v>
      </c>
    </row>
    <row r="413">
      <c r="A413" s="27" t="s">
        <v>42</v>
      </c>
      <c r="B413" s="27" t="s">
        <v>1287</v>
      </c>
      <c r="C413" s="27" t="s">
        <v>1288</v>
      </c>
      <c r="D413" s="27" t="s">
        <v>1289</v>
      </c>
      <c r="E413" s="28" t="s">
        <v>46</v>
      </c>
      <c r="F413" s="29" t="s">
        <v>46</v>
      </c>
      <c r="G413" s="30" t="s">
        <v>46</v>
      </c>
      <c r="H413" s="31"/>
      <c r="I413" s="31" t="s">
        <v>47</v>
      </c>
      <c r="J413" s="32" t="n">
        <v>1.0</v>
      </c>
      <c r="K413" s="33" t="n">
        <f>48200</f>
        <v>48200.0</v>
      </c>
      <c r="L413" s="34" t="s">
        <v>48</v>
      </c>
      <c r="M413" s="33" t="n">
        <f>51300</f>
        <v>51300.0</v>
      </c>
      <c r="N413" s="34" t="s">
        <v>69</v>
      </c>
      <c r="O413" s="33" t="n">
        <f>48100</f>
        <v>48100.0</v>
      </c>
      <c r="P413" s="34" t="s">
        <v>48</v>
      </c>
      <c r="Q413" s="33" t="n">
        <f>50400</f>
        <v>50400.0</v>
      </c>
      <c r="R413" s="34" t="s">
        <v>51</v>
      </c>
      <c r="S413" s="35" t="n">
        <f>49686.11</f>
        <v>49686.11</v>
      </c>
      <c r="T413" s="32" t="n">
        <f>111448</f>
        <v>111448.0</v>
      </c>
      <c r="U413" s="32" t="n">
        <f>18255</f>
        <v>18255.0</v>
      </c>
      <c r="V413" s="32" t="n">
        <f>5523981919</f>
        <v>5.523981919E9</v>
      </c>
      <c r="W413" s="32" t="n">
        <f>905069969</f>
        <v>9.05069969E8</v>
      </c>
      <c r="X413" s="36" t="n">
        <f>18</f>
        <v>18.0</v>
      </c>
    </row>
    <row r="414">
      <c r="A414" s="27" t="s">
        <v>42</v>
      </c>
      <c r="B414" s="27" t="s">
        <v>1290</v>
      </c>
      <c r="C414" s="27" t="s">
        <v>1291</v>
      </c>
      <c r="D414" s="27" t="s">
        <v>1292</v>
      </c>
      <c r="E414" s="28" t="s">
        <v>46</v>
      </c>
      <c r="F414" s="29" t="s">
        <v>46</v>
      </c>
      <c r="G414" s="30" t="s">
        <v>46</v>
      </c>
      <c r="H414" s="31"/>
      <c r="I414" s="31" t="s">
        <v>47</v>
      </c>
      <c r="J414" s="32" t="n">
        <v>1.0</v>
      </c>
      <c r="K414" s="33" t="n">
        <f>123400</f>
        <v>123400.0</v>
      </c>
      <c r="L414" s="34" t="s">
        <v>48</v>
      </c>
      <c r="M414" s="33" t="n">
        <f>132600</f>
        <v>132600.0</v>
      </c>
      <c r="N414" s="34" t="s">
        <v>51</v>
      </c>
      <c r="O414" s="33" t="n">
        <f>123100</f>
        <v>123100.0</v>
      </c>
      <c r="P414" s="34" t="s">
        <v>48</v>
      </c>
      <c r="Q414" s="33" t="n">
        <f>131400</f>
        <v>131400.0</v>
      </c>
      <c r="R414" s="34" t="s">
        <v>51</v>
      </c>
      <c r="S414" s="35" t="n">
        <f>128105.56</f>
        <v>128105.56</v>
      </c>
      <c r="T414" s="32" t="n">
        <f>84144</f>
        <v>84144.0</v>
      </c>
      <c r="U414" s="32" t="n">
        <f>18832</f>
        <v>18832.0</v>
      </c>
      <c r="V414" s="32" t="n">
        <f>10785992848</f>
        <v>1.0785992848E10</v>
      </c>
      <c r="W414" s="32" t="n">
        <f>2412037548</f>
        <v>2.412037548E9</v>
      </c>
      <c r="X414" s="36" t="n">
        <f>18</f>
        <v>18.0</v>
      </c>
    </row>
    <row r="415">
      <c r="A415" s="27" t="s">
        <v>42</v>
      </c>
      <c r="B415" s="27" t="s">
        <v>1293</v>
      </c>
      <c r="C415" s="27" t="s">
        <v>1294</v>
      </c>
      <c r="D415" s="27" t="s">
        <v>1295</v>
      </c>
      <c r="E415" s="28" t="s">
        <v>46</v>
      </c>
      <c r="F415" s="29" t="s">
        <v>46</v>
      </c>
      <c r="G415" s="30" t="s">
        <v>46</v>
      </c>
      <c r="H415" s="31"/>
      <c r="I415" s="31" t="s">
        <v>47</v>
      </c>
      <c r="J415" s="32" t="n">
        <v>1.0</v>
      </c>
      <c r="K415" s="33" t="n">
        <f>158000</f>
        <v>158000.0</v>
      </c>
      <c r="L415" s="34" t="s">
        <v>48</v>
      </c>
      <c r="M415" s="33" t="n">
        <f>167100</f>
        <v>167100.0</v>
      </c>
      <c r="N415" s="34" t="s">
        <v>51</v>
      </c>
      <c r="O415" s="33" t="n">
        <f>157200</f>
        <v>157200.0</v>
      </c>
      <c r="P415" s="34" t="s">
        <v>48</v>
      </c>
      <c r="Q415" s="33" t="n">
        <f>165400</f>
        <v>165400.0</v>
      </c>
      <c r="R415" s="34" t="s">
        <v>51</v>
      </c>
      <c r="S415" s="35" t="n">
        <f>161527.78</f>
        <v>161527.78</v>
      </c>
      <c r="T415" s="32" t="n">
        <f>36285</f>
        <v>36285.0</v>
      </c>
      <c r="U415" s="32" t="n">
        <f>9530</f>
        <v>9530.0</v>
      </c>
      <c r="V415" s="32" t="n">
        <f>5860060553</f>
        <v>5.860060553E9</v>
      </c>
      <c r="W415" s="32" t="n">
        <f>1537576653</f>
        <v>1.537576653E9</v>
      </c>
      <c r="X415" s="36" t="n">
        <f>18</f>
        <v>18.0</v>
      </c>
    </row>
    <row r="416">
      <c r="A416" s="27" t="s">
        <v>42</v>
      </c>
      <c r="B416" s="27" t="s">
        <v>1296</v>
      </c>
      <c r="C416" s="27" t="s">
        <v>1297</v>
      </c>
      <c r="D416" s="27" t="s">
        <v>1298</v>
      </c>
      <c r="E416" s="28" t="s">
        <v>46</v>
      </c>
      <c r="F416" s="29" t="s">
        <v>46</v>
      </c>
      <c r="G416" s="30" t="s">
        <v>46</v>
      </c>
      <c r="H416" s="31"/>
      <c r="I416" s="31" t="s">
        <v>414</v>
      </c>
      <c r="J416" s="32" t="n">
        <v>1.0</v>
      </c>
      <c r="K416" s="33" t="n">
        <f>117500</f>
        <v>117500.0</v>
      </c>
      <c r="L416" s="34" t="s">
        <v>48</v>
      </c>
      <c r="M416" s="33" t="n">
        <f>118500</f>
        <v>118500.0</v>
      </c>
      <c r="N416" s="34" t="s">
        <v>69</v>
      </c>
      <c r="O416" s="33" t="n">
        <f>115700</f>
        <v>115700.0</v>
      </c>
      <c r="P416" s="34" t="s">
        <v>73</v>
      </c>
      <c r="Q416" s="33" t="n">
        <f>117600</f>
        <v>117600.0</v>
      </c>
      <c r="R416" s="34" t="s">
        <v>51</v>
      </c>
      <c r="S416" s="35" t="n">
        <f>117211.11</f>
        <v>117211.11</v>
      </c>
      <c r="T416" s="32" t="n">
        <f>11462</f>
        <v>11462.0</v>
      </c>
      <c r="U416" s="32" t="n">
        <f>1478</f>
        <v>1478.0</v>
      </c>
      <c r="V416" s="32" t="n">
        <f>1342711181</f>
        <v>1.342711181E9</v>
      </c>
      <c r="W416" s="32" t="n">
        <f>173298381</f>
        <v>1.73298381E8</v>
      </c>
      <c r="X416" s="36" t="n">
        <f>18</f>
        <v>18.0</v>
      </c>
    </row>
    <row r="417">
      <c r="A417" s="27" t="s">
        <v>42</v>
      </c>
      <c r="B417" s="27" t="s">
        <v>1299</v>
      </c>
      <c r="C417" s="27" t="s">
        <v>1300</v>
      </c>
      <c r="D417" s="27" t="s">
        <v>1301</v>
      </c>
      <c r="E417" s="28" t="s">
        <v>46</v>
      </c>
      <c r="F417" s="29" t="s">
        <v>46</v>
      </c>
      <c r="G417" s="30" t="s">
        <v>46</v>
      </c>
      <c r="H417" s="31"/>
      <c r="I417" s="31" t="s">
        <v>47</v>
      </c>
      <c r="J417" s="32" t="n">
        <v>10.0</v>
      </c>
      <c r="K417" s="33" t="n">
        <f>240.9</f>
        <v>240.9</v>
      </c>
      <c r="L417" s="34" t="s">
        <v>48</v>
      </c>
      <c r="M417" s="33" t="n">
        <f>253</f>
        <v>253.0</v>
      </c>
      <c r="N417" s="34" t="s">
        <v>73</v>
      </c>
      <c r="O417" s="33" t="n">
        <f>230.7</f>
        <v>230.7</v>
      </c>
      <c r="P417" s="34" t="s">
        <v>50</v>
      </c>
      <c r="Q417" s="33" t="n">
        <f>244.7</f>
        <v>244.7</v>
      </c>
      <c r="R417" s="34" t="s">
        <v>51</v>
      </c>
      <c r="S417" s="35" t="n">
        <f>239.65</f>
        <v>239.65</v>
      </c>
      <c r="T417" s="32" t="n">
        <f>950200</f>
        <v>950200.0</v>
      </c>
      <c r="U417" s="32" t="n">
        <f>320</f>
        <v>320.0</v>
      </c>
      <c r="V417" s="32" t="n">
        <f>226505371</f>
        <v>2.26505371E8</v>
      </c>
      <c r="W417" s="32" t="n">
        <f>73202</f>
        <v>73202.0</v>
      </c>
      <c r="X417" s="36" t="n">
        <f>18</f>
        <v>18.0</v>
      </c>
    </row>
    <row r="418">
      <c r="A418" s="27" t="s">
        <v>42</v>
      </c>
      <c r="B418" s="27" t="s">
        <v>1302</v>
      </c>
      <c r="C418" s="27" t="s">
        <v>1303</v>
      </c>
      <c r="D418" s="27" t="s">
        <v>1304</v>
      </c>
      <c r="E418" s="28" t="s">
        <v>46</v>
      </c>
      <c r="F418" s="29" t="s">
        <v>46</v>
      </c>
      <c r="G418" s="30" t="s">
        <v>46</v>
      </c>
      <c r="H418" s="31"/>
      <c r="I418" s="31" t="s">
        <v>47</v>
      </c>
      <c r="J418" s="32" t="n">
        <v>1.0</v>
      </c>
      <c r="K418" s="33" t="n">
        <f>93000</f>
        <v>93000.0</v>
      </c>
      <c r="L418" s="34" t="s">
        <v>48</v>
      </c>
      <c r="M418" s="33" t="n">
        <f>95700</f>
        <v>95700.0</v>
      </c>
      <c r="N418" s="34" t="s">
        <v>302</v>
      </c>
      <c r="O418" s="33" t="n">
        <f>92300</f>
        <v>92300.0</v>
      </c>
      <c r="P418" s="34" t="s">
        <v>48</v>
      </c>
      <c r="Q418" s="33" t="n">
        <f>94600</f>
        <v>94600.0</v>
      </c>
      <c r="R418" s="34" t="s">
        <v>51</v>
      </c>
      <c r="S418" s="35" t="n">
        <f>94283.33</f>
        <v>94283.33</v>
      </c>
      <c r="T418" s="32" t="n">
        <f>59506</f>
        <v>59506.0</v>
      </c>
      <c r="U418" s="32" t="n">
        <f>10067</f>
        <v>10067.0</v>
      </c>
      <c r="V418" s="32" t="n">
        <f>5606670564</f>
        <v>5.606670564E9</v>
      </c>
      <c r="W418" s="32" t="n">
        <f>948316064</f>
        <v>9.48316064E8</v>
      </c>
      <c r="X418" s="36" t="n">
        <f>18</f>
        <v>18.0</v>
      </c>
    </row>
    <row r="419">
      <c r="A419" s="27" t="s">
        <v>42</v>
      </c>
      <c r="B419" s="27" t="s">
        <v>1305</v>
      </c>
      <c r="C419" s="27" t="s">
        <v>1306</v>
      </c>
      <c r="D419" s="27" t="s">
        <v>1307</v>
      </c>
      <c r="E419" s="28" t="s">
        <v>46</v>
      </c>
      <c r="F419" s="29" t="s">
        <v>46</v>
      </c>
      <c r="G419" s="30" t="s">
        <v>46</v>
      </c>
      <c r="H419" s="31"/>
      <c r="I419" s="31" t="s">
        <v>47</v>
      </c>
      <c r="J419" s="32" t="n">
        <v>10.0</v>
      </c>
      <c r="K419" s="33" t="n">
        <f>657.5</f>
        <v>657.5</v>
      </c>
      <c r="L419" s="34" t="s">
        <v>48</v>
      </c>
      <c r="M419" s="33" t="n">
        <f>669.9</f>
        <v>669.9</v>
      </c>
      <c r="N419" s="34" t="s">
        <v>302</v>
      </c>
      <c r="O419" s="33" t="n">
        <f>612.5</f>
        <v>612.5</v>
      </c>
      <c r="P419" s="34" t="s">
        <v>68</v>
      </c>
      <c r="Q419" s="33" t="n">
        <f>646.9</f>
        <v>646.9</v>
      </c>
      <c r="R419" s="34" t="s">
        <v>51</v>
      </c>
      <c r="S419" s="35" t="n">
        <f>637.8</f>
        <v>637.8</v>
      </c>
      <c r="T419" s="32" t="n">
        <f>90700</f>
        <v>90700.0</v>
      </c>
      <c r="U419" s="32" t="str">
        <f>"－"</f>
        <v>－</v>
      </c>
      <c r="V419" s="32" t="n">
        <f>57839761</f>
        <v>5.7839761E7</v>
      </c>
      <c r="W419" s="32" t="str">
        <f>"－"</f>
        <v>－</v>
      </c>
      <c r="X419" s="36" t="n">
        <f>18</f>
        <v>18.0</v>
      </c>
    </row>
    <row r="420">
      <c r="A420" s="27" t="s">
        <v>42</v>
      </c>
      <c r="B420" s="27" t="s">
        <v>1308</v>
      </c>
      <c r="C420" s="27" t="s">
        <v>1309</v>
      </c>
      <c r="D420" s="27" t="s">
        <v>1310</v>
      </c>
      <c r="E420" s="28" t="s">
        <v>46</v>
      </c>
      <c r="F420" s="29" t="s">
        <v>46</v>
      </c>
      <c r="G420" s="30" t="s">
        <v>46</v>
      </c>
      <c r="H420" s="31"/>
      <c r="I420" s="31" t="s">
        <v>47</v>
      </c>
      <c r="J420" s="32" t="n">
        <v>1.0</v>
      </c>
      <c r="K420" s="33" t="n">
        <f>2476</f>
        <v>2476.0</v>
      </c>
      <c r="L420" s="34" t="s">
        <v>48</v>
      </c>
      <c r="M420" s="33" t="n">
        <f>2647</f>
        <v>2647.0</v>
      </c>
      <c r="N420" s="34" t="s">
        <v>51</v>
      </c>
      <c r="O420" s="33" t="n">
        <f>2416</f>
        <v>2416.0</v>
      </c>
      <c r="P420" s="34" t="s">
        <v>50</v>
      </c>
      <c r="Q420" s="33" t="n">
        <f>2646</f>
        <v>2646.0</v>
      </c>
      <c r="R420" s="34" t="s">
        <v>51</v>
      </c>
      <c r="S420" s="35" t="n">
        <f>2544.33</f>
        <v>2544.33</v>
      </c>
      <c r="T420" s="32" t="n">
        <f>2160776</f>
        <v>2160776.0</v>
      </c>
      <c r="U420" s="32" t="n">
        <f>1602801</f>
        <v>1602801.0</v>
      </c>
      <c r="V420" s="32" t="n">
        <f>5489901046</f>
        <v>5.489901046E9</v>
      </c>
      <c r="W420" s="32" t="n">
        <f>4084917341</f>
        <v>4.084917341E9</v>
      </c>
      <c r="X420" s="36" t="n">
        <f>18</f>
        <v>18.0</v>
      </c>
    </row>
    <row r="421">
      <c r="A421" s="27" t="s">
        <v>42</v>
      </c>
      <c r="B421" s="27" t="s">
        <v>1311</v>
      </c>
      <c r="C421" s="27" t="s">
        <v>1312</v>
      </c>
      <c r="D421" s="27" t="s">
        <v>1313</v>
      </c>
      <c r="E421" s="28" t="s">
        <v>46</v>
      </c>
      <c r="F421" s="29" t="s">
        <v>46</v>
      </c>
      <c r="G421" s="30" t="s">
        <v>46</v>
      </c>
      <c r="H421" s="31"/>
      <c r="I421" s="31" t="s">
        <v>47</v>
      </c>
      <c r="J421" s="32" t="n">
        <v>1.0</v>
      </c>
      <c r="K421" s="33" t="n">
        <f>1356</f>
        <v>1356.0</v>
      </c>
      <c r="L421" s="34" t="s">
        <v>48</v>
      </c>
      <c r="M421" s="33" t="n">
        <f>1400</f>
        <v>1400.0</v>
      </c>
      <c r="N421" s="34" t="s">
        <v>51</v>
      </c>
      <c r="O421" s="33" t="n">
        <f>1318</f>
        <v>1318.0</v>
      </c>
      <c r="P421" s="34" t="s">
        <v>89</v>
      </c>
      <c r="Q421" s="33" t="n">
        <f>1388</f>
        <v>1388.0</v>
      </c>
      <c r="R421" s="34" t="s">
        <v>51</v>
      </c>
      <c r="S421" s="35" t="n">
        <f>1348.83</f>
        <v>1348.83</v>
      </c>
      <c r="T421" s="32" t="n">
        <f>2945716</f>
        <v>2945716.0</v>
      </c>
      <c r="U421" s="32" t="n">
        <f>2620003</f>
        <v>2620003.0</v>
      </c>
      <c r="V421" s="32" t="n">
        <f>3918866186</f>
        <v>3.918866186E9</v>
      </c>
      <c r="W421" s="32" t="n">
        <f>3480170016</f>
        <v>3.480170016E9</v>
      </c>
      <c r="X421" s="36" t="n">
        <f>18</f>
        <v>18.0</v>
      </c>
    </row>
    <row r="422">
      <c r="A422" s="27" t="s">
        <v>42</v>
      </c>
      <c r="B422" s="27" t="s">
        <v>1314</v>
      </c>
      <c r="C422" s="27" t="s">
        <v>1315</v>
      </c>
      <c r="D422" s="27" t="s">
        <v>1316</v>
      </c>
      <c r="E422" s="28" t="s">
        <v>46</v>
      </c>
      <c r="F422" s="29" t="s">
        <v>46</v>
      </c>
      <c r="G422" s="30" t="s">
        <v>46</v>
      </c>
      <c r="H422" s="31"/>
      <c r="I422" s="31" t="s">
        <v>47</v>
      </c>
      <c r="J422" s="32" t="n">
        <v>10.0</v>
      </c>
      <c r="K422" s="33" t="n">
        <f>1175</f>
        <v>1175.0</v>
      </c>
      <c r="L422" s="34" t="s">
        <v>48</v>
      </c>
      <c r="M422" s="33" t="n">
        <f>1218.5</f>
        <v>1218.5</v>
      </c>
      <c r="N422" s="34" t="s">
        <v>49</v>
      </c>
      <c r="O422" s="33" t="n">
        <f>1172</f>
        <v>1172.0</v>
      </c>
      <c r="P422" s="34" t="s">
        <v>48</v>
      </c>
      <c r="Q422" s="33" t="n">
        <f>1216</f>
        <v>1216.0</v>
      </c>
      <c r="R422" s="34" t="s">
        <v>69</v>
      </c>
      <c r="S422" s="35" t="n">
        <f>1195.27</f>
        <v>1195.27</v>
      </c>
      <c r="T422" s="32" t="n">
        <f>4150</f>
        <v>4150.0</v>
      </c>
      <c r="U422" s="32" t="str">
        <f>"－"</f>
        <v>－</v>
      </c>
      <c r="V422" s="32" t="n">
        <f>4969995</f>
        <v>4969995.0</v>
      </c>
      <c r="W422" s="32" t="str">
        <f>"－"</f>
        <v>－</v>
      </c>
      <c r="X422" s="36" t="n">
        <f>15</f>
        <v>15.0</v>
      </c>
    </row>
    <row r="423">
      <c r="A423" s="27" t="s">
        <v>42</v>
      </c>
      <c r="B423" s="27" t="s">
        <v>1317</v>
      </c>
      <c r="C423" s="27" t="s">
        <v>1318</v>
      </c>
      <c r="D423" s="27" t="s">
        <v>1319</v>
      </c>
      <c r="E423" s="28" t="s">
        <v>46</v>
      </c>
      <c r="F423" s="29" t="s">
        <v>46</v>
      </c>
      <c r="G423" s="30" t="s">
        <v>46</v>
      </c>
      <c r="H423" s="31"/>
      <c r="I423" s="31" t="s">
        <v>47</v>
      </c>
      <c r="J423" s="32" t="n">
        <v>1.0</v>
      </c>
      <c r="K423" s="33" t="n">
        <f>2334</f>
        <v>2334.0</v>
      </c>
      <c r="L423" s="34" t="s">
        <v>48</v>
      </c>
      <c r="M423" s="33" t="n">
        <f>2400</f>
        <v>2400.0</v>
      </c>
      <c r="N423" s="34" t="s">
        <v>51</v>
      </c>
      <c r="O423" s="33" t="n">
        <f>2266</f>
        <v>2266.0</v>
      </c>
      <c r="P423" s="34" t="s">
        <v>50</v>
      </c>
      <c r="Q423" s="33" t="n">
        <f>2398</f>
        <v>2398.0</v>
      </c>
      <c r="R423" s="34" t="s">
        <v>51</v>
      </c>
      <c r="S423" s="35" t="n">
        <f>2332.5</f>
        <v>2332.5</v>
      </c>
      <c r="T423" s="32" t="n">
        <f>27284</f>
        <v>27284.0</v>
      </c>
      <c r="U423" s="32" t="str">
        <f>"－"</f>
        <v>－</v>
      </c>
      <c r="V423" s="32" t="n">
        <f>63610556</f>
        <v>6.3610556E7</v>
      </c>
      <c r="W423" s="32" t="str">
        <f>"－"</f>
        <v>－</v>
      </c>
      <c r="X423" s="36" t="n">
        <f>18</f>
        <v>18.0</v>
      </c>
    </row>
    <row r="424">
      <c r="A424" s="27" t="s">
        <v>42</v>
      </c>
      <c r="B424" s="27" t="s">
        <v>1320</v>
      </c>
      <c r="C424" s="27" t="s">
        <v>1321</v>
      </c>
      <c r="D424" s="27" t="s">
        <v>1322</v>
      </c>
      <c r="E424" s="28" t="s">
        <v>46</v>
      </c>
      <c r="F424" s="29" t="s">
        <v>46</v>
      </c>
      <c r="G424" s="30" t="s">
        <v>46</v>
      </c>
      <c r="H424" s="31"/>
      <c r="I424" s="31" t="s">
        <v>47</v>
      </c>
      <c r="J424" s="32" t="n">
        <v>1.0</v>
      </c>
      <c r="K424" s="33" t="n">
        <f>2150</f>
        <v>2150.0</v>
      </c>
      <c r="L424" s="34" t="s">
        <v>48</v>
      </c>
      <c r="M424" s="33" t="n">
        <f>2263</f>
        <v>2263.0</v>
      </c>
      <c r="N424" s="34" t="s">
        <v>51</v>
      </c>
      <c r="O424" s="33" t="n">
        <f>2121</f>
        <v>2121.0</v>
      </c>
      <c r="P424" s="34" t="s">
        <v>50</v>
      </c>
      <c r="Q424" s="33" t="n">
        <f>2263</f>
        <v>2263.0</v>
      </c>
      <c r="R424" s="34" t="s">
        <v>51</v>
      </c>
      <c r="S424" s="35" t="n">
        <f>2193.06</f>
        <v>2193.06</v>
      </c>
      <c r="T424" s="32" t="n">
        <f>110936</f>
        <v>110936.0</v>
      </c>
      <c r="U424" s="32" t="n">
        <f>4600</f>
        <v>4600.0</v>
      </c>
      <c r="V424" s="32" t="n">
        <f>242433942</f>
        <v>2.42433942E8</v>
      </c>
      <c r="W424" s="32" t="n">
        <f>10081446</f>
        <v>1.0081446E7</v>
      </c>
      <c r="X424" s="36" t="n">
        <f>18</f>
        <v>18.0</v>
      </c>
    </row>
    <row r="425">
      <c r="A425" s="27" t="s">
        <v>42</v>
      </c>
      <c r="B425" s="27" t="s">
        <v>1323</v>
      </c>
      <c r="C425" s="27" t="s">
        <v>1324</v>
      </c>
      <c r="D425" s="27" t="s">
        <v>1325</v>
      </c>
      <c r="E425" s="28" t="s">
        <v>46</v>
      </c>
      <c r="F425" s="29" t="s">
        <v>46</v>
      </c>
      <c r="G425" s="30" t="s">
        <v>46</v>
      </c>
      <c r="H425" s="31"/>
      <c r="I425" s="31" t="s">
        <v>47</v>
      </c>
      <c r="J425" s="32" t="n">
        <v>1.0</v>
      </c>
      <c r="K425" s="33" t="n">
        <f>5167</f>
        <v>5167.0</v>
      </c>
      <c r="L425" s="34" t="s">
        <v>48</v>
      </c>
      <c r="M425" s="33" t="n">
        <f>5175</f>
        <v>5175.0</v>
      </c>
      <c r="N425" s="34" t="s">
        <v>51</v>
      </c>
      <c r="O425" s="33" t="n">
        <f>5069</f>
        <v>5069.0</v>
      </c>
      <c r="P425" s="34" t="s">
        <v>191</v>
      </c>
      <c r="Q425" s="33" t="n">
        <f>5175</f>
        <v>5175.0</v>
      </c>
      <c r="R425" s="34" t="s">
        <v>51</v>
      </c>
      <c r="S425" s="35" t="n">
        <f>5115</f>
        <v>5115.0</v>
      </c>
      <c r="T425" s="32" t="n">
        <f>303797</f>
        <v>303797.0</v>
      </c>
      <c r="U425" s="32" t="str">
        <f>"－"</f>
        <v>－</v>
      </c>
      <c r="V425" s="32" t="n">
        <f>1556339348</f>
        <v>1.556339348E9</v>
      </c>
      <c r="W425" s="32" t="str">
        <f>"－"</f>
        <v>－</v>
      </c>
      <c r="X425" s="36" t="n">
        <f>16</f>
        <v>16.0</v>
      </c>
    </row>
    <row r="426">
      <c r="A426" s="27" t="s">
        <v>42</v>
      </c>
      <c r="B426" s="27" t="s">
        <v>1326</v>
      </c>
      <c r="C426" s="27" t="s">
        <v>1327</v>
      </c>
      <c r="D426" s="27" t="s">
        <v>1328</v>
      </c>
      <c r="E426" s="28" t="s">
        <v>46</v>
      </c>
      <c r="F426" s="29" t="s">
        <v>46</v>
      </c>
      <c r="G426" s="30" t="s">
        <v>46</v>
      </c>
      <c r="H426" s="31"/>
      <c r="I426" s="31" t="s">
        <v>47</v>
      </c>
      <c r="J426" s="32" t="n">
        <v>1.0</v>
      </c>
      <c r="K426" s="33" t="n">
        <f>1215</f>
        <v>1215.0</v>
      </c>
      <c r="L426" s="34" t="s">
        <v>48</v>
      </c>
      <c r="M426" s="33" t="n">
        <f>1229</f>
        <v>1229.0</v>
      </c>
      <c r="N426" s="34" t="s">
        <v>51</v>
      </c>
      <c r="O426" s="33" t="n">
        <f>1160</f>
        <v>1160.0</v>
      </c>
      <c r="P426" s="34" t="s">
        <v>148</v>
      </c>
      <c r="Q426" s="33" t="n">
        <f>1223</f>
        <v>1223.0</v>
      </c>
      <c r="R426" s="34" t="s">
        <v>51</v>
      </c>
      <c r="S426" s="35" t="n">
        <f>1200.89</f>
        <v>1200.89</v>
      </c>
      <c r="T426" s="32" t="n">
        <f>34723</f>
        <v>34723.0</v>
      </c>
      <c r="U426" s="32" t="str">
        <f>"－"</f>
        <v>－</v>
      </c>
      <c r="V426" s="32" t="n">
        <f>41735462</f>
        <v>4.1735462E7</v>
      </c>
      <c r="W426" s="32" t="str">
        <f>"－"</f>
        <v>－</v>
      </c>
      <c r="X426" s="36" t="n">
        <f>18</f>
        <v>18.0</v>
      </c>
    </row>
    <row r="427">
      <c r="A427" s="27" t="s">
        <v>42</v>
      </c>
      <c r="B427" s="27" t="s">
        <v>1329</v>
      </c>
      <c r="C427" s="27" t="s">
        <v>1330</v>
      </c>
      <c r="D427" s="27" t="s">
        <v>1331</v>
      </c>
      <c r="E427" s="28" t="s">
        <v>46</v>
      </c>
      <c r="F427" s="29" t="s">
        <v>46</v>
      </c>
      <c r="G427" s="30" t="s">
        <v>46</v>
      </c>
      <c r="H427" s="31"/>
      <c r="I427" s="31" t="s">
        <v>47</v>
      </c>
      <c r="J427" s="32" t="n">
        <v>1.0</v>
      </c>
      <c r="K427" s="33" t="n">
        <f>1227</f>
        <v>1227.0</v>
      </c>
      <c r="L427" s="34" t="s">
        <v>48</v>
      </c>
      <c r="M427" s="33" t="n">
        <f>1245</f>
        <v>1245.0</v>
      </c>
      <c r="N427" s="34" t="s">
        <v>49</v>
      </c>
      <c r="O427" s="33" t="n">
        <f>1132</f>
        <v>1132.0</v>
      </c>
      <c r="P427" s="34" t="s">
        <v>148</v>
      </c>
      <c r="Q427" s="33" t="n">
        <f>1170</f>
        <v>1170.0</v>
      </c>
      <c r="R427" s="34" t="s">
        <v>51</v>
      </c>
      <c r="S427" s="35" t="n">
        <f>1191.28</f>
        <v>1191.28</v>
      </c>
      <c r="T427" s="32" t="n">
        <f>3223880</f>
        <v>3223880.0</v>
      </c>
      <c r="U427" s="32" t="str">
        <f>"－"</f>
        <v>－</v>
      </c>
      <c r="V427" s="32" t="n">
        <f>3835077693</f>
        <v>3.835077693E9</v>
      </c>
      <c r="W427" s="32" t="str">
        <f>"－"</f>
        <v>－</v>
      </c>
      <c r="X427" s="36" t="n">
        <f>18</f>
        <v>18.0</v>
      </c>
    </row>
    <row r="428">
      <c r="A428" s="27" t="s">
        <v>42</v>
      </c>
      <c r="B428" s="27" t="s">
        <v>1332</v>
      </c>
      <c r="C428" s="27" t="s">
        <v>1333</v>
      </c>
      <c r="D428" s="27" t="s">
        <v>1334</v>
      </c>
      <c r="E428" s="28" t="s">
        <v>46</v>
      </c>
      <c r="F428" s="29" t="s">
        <v>46</v>
      </c>
      <c r="G428" s="30" t="s">
        <v>46</v>
      </c>
      <c r="H428" s="31"/>
      <c r="I428" s="31" t="s">
        <v>47</v>
      </c>
      <c r="J428" s="32" t="n">
        <v>1.0</v>
      </c>
      <c r="K428" s="33" t="n">
        <f>2166</f>
        <v>2166.0</v>
      </c>
      <c r="L428" s="34" t="s">
        <v>48</v>
      </c>
      <c r="M428" s="33" t="n">
        <f>2259</f>
        <v>2259.0</v>
      </c>
      <c r="N428" s="34" t="s">
        <v>201</v>
      </c>
      <c r="O428" s="33" t="n">
        <f>2148</f>
        <v>2148.0</v>
      </c>
      <c r="P428" s="34" t="s">
        <v>89</v>
      </c>
      <c r="Q428" s="33" t="n">
        <f>2207</f>
        <v>2207.0</v>
      </c>
      <c r="R428" s="34" t="s">
        <v>51</v>
      </c>
      <c r="S428" s="35" t="n">
        <f>2179.22</f>
        <v>2179.22</v>
      </c>
      <c r="T428" s="32" t="n">
        <f>5000294</f>
        <v>5000294.0</v>
      </c>
      <c r="U428" s="32" t="n">
        <f>4390000</f>
        <v>4390000.0</v>
      </c>
      <c r="V428" s="32" t="n">
        <f>10902374362</f>
        <v>1.0902374362E10</v>
      </c>
      <c r="W428" s="32" t="n">
        <f>9577765884</f>
        <v>9.577765884E9</v>
      </c>
      <c r="X428" s="36" t="n">
        <f>18</f>
        <v>18.0</v>
      </c>
    </row>
    <row r="429">
      <c r="A429" s="27" t="s">
        <v>42</v>
      </c>
      <c r="B429" s="27" t="s">
        <v>1335</v>
      </c>
      <c r="C429" s="27" t="s">
        <v>1336</v>
      </c>
      <c r="D429" s="27" t="s">
        <v>1337</v>
      </c>
      <c r="E429" s="28" t="s">
        <v>46</v>
      </c>
      <c r="F429" s="29" t="s">
        <v>46</v>
      </c>
      <c r="G429" s="30" t="s">
        <v>46</v>
      </c>
      <c r="H429" s="31"/>
      <c r="I429" s="31" t="s">
        <v>47</v>
      </c>
      <c r="J429" s="32" t="n">
        <v>1.0</v>
      </c>
      <c r="K429" s="33" t="n">
        <f>2018</f>
        <v>2018.0</v>
      </c>
      <c r="L429" s="34" t="s">
        <v>48</v>
      </c>
      <c r="M429" s="33" t="n">
        <f>2021</f>
        <v>2021.0</v>
      </c>
      <c r="N429" s="34" t="s">
        <v>50</v>
      </c>
      <c r="O429" s="33" t="n">
        <f>2003</f>
        <v>2003.0</v>
      </c>
      <c r="P429" s="34" t="s">
        <v>249</v>
      </c>
      <c r="Q429" s="33" t="n">
        <f>2016</f>
        <v>2016.0</v>
      </c>
      <c r="R429" s="34" t="s">
        <v>51</v>
      </c>
      <c r="S429" s="35" t="n">
        <f>2010.25</f>
        <v>2010.25</v>
      </c>
      <c r="T429" s="32" t="n">
        <f>745553</f>
        <v>745553.0</v>
      </c>
      <c r="U429" s="32" t="n">
        <f>500000</f>
        <v>500000.0</v>
      </c>
      <c r="V429" s="32" t="n">
        <f>1494890284</f>
        <v>1.494890284E9</v>
      </c>
      <c r="W429" s="32" t="n">
        <f>1001950000</f>
        <v>1.00195E9</v>
      </c>
      <c r="X429" s="36" t="n">
        <f>16</f>
        <v>16.0</v>
      </c>
    </row>
    <row r="430">
      <c r="A430" s="27" t="s">
        <v>42</v>
      </c>
      <c r="B430" s="27" t="s">
        <v>1338</v>
      </c>
      <c r="C430" s="27" t="s">
        <v>1339</v>
      </c>
      <c r="D430" s="27" t="s">
        <v>1340</v>
      </c>
      <c r="E430" s="28" t="s">
        <v>46</v>
      </c>
      <c r="F430" s="29" t="s">
        <v>46</v>
      </c>
      <c r="G430" s="30" t="s">
        <v>46</v>
      </c>
      <c r="H430" s="31"/>
      <c r="I430" s="31" t="s">
        <v>47</v>
      </c>
      <c r="J430" s="32" t="n">
        <v>1.0</v>
      </c>
      <c r="K430" s="33" t="n">
        <f>2239</f>
        <v>2239.0</v>
      </c>
      <c r="L430" s="34" t="s">
        <v>48</v>
      </c>
      <c r="M430" s="33" t="n">
        <f>2324</f>
        <v>2324.0</v>
      </c>
      <c r="N430" s="34" t="s">
        <v>262</v>
      </c>
      <c r="O430" s="33" t="n">
        <f>2167</f>
        <v>2167.0</v>
      </c>
      <c r="P430" s="34" t="s">
        <v>50</v>
      </c>
      <c r="Q430" s="33" t="n">
        <f>2300</f>
        <v>2300.0</v>
      </c>
      <c r="R430" s="34" t="s">
        <v>51</v>
      </c>
      <c r="S430" s="35" t="n">
        <f>2234.5</f>
        <v>2234.5</v>
      </c>
      <c r="T430" s="32" t="n">
        <f>166303</f>
        <v>166303.0</v>
      </c>
      <c r="U430" s="32" t="str">
        <f>"－"</f>
        <v>－</v>
      </c>
      <c r="V430" s="32" t="n">
        <f>369846806</f>
        <v>3.69846806E8</v>
      </c>
      <c r="W430" s="32" t="str">
        <f>"－"</f>
        <v>－</v>
      </c>
      <c r="X430" s="36" t="n">
        <f>18</f>
        <v>18.0</v>
      </c>
    </row>
    <row r="431">
      <c r="A431" s="27" t="s">
        <v>42</v>
      </c>
      <c r="B431" s="27" t="s">
        <v>1341</v>
      </c>
      <c r="C431" s="27" t="s">
        <v>1342</v>
      </c>
      <c r="D431" s="27" t="s">
        <v>1343</v>
      </c>
      <c r="E431" s="28" t="s">
        <v>46</v>
      </c>
      <c r="F431" s="29" t="s">
        <v>46</v>
      </c>
      <c r="G431" s="30" t="s">
        <v>46</v>
      </c>
      <c r="H431" s="31"/>
      <c r="I431" s="31" t="s">
        <v>414</v>
      </c>
      <c r="J431" s="32" t="n">
        <v>10.0</v>
      </c>
      <c r="K431" s="33" t="n">
        <f>237</f>
        <v>237.0</v>
      </c>
      <c r="L431" s="34" t="s">
        <v>48</v>
      </c>
      <c r="M431" s="33" t="n">
        <f>237</f>
        <v>237.0</v>
      </c>
      <c r="N431" s="34" t="s">
        <v>48</v>
      </c>
      <c r="O431" s="33" t="n">
        <f>222.1</f>
        <v>222.1</v>
      </c>
      <c r="P431" s="34" t="s">
        <v>148</v>
      </c>
      <c r="Q431" s="33" t="n">
        <f>234</f>
        <v>234.0</v>
      </c>
      <c r="R431" s="34" t="s">
        <v>51</v>
      </c>
      <c r="S431" s="35" t="n">
        <f>230.41</f>
        <v>230.41</v>
      </c>
      <c r="T431" s="32" t="n">
        <f>5248450</f>
        <v>5248450.0</v>
      </c>
      <c r="U431" s="32" t="n">
        <f>1000</f>
        <v>1000.0</v>
      </c>
      <c r="V431" s="32" t="n">
        <f>1207748578</f>
        <v>1.207748578E9</v>
      </c>
      <c r="W431" s="32" t="n">
        <f>231200</f>
        <v>231200.0</v>
      </c>
      <c r="X431" s="36" t="n">
        <f>18</f>
        <v>18.0</v>
      </c>
    </row>
    <row r="432">
      <c r="A432" s="27" t="s">
        <v>42</v>
      </c>
      <c r="B432" s="27" t="s">
        <v>1344</v>
      </c>
      <c r="C432" s="27" t="s">
        <v>1345</v>
      </c>
      <c r="D432" s="27" t="s">
        <v>1346</v>
      </c>
      <c r="E432" s="28" t="s">
        <v>46</v>
      </c>
      <c r="F432" s="29" t="s">
        <v>46</v>
      </c>
      <c r="G432" s="30" t="s">
        <v>46</v>
      </c>
      <c r="H432" s="31"/>
      <c r="I432" s="31" t="s">
        <v>414</v>
      </c>
      <c r="J432" s="32" t="n">
        <v>10.0</v>
      </c>
      <c r="K432" s="33" t="n">
        <f>524</f>
        <v>524.0</v>
      </c>
      <c r="L432" s="34" t="s">
        <v>48</v>
      </c>
      <c r="M432" s="33" t="n">
        <f>578.2</f>
        <v>578.2</v>
      </c>
      <c r="N432" s="34" t="s">
        <v>69</v>
      </c>
      <c r="O432" s="33" t="n">
        <f>524</f>
        <v>524.0</v>
      </c>
      <c r="P432" s="34" t="s">
        <v>48</v>
      </c>
      <c r="Q432" s="33" t="n">
        <f>575</f>
        <v>575.0</v>
      </c>
      <c r="R432" s="34" t="s">
        <v>51</v>
      </c>
      <c r="S432" s="35" t="n">
        <f>559.92</f>
        <v>559.92</v>
      </c>
      <c r="T432" s="32" t="n">
        <f>6890</f>
        <v>6890.0</v>
      </c>
      <c r="U432" s="32" t="str">
        <f>"－"</f>
        <v>－</v>
      </c>
      <c r="V432" s="32" t="n">
        <f>3840773</f>
        <v>3840773.0</v>
      </c>
      <c r="W432" s="32" t="str">
        <f>"－"</f>
        <v>－</v>
      </c>
      <c r="X432" s="36" t="n">
        <f>18</f>
        <v>18.0</v>
      </c>
    </row>
    <row r="433">
      <c r="A433" s="27" t="s">
        <v>42</v>
      </c>
      <c r="B433" s="27" t="s">
        <v>1347</v>
      </c>
      <c r="C433" s="27" t="s">
        <v>1348</v>
      </c>
      <c r="D433" s="27" t="s">
        <v>1349</v>
      </c>
      <c r="E433" s="28" t="s">
        <v>46</v>
      </c>
      <c r="F433" s="29" t="s">
        <v>46</v>
      </c>
      <c r="G433" s="30" t="s">
        <v>46</v>
      </c>
      <c r="H433" s="31"/>
      <c r="I433" s="31" t="s">
        <v>414</v>
      </c>
      <c r="J433" s="32" t="n">
        <v>10.0</v>
      </c>
      <c r="K433" s="33" t="n">
        <f>602.4</f>
        <v>602.4</v>
      </c>
      <c r="L433" s="34" t="s">
        <v>48</v>
      </c>
      <c r="M433" s="33" t="n">
        <f>664</f>
        <v>664.0</v>
      </c>
      <c r="N433" s="34" t="s">
        <v>51</v>
      </c>
      <c r="O433" s="33" t="n">
        <f>588.5</f>
        <v>588.5</v>
      </c>
      <c r="P433" s="34" t="s">
        <v>50</v>
      </c>
      <c r="Q433" s="33" t="n">
        <f>662.8</f>
        <v>662.8</v>
      </c>
      <c r="R433" s="34" t="s">
        <v>51</v>
      </c>
      <c r="S433" s="35" t="n">
        <f>624.28</f>
        <v>624.28</v>
      </c>
      <c r="T433" s="32" t="n">
        <f>642130</f>
        <v>642130.0</v>
      </c>
      <c r="U433" s="32" t="n">
        <f>72100</f>
        <v>72100.0</v>
      </c>
      <c r="V433" s="32" t="n">
        <f>402498848</f>
        <v>4.02498848E8</v>
      </c>
      <c r="W433" s="32" t="n">
        <f>44886121</f>
        <v>4.4886121E7</v>
      </c>
      <c r="X433" s="36" t="n">
        <f>18</f>
        <v>18.0</v>
      </c>
    </row>
    <row r="434">
      <c r="A434" s="27" t="s">
        <v>42</v>
      </c>
      <c r="B434" s="27" t="s">
        <v>1350</v>
      </c>
      <c r="C434" s="27" t="s">
        <v>1351</v>
      </c>
      <c r="D434" s="27" t="s">
        <v>1352</v>
      </c>
      <c r="E434" s="28" t="s">
        <v>46</v>
      </c>
      <c r="F434" s="29" t="s">
        <v>46</v>
      </c>
      <c r="G434" s="30" t="s">
        <v>46</v>
      </c>
      <c r="H434" s="31"/>
      <c r="I434" s="31" t="s">
        <v>414</v>
      </c>
      <c r="J434" s="32" t="n">
        <v>10.0</v>
      </c>
      <c r="K434" s="33" t="n">
        <f>551</f>
        <v>551.0</v>
      </c>
      <c r="L434" s="34" t="s">
        <v>48</v>
      </c>
      <c r="M434" s="33" t="n">
        <f>558</f>
        <v>558.0</v>
      </c>
      <c r="N434" s="34" t="s">
        <v>48</v>
      </c>
      <c r="O434" s="33" t="n">
        <f>520.1</f>
        <v>520.1</v>
      </c>
      <c r="P434" s="34" t="s">
        <v>48</v>
      </c>
      <c r="Q434" s="33" t="n">
        <f>547</f>
        <v>547.0</v>
      </c>
      <c r="R434" s="34" t="s">
        <v>51</v>
      </c>
      <c r="S434" s="35" t="n">
        <f>539.24</f>
        <v>539.24</v>
      </c>
      <c r="T434" s="32" t="n">
        <f>9620</f>
        <v>9620.0</v>
      </c>
      <c r="U434" s="32" t="str">
        <f>"－"</f>
        <v>－</v>
      </c>
      <c r="V434" s="32" t="n">
        <f>5190683</f>
        <v>5190683.0</v>
      </c>
      <c r="W434" s="32" t="str">
        <f>"－"</f>
        <v>－</v>
      </c>
      <c r="X434" s="36" t="n">
        <f>18</f>
        <v>18.0</v>
      </c>
    </row>
    <row r="435">
      <c r="A435" s="27" t="s">
        <v>42</v>
      </c>
      <c r="B435" s="27" t="s">
        <v>1353</v>
      </c>
      <c r="C435" s="27" t="s">
        <v>1354</v>
      </c>
      <c r="D435" s="27" t="s">
        <v>1355</v>
      </c>
      <c r="E435" s="28" t="s">
        <v>46</v>
      </c>
      <c r="F435" s="29" t="s">
        <v>46</v>
      </c>
      <c r="G435" s="30" t="s">
        <v>46</v>
      </c>
      <c r="H435" s="31"/>
      <c r="I435" s="31" t="s">
        <v>414</v>
      </c>
      <c r="J435" s="32" t="n">
        <v>1.0</v>
      </c>
      <c r="K435" s="33" t="n">
        <f>1728</f>
        <v>1728.0</v>
      </c>
      <c r="L435" s="34" t="s">
        <v>48</v>
      </c>
      <c r="M435" s="33" t="n">
        <f>1835</f>
        <v>1835.0</v>
      </c>
      <c r="N435" s="34" t="s">
        <v>51</v>
      </c>
      <c r="O435" s="33" t="n">
        <f>1666</f>
        <v>1666.0</v>
      </c>
      <c r="P435" s="34" t="s">
        <v>50</v>
      </c>
      <c r="Q435" s="33" t="n">
        <f>1830</f>
        <v>1830.0</v>
      </c>
      <c r="R435" s="34" t="s">
        <v>51</v>
      </c>
      <c r="S435" s="35" t="n">
        <f>1766.61</f>
        <v>1766.61</v>
      </c>
      <c r="T435" s="32" t="n">
        <f>762368</f>
        <v>762368.0</v>
      </c>
      <c r="U435" s="32" t="n">
        <f>113759</f>
        <v>113759.0</v>
      </c>
      <c r="V435" s="32" t="n">
        <f>1335285403</f>
        <v>1.335285403E9</v>
      </c>
      <c r="W435" s="32" t="n">
        <f>199177162</f>
        <v>1.99177162E8</v>
      </c>
      <c r="X435" s="36" t="n">
        <f>18</f>
        <v>18.0</v>
      </c>
    </row>
    <row r="436">
      <c r="A436" s="27" t="s">
        <v>42</v>
      </c>
      <c r="B436" s="27" t="s">
        <v>1356</v>
      </c>
      <c r="C436" s="27" t="s">
        <v>1357</v>
      </c>
      <c r="D436" s="27" t="s">
        <v>1358</v>
      </c>
      <c r="E436" s="28" t="s">
        <v>46</v>
      </c>
      <c r="F436" s="29" t="s">
        <v>46</v>
      </c>
      <c r="G436" s="30" t="s">
        <v>46</v>
      </c>
      <c r="H436" s="31"/>
      <c r="I436" s="31" t="s">
        <v>414</v>
      </c>
      <c r="J436" s="32" t="n">
        <v>1.0</v>
      </c>
      <c r="K436" s="33" t="n">
        <f>105200</f>
        <v>105200.0</v>
      </c>
      <c r="L436" s="34" t="s">
        <v>48</v>
      </c>
      <c r="M436" s="33" t="n">
        <f>107900</f>
        <v>107900.0</v>
      </c>
      <c r="N436" s="34" t="s">
        <v>302</v>
      </c>
      <c r="O436" s="33" t="n">
        <f>102300</f>
        <v>102300.0</v>
      </c>
      <c r="P436" s="34" t="s">
        <v>148</v>
      </c>
      <c r="Q436" s="33" t="n">
        <f>104700</f>
        <v>104700.0</v>
      </c>
      <c r="R436" s="34" t="s">
        <v>51</v>
      </c>
      <c r="S436" s="35" t="n">
        <f>105638.89</f>
        <v>105638.89</v>
      </c>
      <c r="T436" s="32" t="n">
        <f>37332</f>
        <v>37332.0</v>
      </c>
      <c r="U436" s="32" t="n">
        <f>5242</f>
        <v>5242.0</v>
      </c>
      <c r="V436" s="32" t="n">
        <f>3928802682</f>
        <v>3.928802682E9</v>
      </c>
      <c r="W436" s="32" t="n">
        <f>551977082</f>
        <v>5.51977082E8</v>
      </c>
      <c r="X436" s="36" t="n">
        <f>18</f>
        <v>18.0</v>
      </c>
    </row>
    <row r="437">
      <c r="A437" s="27" t="s">
        <v>42</v>
      </c>
      <c r="B437" s="27" t="s">
        <v>1359</v>
      </c>
      <c r="C437" s="27" t="s">
        <v>1360</v>
      </c>
      <c r="D437" s="27" t="s">
        <v>1361</v>
      </c>
      <c r="E437" s="28" t="s">
        <v>46</v>
      </c>
      <c r="F437" s="29" t="s">
        <v>46</v>
      </c>
      <c r="G437" s="30" t="s">
        <v>46</v>
      </c>
      <c r="H437" s="31"/>
      <c r="I437" s="31" t="s">
        <v>414</v>
      </c>
      <c r="J437" s="32" t="n">
        <v>1.0</v>
      </c>
      <c r="K437" s="33" t="n">
        <f>1222</f>
        <v>1222.0</v>
      </c>
      <c r="L437" s="34" t="s">
        <v>48</v>
      </c>
      <c r="M437" s="33" t="n">
        <f>1228</f>
        <v>1228.0</v>
      </c>
      <c r="N437" s="34" t="s">
        <v>191</v>
      </c>
      <c r="O437" s="33" t="n">
        <f>1133</f>
        <v>1133.0</v>
      </c>
      <c r="P437" s="34" t="s">
        <v>148</v>
      </c>
      <c r="Q437" s="33" t="n">
        <f>1170</f>
        <v>1170.0</v>
      </c>
      <c r="R437" s="34" t="s">
        <v>51</v>
      </c>
      <c r="S437" s="35" t="n">
        <f>1186.11</f>
        <v>1186.11</v>
      </c>
      <c r="T437" s="32" t="n">
        <f>1652103</f>
        <v>1652103.0</v>
      </c>
      <c r="U437" s="32" t="str">
        <f>"－"</f>
        <v>－</v>
      </c>
      <c r="V437" s="32" t="n">
        <f>1952841790</f>
        <v>1.95284179E9</v>
      </c>
      <c r="W437" s="32" t="str">
        <f>"－"</f>
        <v>－</v>
      </c>
      <c r="X437" s="36" t="n">
        <f>18</f>
        <v>18.0</v>
      </c>
    </row>
    <row r="438">
      <c r="A438" s="27" t="s">
        <v>42</v>
      </c>
      <c r="B438" s="27" t="s">
        <v>1362</v>
      </c>
      <c r="C438" s="27" t="s">
        <v>1363</v>
      </c>
      <c r="D438" s="27" t="s">
        <v>1364</v>
      </c>
      <c r="E438" s="28" t="s">
        <v>46</v>
      </c>
      <c r="F438" s="29" t="s">
        <v>46</v>
      </c>
      <c r="G438" s="30" t="s">
        <v>46</v>
      </c>
      <c r="H438" s="31"/>
      <c r="I438" s="31" t="s">
        <v>414</v>
      </c>
      <c r="J438" s="32" t="n">
        <v>10.0</v>
      </c>
      <c r="K438" s="33" t="n">
        <f>238.7</f>
        <v>238.7</v>
      </c>
      <c r="L438" s="34" t="s">
        <v>48</v>
      </c>
      <c r="M438" s="33" t="n">
        <f>239.1</f>
        <v>239.1</v>
      </c>
      <c r="N438" s="34" t="s">
        <v>48</v>
      </c>
      <c r="O438" s="33" t="n">
        <f>206.4</f>
        <v>206.4</v>
      </c>
      <c r="P438" s="34" t="s">
        <v>148</v>
      </c>
      <c r="Q438" s="33" t="n">
        <f>221</f>
        <v>221.0</v>
      </c>
      <c r="R438" s="34" t="s">
        <v>51</v>
      </c>
      <c r="S438" s="35" t="n">
        <f>220.96</f>
        <v>220.96</v>
      </c>
      <c r="T438" s="32" t="n">
        <f>12283510</f>
        <v>1.228351E7</v>
      </c>
      <c r="U438" s="32" t="n">
        <f>81700</f>
        <v>81700.0</v>
      </c>
      <c r="V438" s="32" t="n">
        <f>2709527475</f>
        <v>2.709527475E9</v>
      </c>
      <c r="W438" s="32" t="n">
        <f>18170581</f>
        <v>1.8170581E7</v>
      </c>
      <c r="X438" s="36" t="n">
        <f>18</f>
        <v>18.0</v>
      </c>
    </row>
    <row r="439">
      <c r="A439" s="27" t="s">
        <v>42</v>
      </c>
      <c r="B439" s="27" t="s">
        <v>1365</v>
      </c>
      <c r="C439" s="27" t="s">
        <v>1366</v>
      </c>
      <c r="D439" s="27" t="s">
        <v>1367</v>
      </c>
      <c r="E439" s="28" t="s">
        <v>46</v>
      </c>
      <c r="F439" s="29" t="s">
        <v>46</v>
      </c>
      <c r="G439" s="30" t="s">
        <v>46</v>
      </c>
      <c r="H439" s="31"/>
      <c r="I439" s="31" t="s">
        <v>414</v>
      </c>
      <c r="J439" s="32" t="n">
        <v>1.0</v>
      </c>
      <c r="K439" s="33" t="n">
        <f>2300</f>
        <v>2300.0</v>
      </c>
      <c r="L439" s="34" t="s">
        <v>48</v>
      </c>
      <c r="M439" s="33" t="n">
        <f>2325</f>
        <v>2325.0</v>
      </c>
      <c r="N439" s="34" t="s">
        <v>48</v>
      </c>
      <c r="O439" s="33" t="n">
        <f>2100</f>
        <v>2100.0</v>
      </c>
      <c r="P439" s="34" t="s">
        <v>73</v>
      </c>
      <c r="Q439" s="33" t="n">
        <f>2244</f>
        <v>2244.0</v>
      </c>
      <c r="R439" s="34" t="s">
        <v>51</v>
      </c>
      <c r="S439" s="35" t="n">
        <f>2192.33</f>
        <v>2192.33</v>
      </c>
      <c r="T439" s="32" t="n">
        <f>95084</f>
        <v>95084.0</v>
      </c>
      <c r="U439" s="32" t="str">
        <f>"－"</f>
        <v>－</v>
      </c>
      <c r="V439" s="32" t="n">
        <f>208345303</f>
        <v>2.08345303E8</v>
      </c>
      <c r="W439" s="32" t="str">
        <f>"－"</f>
        <v>－</v>
      </c>
      <c r="X439" s="36" t="n">
        <f>18</f>
        <v>18.0</v>
      </c>
    </row>
    <row r="440">
      <c r="A440" s="27" t="s">
        <v>42</v>
      </c>
      <c r="B440" s="27" t="s">
        <v>1368</v>
      </c>
      <c r="C440" s="27" t="s">
        <v>1369</v>
      </c>
      <c r="D440" s="27" t="s">
        <v>1370</v>
      </c>
      <c r="E440" s="28" t="s">
        <v>46</v>
      </c>
      <c r="F440" s="29" t="s">
        <v>46</v>
      </c>
      <c r="G440" s="30" t="s">
        <v>46</v>
      </c>
      <c r="H440" s="31"/>
      <c r="I440" s="31" t="s">
        <v>414</v>
      </c>
      <c r="J440" s="32" t="n">
        <v>1.0</v>
      </c>
      <c r="K440" s="33" t="n">
        <f>2374</f>
        <v>2374.0</v>
      </c>
      <c r="L440" s="34" t="s">
        <v>48</v>
      </c>
      <c r="M440" s="33" t="n">
        <f>2379</f>
        <v>2379.0</v>
      </c>
      <c r="N440" s="34" t="s">
        <v>48</v>
      </c>
      <c r="O440" s="33" t="n">
        <f>2100</f>
        <v>2100.0</v>
      </c>
      <c r="P440" s="34" t="s">
        <v>73</v>
      </c>
      <c r="Q440" s="33" t="n">
        <f>2265</f>
        <v>2265.0</v>
      </c>
      <c r="R440" s="34" t="s">
        <v>51</v>
      </c>
      <c r="S440" s="35" t="n">
        <f>2236.94</f>
        <v>2236.94</v>
      </c>
      <c r="T440" s="32" t="n">
        <f>68113</f>
        <v>68113.0</v>
      </c>
      <c r="U440" s="32" t="n">
        <f>100</f>
        <v>100.0</v>
      </c>
      <c r="V440" s="32" t="n">
        <f>153476584</f>
        <v>1.53476584E8</v>
      </c>
      <c r="W440" s="32" t="n">
        <f>215000</f>
        <v>215000.0</v>
      </c>
      <c r="X440" s="36" t="n">
        <f>18</f>
        <v>18.0</v>
      </c>
    </row>
    <row r="441">
      <c r="A441" s="27" t="s">
        <v>42</v>
      </c>
      <c r="B441" s="27" t="s">
        <v>1371</v>
      </c>
      <c r="C441" s="27" t="s">
        <v>1372</v>
      </c>
      <c r="D441" s="27" t="s">
        <v>1373</v>
      </c>
      <c r="E441" s="28" t="s">
        <v>46</v>
      </c>
      <c r="F441" s="29" t="s">
        <v>46</v>
      </c>
      <c r="G441" s="30" t="s">
        <v>46</v>
      </c>
      <c r="H441" s="31"/>
      <c r="I441" s="31" t="s">
        <v>414</v>
      </c>
      <c r="J441" s="32" t="n">
        <v>10.0</v>
      </c>
      <c r="K441" s="33" t="n">
        <f>318.6</f>
        <v>318.6</v>
      </c>
      <c r="L441" s="34" t="s">
        <v>48</v>
      </c>
      <c r="M441" s="33" t="n">
        <f>334.5</f>
        <v>334.5</v>
      </c>
      <c r="N441" s="34" t="s">
        <v>49</v>
      </c>
      <c r="O441" s="33" t="n">
        <f>311.6</f>
        <v>311.6</v>
      </c>
      <c r="P441" s="34" t="s">
        <v>50</v>
      </c>
      <c r="Q441" s="33" t="n">
        <f>331.9</f>
        <v>331.9</v>
      </c>
      <c r="R441" s="34" t="s">
        <v>51</v>
      </c>
      <c r="S441" s="35" t="n">
        <f>324.02</f>
        <v>324.02</v>
      </c>
      <c r="T441" s="32" t="n">
        <f>3533110</f>
        <v>3533110.0</v>
      </c>
      <c r="U441" s="32" t="n">
        <f>100</f>
        <v>100.0</v>
      </c>
      <c r="V441" s="32" t="n">
        <f>1146463896</f>
        <v>1.146463896E9</v>
      </c>
      <c r="W441" s="32" t="n">
        <f>32010</f>
        <v>32010.0</v>
      </c>
      <c r="X441" s="36" t="n">
        <f>18</f>
        <v>18.0</v>
      </c>
    </row>
    <row r="442">
      <c r="A442" s="27" t="s">
        <v>42</v>
      </c>
      <c r="B442" s="27" t="s">
        <v>1374</v>
      </c>
      <c r="C442" s="27" t="s">
        <v>1375</v>
      </c>
      <c r="D442" s="27" t="s">
        <v>1376</v>
      </c>
      <c r="E442" s="28" t="s">
        <v>46</v>
      </c>
      <c r="F442" s="29" t="s">
        <v>46</v>
      </c>
      <c r="G442" s="30" t="s">
        <v>46</v>
      </c>
      <c r="H442" s="31"/>
      <c r="I442" s="31" t="s">
        <v>414</v>
      </c>
      <c r="J442" s="32" t="n">
        <v>10.0</v>
      </c>
      <c r="K442" s="33" t="n">
        <f>331.5</f>
        <v>331.5</v>
      </c>
      <c r="L442" s="34" t="s">
        <v>48</v>
      </c>
      <c r="M442" s="33" t="n">
        <f>354.4</f>
        <v>354.4</v>
      </c>
      <c r="N442" s="34" t="s">
        <v>51</v>
      </c>
      <c r="O442" s="33" t="n">
        <f>322</f>
        <v>322.0</v>
      </c>
      <c r="P442" s="34" t="s">
        <v>50</v>
      </c>
      <c r="Q442" s="33" t="n">
        <f>352.5</f>
        <v>352.5</v>
      </c>
      <c r="R442" s="34" t="s">
        <v>51</v>
      </c>
      <c r="S442" s="35" t="n">
        <f>339.65</f>
        <v>339.65</v>
      </c>
      <c r="T442" s="32" t="n">
        <f>11488460</f>
        <v>1.148846E7</v>
      </c>
      <c r="U442" s="32" t="n">
        <f>1200200</f>
        <v>1200200.0</v>
      </c>
      <c r="V442" s="32" t="n">
        <f>3901635010</f>
        <v>3.90163501E9</v>
      </c>
      <c r="W442" s="32" t="n">
        <f>416797580</f>
        <v>4.1679758E8</v>
      </c>
      <c r="X442" s="36" t="n">
        <f>18</f>
        <v>18.0</v>
      </c>
    </row>
    <row r="443">
      <c r="A443" s="27" t="s">
        <v>42</v>
      </c>
      <c r="B443" s="27" t="s">
        <v>1377</v>
      </c>
      <c r="C443" s="27" t="s">
        <v>1378</v>
      </c>
      <c r="D443" s="27" t="s">
        <v>1379</v>
      </c>
      <c r="E443" s="28" t="s">
        <v>46</v>
      </c>
      <c r="F443" s="29" t="s">
        <v>46</v>
      </c>
      <c r="G443" s="30" t="s">
        <v>46</v>
      </c>
      <c r="H443" s="31"/>
      <c r="I443" s="31" t="s">
        <v>414</v>
      </c>
      <c r="J443" s="32" t="n">
        <v>1.0</v>
      </c>
      <c r="K443" s="33" t="n">
        <f>1048</f>
        <v>1048.0</v>
      </c>
      <c r="L443" s="34" t="s">
        <v>48</v>
      </c>
      <c r="M443" s="33" t="n">
        <f>1078</f>
        <v>1078.0</v>
      </c>
      <c r="N443" s="34" t="s">
        <v>69</v>
      </c>
      <c r="O443" s="33" t="n">
        <f>1011</f>
        <v>1011.0</v>
      </c>
      <c r="P443" s="34" t="s">
        <v>50</v>
      </c>
      <c r="Q443" s="33" t="n">
        <f>1066</f>
        <v>1066.0</v>
      </c>
      <c r="R443" s="34" t="s">
        <v>51</v>
      </c>
      <c r="S443" s="35" t="n">
        <f>1038.5</f>
        <v>1038.5</v>
      </c>
      <c r="T443" s="32" t="n">
        <f>178531</f>
        <v>178531.0</v>
      </c>
      <c r="U443" s="32" t="str">
        <f>"－"</f>
        <v>－</v>
      </c>
      <c r="V443" s="32" t="n">
        <f>184463653</f>
        <v>1.84463653E8</v>
      </c>
      <c r="W443" s="32" t="str">
        <f>"－"</f>
        <v>－</v>
      </c>
      <c r="X443" s="36" t="n">
        <f>18</f>
        <v>18.0</v>
      </c>
    </row>
    <row r="444">
      <c r="A444" s="27" t="s">
        <v>42</v>
      </c>
      <c r="B444" s="27" t="s">
        <v>1380</v>
      </c>
      <c r="C444" s="27" t="s">
        <v>1381</v>
      </c>
      <c r="D444" s="27" t="s">
        <v>1382</v>
      </c>
      <c r="E444" s="28" t="s">
        <v>46</v>
      </c>
      <c r="F444" s="29" t="s">
        <v>46</v>
      </c>
      <c r="G444" s="30" t="s">
        <v>46</v>
      </c>
      <c r="H444" s="31"/>
      <c r="I444" s="31" t="s">
        <v>414</v>
      </c>
      <c r="J444" s="32" t="n">
        <v>1.0</v>
      </c>
      <c r="K444" s="33" t="n">
        <f>2060</f>
        <v>2060.0</v>
      </c>
      <c r="L444" s="34" t="s">
        <v>48</v>
      </c>
      <c r="M444" s="33" t="n">
        <f>2192</f>
        <v>2192.0</v>
      </c>
      <c r="N444" s="34" t="s">
        <v>249</v>
      </c>
      <c r="O444" s="33" t="n">
        <f>2015</f>
        <v>2015.0</v>
      </c>
      <c r="P444" s="34" t="s">
        <v>50</v>
      </c>
      <c r="Q444" s="33" t="n">
        <f>2175</f>
        <v>2175.0</v>
      </c>
      <c r="R444" s="34" t="s">
        <v>51</v>
      </c>
      <c r="S444" s="35" t="n">
        <f>2118.17</f>
        <v>2118.17</v>
      </c>
      <c r="T444" s="32" t="n">
        <f>1235661</f>
        <v>1235661.0</v>
      </c>
      <c r="U444" s="32" t="n">
        <f>152195</f>
        <v>152195.0</v>
      </c>
      <c r="V444" s="32" t="n">
        <f>2610217623</f>
        <v>2.610217623E9</v>
      </c>
      <c r="W444" s="32" t="n">
        <f>322452369</f>
        <v>3.22452369E8</v>
      </c>
      <c r="X444" s="36" t="n">
        <f>18</f>
        <v>18.0</v>
      </c>
    </row>
    <row r="445">
      <c r="A445" s="27" t="s">
        <v>42</v>
      </c>
      <c r="B445" s="27" t="s">
        <v>1383</v>
      </c>
      <c r="C445" s="27" t="s">
        <v>1384</v>
      </c>
      <c r="D445" s="27" t="s">
        <v>1385</v>
      </c>
      <c r="E445" s="28" t="s">
        <v>1386</v>
      </c>
      <c r="F445" s="29" t="s">
        <v>1387</v>
      </c>
      <c r="G445" s="30" t="s">
        <v>1388</v>
      </c>
      <c r="H445" s="31"/>
      <c r="I445" s="31" t="s">
        <v>414</v>
      </c>
      <c r="J445" s="32" t="n">
        <v>1.0</v>
      </c>
      <c r="K445" s="33" t="n">
        <f>2009</f>
        <v>2009.0</v>
      </c>
      <c r="L445" s="34" t="s">
        <v>48</v>
      </c>
      <c r="M445" s="33" t="n">
        <f>2091</f>
        <v>2091.0</v>
      </c>
      <c r="N445" s="34" t="s">
        <v>51</v>
      </c>
      <c r="O445" s="33" t="n">
        <f>1998</f>
        <v>1998.0</v>
      </c>
      <c r="P445" s="34" t="s">
        <v>50</v>
      </c>
      <c r="Q445" s="33" t="n">
        <f>2071</f>
        <v>2071.0</v>
      </c>
      <c r="R445" s="34" t="s">
        <v>51</v>
      </c>
      <c r="S445" s="35" t="n">
        <f>2044.78</f>
        <v>2044.78</v>
      </c>
      <c r="T445" s="32" t="n">
        <f>14210</f>
        <v>14210.0</v>
      </c>
      <c r="U445" s="32" t="str">
        <f>"－"</f>
        <v>－</v>
      </c>
      <c r="V445" s="32" t="n">
        <f>28853601</f>
        <v>2.8853601E7</v>
      </c>
      <c r="W445" s="32" t="str">
        <f>"－"</f>
        <v>－</v>
      </c>
      <c r="X445" s="36" t="n">
        <f>18</f>
        <v>18.0</v>
      </c>
    </row>
    <row r="446">
      <c r="A446" s="27" t="s">
        <v>42</v>
      </c>
      <c r="B446" s="27" t="s">
        <v>1389</v>
      </c>
      <c r="C446" s="27" t="s">
        <v>1390</v>
      </c>
      <c r="D446" s="27" t="s">
        <v>1391</v>
      </c>
      <c r="E446" s="28" t="s">
        <v>1386</v>
      </c>
      <c r="F446" s="29" t="s">
        <v>1387</v>
      </c>
      <c r="G446" s="30" t="s">
        <v>1392</v>
      </c>
      <c r="H446" s="31"/>
      <c r="I446" s="31" t="s">
        <v>414</v>
      </c>
      <c r="J446" s="32" t="n">
        <v>10.0</v>
      </c>
      <c r="K446" s="33" t="n">
        <f>255.1</f>
        <v>255.1</v>
      </c>
      <c r="L446" s="34" t="s">
        <v>73</v>
      </c>
      <c r="M446" s="33" t="n">
        <f>264.9</f>
        <v>264.9</v>
      </c>
      <c r="N446" s="34" t="s">
        <v>148</v>
      </c>
      <c r="O446" s="33" t="n">
        <f>252</f>
        <v>252.0</v>
      </c>
      <c r="P446" s="34" t="s">
        <v>73</v>
      </c>
      <c r="Q446" s="33" t="n">
        <f>261.2</f>
        <v>261.2</v>
      </c>
      <c r="R446" s="34" t="s">
        <v>51</v>
      </c>
      <c r="S446" s="35" t="n">
        <f>257.93</f>
        <v>257.93</v>
      </c>
      <c r="T446" s="32" t="n">
        <f>1146720</f>
        <v>1146720.0</v>
      </c>
      <c r="U446" s="32" t="str">
        <f>"－"</f>
        <v>－</v>
      </c>
      <c r="V446" s="32" t="n">
        <f>294723916</f>
        <v>2.94723916E8</v>
      </c>
      <c r="W446" s="32" t="str">
        <f>"－"</f>
        <v>－</v>
      </c>
      <c r="X446" s="36" t="n">
        <f>7</f>
        <v>7.0</v>
      </c>
    </row>
    <row r="447">
      <c r="A447" s="27" t="s">
        <v>42</v>
      </c>
      <c r="B447" s="27" t="s">
        <v>1393</v>
      </c>
      <c r="C447" s="27" t="s">
        <v>1394</v>
      </c>
      <c r="D447" s="27" t="s">
        <v>1395</v>
      </c>
      <c r="E447" s="28" t="s">
        <v>1386</v>
      </c>
      <c r="F447" s="29" t="s">
        <v>1387</v>
      </c>
      <c r="G447" s="30" t="s">
        <v>1392</v>
      </c>
      <c r="H447" s="31"/>
      <c r="I447" s="31" t="s">
        <v>414</v>
      </c>
      <c r="J447" s="32" t="n">
        <v>10.0</v>
      </c>
      <c r="K447" s="33" t="n">
        <f>255.5</f>
        <v>255.5</v>
      </c>
      <c r="L447" s="34" t="s">
        <v>73</v>
      </c>
      <c r="M447" s="33" t="n">
        <f>260.5</f>
        <v>260.5</v>
      </c>
      <c r="N447" s="34" t="s">
        <v>73</v>
      </c>
      <c r="O447" s="33" t="n">
        <f>251.2</f>
        <v>251.2</v>
      </c>
      <c r="P447" s="34" t="s">
        <v>148</v>
      </c>
      <c r="Q447" s="33" t="n">
        <f>258.7</f>
        <v>258.7</v>
      </c>
      <c r="R447" s="34" t="s">
        <v>51</v>
      </c>
      <c r="S447" s="35" t="n">
        <f>255.7</f>
        <v>255.7</v>
      </c>
      <c r="T447" s="32" t="n">
        <f>580140</f>
        <v>580140.0</v>
      </c>
      <c r="U447" s="32" t="str">
        <f>"－"</f>
        <v>－</v>
      </c>
      <c r="V447" s="32" t="n">
        <f>148543010</f>
        <v>1.4854301E8</v>
      </c>
      <c r="W447" s="32" t="str">
        <f>"－"</f>
        <v>－</v>
      </c>
      <c r="X447" s="36" t="n">
        <f>7</f>
        <v>7.0</v>
      </c>
    </row>
    <row r="448">
      <c r="A448" s="27" t="s">
        <v>42</v>
      </c>
      <c r="B448" s="27" t="s">
        <v>1396</v>
      </c>
      <c r="C448" s="27" t="s">
        <v>1397</v>
      </c>
      <c r="D448" s="27" t="s">
        <v>1398</v>
      </c>
      <c r="E448" s="28" t="s">
        <v>1386</v>
      </c>
      <c r="F448" s="29" t="s">
        <v>1387</v>
      </c>
      <c r="G448" s="30" t="s">
        <v>1392</v>
      </c>
      <c r="H448" s="31"/>
      <c r="I448" s="31" t="s">
        <v>414</v>
      </c>
      <c r="J448" s="32" t="n">
        <v>10.0</v>
      </c>
      <c r="K448" s="33" t="n">
        <f>711</f>
        <v>711.0</v>
      </c>
      <c r="L448" s="34" t="s">
        <v>73</v>
      </c>
      <c r="M448" s="33" t="n">
        <f>746.2</f>
        <v>746.2</v>
      </c>
      <c r="N448" s="34" t="s">
        <v>61</v>
      </c>
      <c r="O448" s="33" t="n">
        <f>691.9</f>
        <v>691.9</v>
      </c>
      <c r="P448" s="34" t="s">
        <v>73</v>
      </c>
      <c r="Q448" s="33" t="n">
        <f>721.4</f>
        <v>721.4</v>
      </c>
      <c r="R448" s="34" t="s">
        <v>51</v>
      </c>
      <c r="S448" s="35" t="n">
        <f>715.73</f>
        <v>715.73</v>
      </c>
      <c r="T448" s="32" t="n">
        <f>157160</f>
        <v>157160.0</v>
      </c>
      <c r="U448" s="32" t="str">
        <f>"－"</f>
        <v>－</v>
      </c>
      <c r="V448" s="32" t="n">
        <f>110488416</f>
        <v>1.10488416E8</v>
      </c>
      <c r="W448" s="32" t="str">
        <f>"－"</f>
        <v>－</v>
      </c>
      <c r="X448" s="36" t="n">
        <f>7</f>
        <v>7.0</v>
      </c>
    </row>
    <row r="449">
      <c r="A449" s="27" t="s">
        <v>42</v>
      </c>
      <c r="B449" s="27" t="s">
        <v>1399</v>
      </c>
      <c r="C449" s="27" t="s">
        <v>1400</v>
      </c>
      <c r="D449" s="27" t="s">
        <v>1401</v>
      </c>
      <c r="E449" s="28" t="s">
        <v>1386</v>
      </c>
      <c r="F449" s="29" t="s">
        <v>1387</v>
      </c>
      <c r="G449" s="30" t="s">
        <v>1392</v>
      </c>
      <c r="H449" s="31"/>
      <c r="I449" s="31" t="s">
        <v>414</v>
      </c>
      <c r="J449" s="32" t="n">
        <v>10.0</v>
      </c>
      <c r="K449" s="33" t="n">
        <f>710</f>
        <v>710.0</v>
      </c>
      <c r="L449" s="34" t="s">
        <v>73</v>
      </c>
      <c r="M449" s="33" t="n">
        <f>716.8</f>
        <v>716.8</v>
      </c>
      <c r="N449" s="34" t="s">
        <v>51</v>
      </c>
      <c r="O449" s="33" t="n">
        <f>687.3</f>
        <v>687.3</v>
      </c>
      <c r="P449" s="34" t="s">
        <v>148</v>
      </c>
      <c r="Q449" s="33" t="n">
        <f>716.8</f>
        <v>716.8</v>
      </c>
      <c r="R449" s="34" t="s">
        <v>51</v>
      </c>
      <c r="S449" s="35" t="n">
        <f>705.29</f>
        <v>705.29</v>
      </c>
      <c r="T449" s="32" t="n">
        <f>29410</f>
        <v>29410.0</v>
      </c>
      <c r="U449" s="32" t="str">
        <f>"－"</f>
        <v>－</v>
      </c>
      <c r="V449" s="32" t="n">
        <f>20461872</f>
        <v>2.0461872E7</v>
      </c>
      <c r="W449" s="32" t="str">
        <f>"－"</f>
        <v>－</v>
      </c>
      <c r="X449" s="36" t="n">
        <f>7</f>
        <v>7.0</v>
      </c>
    </row>
    <row r="450">
      <c r="A450" s="27" t="s">
        <v>42</v>
      </c>
      <c r="B450" s="27" t="s">
        <v>1402</v>
      </c>
      <c r="C450" s="27" t="s">
        <v>1403</v>
      </c>
      <c r="D450" s="27" t="s">
        <v>1404</v>
      </c>
      <c r="E450" s="28" t="s">
        <v>1386</v>
      </c>
      <c r="F450" s="29" t="s">
        <v>1387</v>
      </c>
      <c r="G450" s="30" t="s">
        <v>1392</v>
      </c>
      <c r="H450" s="31"/>
      <c r="I450" s="31" t="s">
        <v>414</v>
      </c>
      <c r="J450" s="32" t="n">
        <v>10.0</v>
      </c>
      <c r="K450" s="33" t="n">
        <f>258</f>
        <v>258.0</v>
      </c>
      <c r="L450" s="34" t="s">
        <v>73</v>
      </c>
      <c r="M450" s="33" t="n">
        <f>278</f>
        <v>278.0</v>
      </c>
      <c r="N450" s="34" t="s">
        <v>51</v>
      </c>
      <c r="O450" s="33" t="n">
        <f>251.7</f>
        <v>251.7</v>
      </c>
      <c r="P450" s="34" t="s">
        <v>73</v>
      </c>
      <c r="Q450" s="33" t="n">
        <f>260.2</f>
        <v>260.2</v>
      </c>
      <c r="R450" s="34" t="s">
        <v>51</v>
      </c>
      <c r="S450" s="35" t="n">
        <f>256</f>
        <v>256.0</v>
      </c>
      <c r="T450" s="32" t="n">
        <f>383560</f>
        <v>383560.0</v>
      </c>
      <c r="U450" s="32" t="n">
        <f>130</f>
        <v>130.0</v>
      </c>
      <c r="V450" s="32" t="n">
        <f>97928256</f>
        <v>9.7928256E7</v>
      </c>
      <c r="W450" s="32" t="n">
        <f>34910</f>
        <v>34910.0</v>
      </c>
      <c r="X450" s="36" t="n">
        <f>7</f>
        <v>7.0</v>
      </c>
    </row>
    <row r="451">
      <c r="A451" s="27" t="s">
        <v>42</v>
      </c>
      <c r="B451" s="27" t="s">
        <v>1405</v>
      </c>
      <c r="C451" s="27" t="s">
        <v>1406</v>
      </c>
      <c r="D451" s="27" t="s">
        <v>1407</v>
      </c>
      <c r="E451" s="28" t="s">
        <v>1386</v>
      </c>
      <c r="F451" s="29" t="s">
        <v>1387</v>
      </c>
      <c r="G451" s="30" t="s">
        <v>1408</v>
      </c>
      <c r="H451" s="31"/>
      <c r="I451" s="31" t="s">
        <v>414</v>
      </c>
      <c r="J451" s="32" t="n">
        <v>10.0</v>
      </c>
      <c r="K451" s="33" t="n">
        <f>805.9</f>
        <v>805.9</v>
      </c>
      <c r="L451" s="34" t="s">
        <v>302</v>
      </c>
      <c r="M451" s="33" t="n">
        <f>824.5</f>
        <v>824.5</v>
      </c>
      <c r="N451" s="34" t="s">
        <v>262</v>
      </c>
      <c r="O451" s="33" t="n">
        <f>794.9</f>
        <v>794.9</v>
      </c>
      <c r="P451" s="34" t="s">
        <v>73</v>
      </c>
      <c r="Q451" s="33" t="n">
        <f>818</f>
        <v>818.0</v>
      </c>
      <c r="R451" s="34" t="s">
        <v>51</v>
      </c>
      <c r="S451" s="35" t="n">
        <f>810.46</f>
        <v>810.46</v>
      </c>
      <c r="T451" s="32" t="n">
        <f>1329560</f>
        <v>1329560.0</v>
      </c>
      <c r="U451" s="32" t="n">
        <f>625000</f>
        <v>625000.0</v>
      </c>
      <c r="V451" s="32" t="n">
        <f>1070509811</f>
        <v>1.070509811E9</v>
      </c>
      <c r="W451" s="32" t="n">
        <f>500150000</f>
        <v>5.0015E8</v>
      </c>
      <c r="X451" s="36" t="n">
        <f>12</f>
        <v>12.0</v>
      </c>
    </row>
    <row r="452">
      <c r="A452" s="27" t="s">
        <v>42</v>
      </c>
      <c r="B452" s="27" t="s">
        <v>1409</v>
      </c>
      <c r="C452" s="27" t="s">
        <v>1410</v>
      </c>
      <c r="D452" s="27" t="s">
        <v>1411</v>
      </c>
      <c r="E452" s="28" t="s">
        <v>1386</v>
      </c>
      <c r="F452" s="29" t="s">
        <v>1387</v>
      </c>
      <c r="G452" s="30" t="s">
        <v>1408</v>
      </c>
      <c r="H452" s="31"/>
      <c r="I452" s="31" t="s">
        <v>414</v>
      </c>
      <c r="J452" s="32" t="n">
        <v>10.0</v>
      </c>
      <c r="K452" s="33" t="n">
        <f>820</f>
        <v>820.0</v>
      </c>
      <c r="L452" s="34" t="s">
        <v>302</v>
      </c>
      <c r="M452" s="33" t="n">
        <f>852</f>
        <v>852.0</v>
      </c>
      <c r="N452" s="34" t="s">
        <v>51</v>
      </c>
      <c r="O452" s="33" t="n">
        <f>798.5</f>
        <v>798.5</v>
      </c>
      <c r="P452" s="34" t="s">
        <v>249</v>
      </c>
      <c r="Q452" s="33" t="n">
        <f>824.5</f>
        <v>824.5</v>
      </c>
      <c r="R452" s="34" t="s">
        <v>51</v>
      </c>
      <c r="S452" s="35" t="n">
        <f>812.36</f>
        <v>812.36</v>
      </c>
      <c r="T452" s="32" t="n">
        <f>1458630</f>
        <v>1458630.0</v>
      </c>
      <c r="U452" s="32" t="n">
        <f>625000</f>
        <v>625000.0</v>
      </c>
      <c r="V452" s="32" t="n">
        <f>1177351409</f>
        <v>1.177351409E9</v>
      </c>
      <c r="W452" s="32" t="n">
        <f>500150000</f>
        <v>5.0015E8</v>
      </c>
      <c r="X452" s="36" t="n">
        <f>12</f>
        <v>12.0</v>
      </c>
    </row>
    <row r="453">
      <c r="A453" s="27" t="s">
        <v>42</v>
      </c>
      <c r="B453" s="27" t="s">
        <v>1412</v>
      </c>
      <c r="C453" s="27" t="s">
        <v>1413</v>
      </c>
      <c r="D453" s="27" t="s">
        <v>1414</v>
      </c>
      <c r="E453" s="28" t="s">
        <v>1386</v>
      </c>
      <c r="F453" s="29" t="s">
        <v>1387</v>
      </c>
      <c r="G453" s="30" t="s">
        <v>1408</v>
      </c>
      <c r="H453" s="31"/>
      <c r="I453" s="31" t="s">
        <v>414</v>
      </c>
      <c r="J453" s="32" t="n">
        <v>1.0</v>
      </c>
      <c r="K453" s="33" t="n">
        <f>14210</f>
        <v>14210.0</v>
      </c>
      <c r="L453" s="34" t="s">
        <v>302</v>
      </c>
      <c r="M453" s="33" t="n">
        <f>14210</f>
        <v>14210.0</v>
      </c>
      <c r="N453" s="34" t="s">
        <v>302</v>
      </c>
      <c r="O453" s="33" t="n">
        <f>11275</f>
        <v>11275.0</v>
      </c>
      <c r="P453" s="34" t="s">
        <v>73</v>
      </c>
      <c r="Q453" s="33" t="n">
        <f>11600</f>
        <v>11600.0</v>
      </c>
      <c r="R453" s="34" t="s">
        <v>51</v>
      </c>
      <c r="S453" s="35" t="n">
        <f>11526.25</f>
        <v>11526.25</v>
      </c>
      <c r="T453" s="32" t="n">
        <f>10530</f>
        <v>10530.0</v>
      </c>
      <c r="U453" s="32" t="str">
        <f>"－"</f>
        <v>－</v>
      </c>
      <c r="V453" s="32" t="n">
        <f>122697000</f>
        <v>1.22697E8</v>
      </c>
      <c r="W453" s="32" t="str">
        <f>"－"</f>
        <v>－</v>
      </c>
      <c r="X453" s="36" t="n">
        <f>12</f>
        <v>12.0</v>
      </c>
    </row>
    <row r="454">
      <c r="A454" s="27" t="s">
        <v>42</v>
      </c>
      <c r="B454" s="27" t="s">
        <v>1415</v>
      </c>
      <c r="C454" s="27" t="s">
        <v>1416</v>
      </c>
      <c r="D454" s="27" t="s">
        <v>1417</v>
      </c>
      <c r="E454" s="28" t="s">
        <v>1386</v>
      </c>
      <c r="F454" s="29" t="s">
        <v>1387</v>
      </c>
      <c r="G454" s="30" t="s">
        <v>1418</v>
      </c>
      <c r="H454" s="31"/>
      <c r="I454" s="31" t="s">
        <v>414</v>
      </c>
      <c r="J454" s="32" t="n">
        <v>1.0</v>
      </c>
      <c r="K454" s="33" t="n">
        <f>2050</f>
        <v>2050.0</v>
      </c>
      <c r="L454" s="34" t="s">
        <v>49</v>
      </c>
      <c r="M454" s="33" t="n">
        <f>2406</f>
        <v>2406.0</v>
      </c>
      <c r="N454" s="34" t="s">
        <v>262</v>
      </c>
      <c r="O454" s="33" t="n">
        <f>1972</f>
        <v>1972.0</v>
      </c>
      <c r="P454" s="34" t="s">
        <v>73</v>
      </c>
      <c r="Q454" s="33" t="n">
        <f>2087</f>
        <v>2087.0</v>
      </c>
      <c r="R454" s="34" t="s">
        <v>51</v>
      </c>
      <c r="S454" s="35" t="n">
        <f>2042.36</f>
        <v>2042.36</v>
      </c>
      <c r="T454" s="32" t="n">
        <f>363836</f>
        <v>363836.0</v>
      </c>
      <c r="U454" s="32" t="n">
        <f>149800</f>
        <v>149800.0</v>
      </c>
      <c r="V454" s="32" t="n">
        <f>733739960</f>
        <v>7.3373996E8</v>
      </c>
      <c r="W454" s="32" t="n">
        <f>299899600</f>
        <v>2.998996E8</v>
      </c>
      <c r="X454" s="36" t="n">
        <f>11</f>
        <v>11.0</v>
      </c>
    </row>
    <row r="455">
      <c r="A455" s="27" t="s">
        <v>42</v>
      </c>
      <c r="B455" s="27" t="s">
        <v>1419</v>
      </c>
      <c r="C455" s="27" t="s">
        <v>1420</v>
      </c>
      <c r="D455" s="27" t="s">
        <v>1421</v>
      </c>
      <c r="E455" s="28" t="s">
        <v>1386</v>
      </c>
      <c r="F455" s="29" t="s">
        <v>1387</v>
      </c>
      <c r="G455" s="30" t="s">
        <v>1422</v>
      </c>
      <c r="H455" s="31"/>
      <c r="I455" s="31" t="s">
        <v>414</v>
      </c>
      <c r="J455" s="32" t="n">
        <v>1.0</v>
      </c>
      <c r="K455" s="33" t="n">
        <f>1026</f>
        <v>1026.0</v>
      </c>
      <c r="L455" s="34" t="s">
        <v>208</v>
      </c>
      <c r="M455" s="33" t="n">
        <f>1050</f>
        <v>1050.0</v>
      </c>
      <c r="N455" s="34" t="s">
        <v>69</v>
      </c>
      <c r="O455" s="33" t="n">
        <f>1025</f>
        <v>1025.0</v>
      </c>
      <c r="P455" s="34" t="s">
        <v>208</v>
      </c>
      <c r="Q455" s="33" t="n">
        <f>1040</f>
        <v>1040.0</v>
      </c>
      <c r="R455" s="34" t="s">
        <v>51</v>
      </c>
      <c r="S455" s="35" t="n">
        <f>1034.67</f>
        <v>1034.67</v>
      </c>
      <c r="T455" s="32" t="n">
        <f>642561</f>
        <v>642561.0</v>
      </c>
      <c r="U455" s="32" t="n">
        <f>100000</f>
        <v>100000.0</v>
      </c>
      <c r="V455" s="32" t="n">
        <f>664627338</f>
        <v>6.64627338E8</v>
      </c>
      <c r="W455" s="32" t="n">
        <f>103164860</f>
        <v>1.0316486E8</v>
      </c>
      <c r="X455" s="36" t="n">
        <f>3</f>
        <v>3.0</v>
      </c>
    </row>
    <row r="456">
      <c r="A456" s="27" t="s">
        <v>42</v>
      </c>
      <c r="B456" s="27" t="s">
        <v>1423</v>
      </c>
      <c r="C456" s="27" t="s">
        <v>1424</v>
      </c>
      <c r="D456" s="27" t="s">
        <v>1425</v>
      </c>
      <c r="E456" s="28" t="s">
        <v>1386</v>
      </c>
      <c r="F456" s="29" t="s">
        <v>1387</v>
      </c>
      <c r="G456" s="30" t="s">
        <v>1422</v>
      </c>
      <c r="H456" s="31"/>
      <c r="I456" s="31" t="s">
        <v>414</v>
      </c>
      <c r="J456" s="32" t="n">
        <v>1.0</v>
      </c>
      <c r="K456" s="33" t="n">
        <f>1017</f>
        <v>1017.0</v>
      </c>
      <c r="L456" s="34" t="s">
        <v>208</v>
      </c>
      <c r="M456" s="33" t="n">
        <f>1329</f>
        <v>1329.0</v>
      </c>
      <c r="N456" s="34" t="s">
        <v>69</v>
      </c>
      <c r="O456" s="33" t="n">
        <f>1010</f>
        <v>1010.0</v>
      </c>
      <c r="P456" s="34" t="s">
        <v>208</v>
      </c>
      <c r="Q456" s="33" t="n">
        <f>1026</f>
        <v>1026.0</v>
      </c>
      <c r="R456" s="34" t="s">
        <v>51</v>
      </c>
      <c r="S456" s="35" t="n">
        <f>1114</f>
        <v>1114.0</v>
      </c>
      <c r="T456" s="32" t="n">
        <f>1333195</f>
        <v>1333195.0</v>
      </c>
      <c r="U456" s="32" t="n">
        <f>429</f>
        <v>429.0</v>
      </c>
      <c r="V456" s="32" t="n">
        <f>1481404301</f>
        <v>1.481404301E9</v>
      </c>
      <c r="W456" s="32" t="n">
        <f>551424</f>
        <v>551424.0</v>
      </c>
      <c r="X456" s="36" t="n">
        <f>3</f>
        <v>3.0</v>
      </c>
    </row>
    <row r="457">
      <c r="A457" s="27" t="s">
        <v>42</v>
      </c>
      <c r="B457" s="27" t="s">
        <v>1426</v>
      </c>
      <c r="C457" s="27" t="s">
        <v>1427</v>
      </c>
      <c r="D457" s="27" t="s">
        <v>1428</v>
      </c>
      <c r="E457" s="28" t="s">
        <v>1386</v>
      </c>
      <c r="F457" s="29" t="s">
        <v>1387</v>
      </c>
      <c r="G457" s="30" t="s">
        <v>1422</v>
      </c>
      <c r="H457" s="31"/>
      <c r="I457" s="31" t="s">
        <v>414</v>
      </c>
      <c r="J457" s="32" t="n">
        <v>10.0</v>
      </c>
      <c r="K457" s="33" t="n">
        <f>301.5</f>
        <v>301.5</v>
      </c>
      <c r="L457" s="34" t="s">
        <v>208</v>
      </c>
      <c r="M457" s="33" t="n">
        <f>303</f>
        <v>303.0</v>
      </c>
      <c r="N457" s="34" t="s">
        <v>69</v>
      </c>
      <c r="O457" s="33" t="n">
        <f>300.7</f>
        <v>300.7</v>
      </c>
      <c r="P457" s="34" t="s">
        <v>208</v>
      </c>
      <c r="Q457" s="33" t="n">
        <f>302</f>
        <v>302.0</v>
      </c>
      <c r="R457" s="34" t="s">
        <v>51</v>
      </c>
      <c r="S457" s="35" t="n">
        <f>301.9</f>
        <v>301.9</v>
      </c>
      <c r="T457" s="32" t="n">
        <f>30750</f>
        <v>30750.0</v>
      </c>
      <c r="U457" s="32" t="str">
        <f>"－"</f>
        <v>－</v>
      </c>
      <c r="V457" s="32" t="n">
        <f>9279583</f>
        <v>9279583.0</v>
      </c>
      <c r="W457" s="32" t="str">
        <f>"－"</f>
        <v>－</v>
      </c>
      <c r="X457" s="36" t="n">
        <f>3</f>
        <v>3.0</v>
      </c>
    </row>
    <row r="458">
      <c r="A458" s="27" t="s">
        <v>42</v>
      </c>
      <c r="B458" s="27" t="s">
        <v>1429</v>
      </c>
      <c r="C458" s="27" t="s">
        <v>1430</v>
      </c>
      <c r="D458" s="27" t="s">
        <v>1431</v>
      </c>
      <c r="E458" s="28" t="s">
        <v>1386</v>
      </c>
      <c r="F458" s="29" t="s">
        <v>1387</v>
      </c>
      <c r="G458" s="30" t="s">
        <v>1422</v>
      </c>
      <c r="H458" s="31"/>
      <c r="I458" s="31" t="s">
        <v>414</v>
      </c>
      <c r="J458" s="32" t="n">
        <v>10.0</v>
      </c>
      <c r="K458" s="33" t="n">
        <f>299.5</f>
        <v>299.5</v>
      </c>
      <c r="L458" s="34" t="s">
        <v>208</v>
      </c>
      <c r="M458" s="33" t="n">
        <f>302</f>
        <v>302.0</v>
      </c>
      <c r="N458" s="34" t="s">
        <v>69</v>
      </c>
      <c r="O458" s="33" t="n">
        <f>299.1</f>
        <v>299.1</v>
      </c>
      <c r="P458" s="34" t="s">
        <v>208</v>
      </c>
      <c r="Q458" s="33" t="n">
        <f>301.2</f>
        <v>301.2</v>
      </c>
      <c r="R458" s="34" t="s">
        <v>51</v>
      </c>
      <c r="S458" s="35" t="n">
        <f>300.87</f>
        <v>300.87</v>
      </c>
      <c r="T458" s="32" t="n">
        <f>41490</f>
        <v>41490.0</v>
      </c>
      <c r="U458" s="32" t="str">
        <f>"－"</f>
        <v>－</v>
      </c>
      <c r="V458" s="32" t="n">
        <f>12452881</f>
        <v>1.2452881E7</v>
      </c>
      <c r="W458" s="32" t="str">
        <f>"－"</f>
        <v>－</v>
      </c>
      <c r="X458" s="36" t="n">
        <f>3</f>
        <v>3.0</v>
      </c>
    </row>
    <row r="459">
      <c r="A459" s="27" t="s">
        <v>42</v>
      </c>
      <c r="B459" s="27" t="s">
        <v>1432</v>
      </c>
      <c r="C459" s="27" t="s">
        <v>1433</v>
      </c>
      <c r="D459" s="27" t="s">
        <v>1434</v>
      </c>
      <c r="E459" s="28" t="s">
        <v>46</v>
      </c>
      <c r="F459" s="29" t="s">
        <v>46</v>
      </c>
      <c r="G459" s="30" t="s">
        <v>46</v>
      </c>
      <c r="H459" s="31"/>
      <c r="I459" s="31" t="s">
        <v>47</v>
      </c>
      <c r="J459" s="32" t="n">
        <v>1.0</v>
      </c>
      <c r="K459" s="33" t="n">
        <f>143000</f>
        <v>143000.0</v>
      </c>
      <c r="L459" s="34" t="s">
        <v>48</v>
      </c>
      <c r="M459" s="33" t="n">
        <f>151800</f>
        <v>151800.0</v>
      </c>
      <c r="N459" s="34" t="s">
        <v>69</v>
      </c>
      <c r="O459" s="33" t="n">
        <f>141800</f>
        <v>141800.0</v>
      </c>
      <c r="P459" s="34" t="s">
        <v>50</v>
      </c>
      <c r="Q459" s="33" t="n">
        <f>149300</f>
        <v>149300.0</v>
      </c>
      <c r="R459" s="34" t="s">
        <v>51</v>
      </c>
      <c r="S459" s="35" t="n">
        <f>146738.89</f>
        <v>146738.89</v>
      </c>
      <c r="T459" s="32" t="n">
        <f>487408</f>
        <v>487408.0</v>
      </c>
      <c r="U459" s="32" t="n">
        <f>123961</f>
        <v>123961.0</v>
      </c>
      <c r="V459" s="32" t="n">
        <f>71361444636</f>
        <v>7.1361444636E10</v>
      </c>
      <c r="W459" s="32" t="n">
        <f>18097147936</f>
        <v>1.8097147936E10</v>
      </c>
      <c r="X459" s="36" t="n">
        <f>18</f>
        <v>18.0</v>
      </c>
    </row>
    <row r="460">
      <c r="A460" s="27" t="s">
        <v>42</v>
      </c>
      <c r="B460" s="27" t="s">
        <v>1435</v>
      </c>
      <c r="C460" s="27" t="s">
        <v>1436</v>
      </c>
      <c r="D460" s="27" t="s">
        <v>1437</v>
      </c>
      <c r="E460" s="28" t="s">
        <v>46</v>
      </c>
      <c r="F460" s="29" t="s">
        <v>46</v>
      </c>
      <c r="G460" s="30" t="s">
        <v>46</v>
      </c>
      <c r="H460" s="31"/>
      <c r="I460" s="31" t="s">
        <v>47</v>
      </c>
      <c r="J460" s="32" t="n">
        <v>1.0</v>
      </c>
      <c r="K460" s="33" t="n">
        <f>127200</f>
        <v>127200.0</v>
      </c>
      <c r="L460" s="34" t="s">
        <v>48</v>
      </c>
      <c r="M460" s="33" t="n">
        <f>136500</f>
        <v>136500.0</v>
      </c>
      <c r="N460" s="34" t="s">
        <v>69</v>
      </c>
      <c r="O460" s="33" t="n">
        <f>125300</f>
        <v>125300.0</v>
      </c>
      <c r="P460" s="34" t="s">
        <v>50</v>
      </c>
      <c r="Q460" s="33" t="n">
        <f>133700</f>
        <v>133700.0</v>
      </c>
      <c r="R460" s="34" t="s">
        <v>51</v>
      </c>
      <c r="S460" s="35" t="n">
        <f>131322.22</f>
        <v>131322.22</v>
      </c>
      <c r="T460" s="32" t="n">
        <f>377626</f>
        <v>377626.0</v>
      </c>
      <c r="U460" s="32" t="n">
        <f>86938</f>
        <v>86938.0</v>
      </c>
      <c r="V460" s="32" t="n">
        <f>49500562743</f>
        <v>4.9500562743E10</v>
      </c>
      <c r="W460" s="32" t="n">
        <f>11371300243</f>
        <v>1.1371300243E10</v>
      </c>
      <c r="X460" s="36" t="n">
        <f>18</f>
        <v>18.0</v>
      </c>
    </row>
    <row r="461">
      <c r="A461" s="27" t="s">
        <v>42</v>
      </c>
      <c r="B461" s="27" t="s">
        <v>1438</v>
      </c>
      <c r="C461" s="27" t="s">
        <v>1439</v>
      </c>
      <c r="D461" s="27" t="s">
        <v>1440</v>
      </c>
      <c r="E461" s="28" t="s">
        <v>46</v>
      </c>
      <c r="F461" s="29" t="s">
        <v>46</v>
      </c>
      <c r="G461" s="30" t="s">
        <v>46</v>
      </c>
      <c r="H461" s="31"/>
      <c r="I461" s="31" t="s">
        <v>47</v>
      </c>
      <c r="J461" s="32" t="n">
        <v>1.0</v>
      </c>
      <c r="K461" s="33" t="n">
        <f>119000</f>
        <v>119000.0</v>
      </c>
      <c r="L461" s="34" t="s">
        <v>48</v>
      </c>
      <c r="M461" s="33" t="n">
        <f>123800</f>
        <v>123800.0</v>
      </c>
      <c r="N461" s="34" t="s">
        <v>51</v>
      </c>
      <c r="O461" s="33" t="n">
        <f>118200</f>
        <v>118200.0</v>
      </c>
      <c r="P461" s="34" t="s">
        <v>48</v>
      </c>
      <c r="Q461" s="33" t="n">
        <f>123100</f>
        <v>123100.0</v>
      </c>
      <c r="R461" s="34" t="s">
        <v>51</v>
      </c>
      <c r="S461" s="35" t="n">
        <f>121683.33</f>
        <v>121683.33</v>
      </c>
      <c r="T461" s="32" t="n">
        <f>323709</f>
        <v>323709.0</v>
      </c>
      <c r="U461" s="32" t="n">
        <f>77803</f>
        <v>77803.0</v>
      </c>
      <c r="V461" s="32" t="n">
        <f>39353727383</f>
        <v>3.9353727383E10</v>
      </c>
      <c r="W461" s="32" t="n">
        <f>9453912083</f>
        <v>9.453912083E9</v>
      </c>
      <c r="X461" s="36" t="n">
        <f>18</f>
        <v>18.0</v>
      </c>
    </row>
    <row r="462">
      <c r="A462" s="27" t="s">
        <v>42</v>
      </c>
      <c r="B462" s="27" t="s">
        <v>1441</v>
      </c>
      <c r="C462" s="27" t="s">
        <v>1442</v>
      </c>
      <c r="D462" s="27" t="s">
        <v>1443</v>
      </c>
      <c r="E462" s="28" t="s">
        <v>46</v>
      </c>
      <c r="F462" s="29" t="s">
        <v>46</v>
      </c>
      <c r="G462" s="30" t="s">
        <v>46</v>
      </c>
      <c r="H462" s="31"/>
      <c r="I462" s="31" t="s">
        <v>47</v>
      </c>
      <c r="J462" s="32" t="n">
        <v>1.0</v>
      </c>
      <c r="K462" s="33" t="n">
        <f>105000</f>
        <v>105000.0</v>
      </c>
      <c r="L462" s="34" t="s">
        <v>48</v>
      </c>
      <c r="M462" s="33" t="n">
        <f>108300</f>
        <v>108300.0</v>
      </c>
      <c r="N462" s="34" t="s">
        <v>249</v>
      </c>
      <c r="O462" s="33" t="n">
        <f>104100</f>
        <v>104100.0</v>
      </c>
      <c r="P462" s="34" t="s">
        <v>61</v>
      </c>
      <c r="Q462" s="33" t="n">
        <f>107200</f>
        <v>107200.0</v>
      </c>
      <c r="R462" s="34" t="s">
        <v>51</v>
      </c>
      <c r="S462" s="35" t="n">
        <f>106461.11</f>
        <v>106461.11</v>
      </c>
      <c r="T462" s="32" t="n">
        <f>330253</f>
        <v>330253.0</v>
      </c>
      <c r="U462" s="32" t="n">
        <f>85874</f>
        <v>85874.0</v>
      </c>
      <c r="V462" s="32" t="n">
        <f>35071460896</f>
        <v>3.5071460896E10</v>
      </c>
      <c r="W462" s="32" t="n">
        <f>9103949696</f>
        <v>9.103949696E9</v>
      </c>
      <c r="X462" s="36" t="n">
        <f>18</f>
        <v>18.0</v>
      </c>
    </row>
    <row r="463">
      <c r="A463" s="27" t="s">
        <v>42</v>
      </c>
      <c r="B463" s="27" t="s">
        <v>1444</v>
      </c>
      <c r="C463" s="27" t="s">
        <v>1445</v>
      </c>
      <c r="D463" s="27" t="s">
        <v>1446</v>
      </c>
      <c r="E463" s="28" t="s">
        <v>46</v>
      </c>
      <c r="F463" s="29" t="s">
        <v>46</v>
      </c>
      <c r="G463" s="30" t="s">
        <v>46</v>
      </c>
      <c r="H463" s="31"/>
      <c r="I463" s="31" t="s">
        <v>47</v>
      </c>
      <c r="J463" s="32" t="n">
        <v>1.0</v>
      </c>
      <c r="K463" s="33" t="n">
        <f>104800</f>
        <v>104800.0</v>
      </c>
      <c r="L463" s="34" t="s">
        <v>48</v>
      </c>
      <c r="M463" s="33" t="n">
        <f>108200</f>
        <v>108200.0</v>
      </c>
      <c r="N463" s="34" t="s">
        <v>69</v>
      </c>
      <c r="O463" s="33" t="n">
        <f>103100</f>
        <v>103100.0</v>
      </c>
      <c r="P463" s="34" t="s">
        <v>73</v>
      </c>
      <c r="Q463" s="33" t="n">
        <f>106300</f>
        <v>106300.0</v>
      </c>
      <c r="R463" s="34" t="s">
        <v>51</v>
      </c>
      <c r="S463" s="35" t="n">
        <f>105716.67</f>
        <v>105716.67</v>
      </c>
      <c r="T463" s="32" t="n">
        <f>141591</f>
        <v>141591.0</v>
      </c>
      <c r="U463" s="32" t="n">
        <f>28960</f>
        <v>28960.0</v>
      </c>
      <c r="V463" s="32" t="n">
        <f>14939341740</f>
        <v>1.493934174E10</v>
      </c>
      <c r="W463" s="32" t="n">
        <f>3060221840</f>
        <v>3.06022184E9</v>
      </c>
      <c r="X463" s="36" t="n">
        <f>18</f>
        <v>18.0</v>
      </c>
    </row>
    <row r="464">
      <c r="A464" s="27" t="s">
        <v>42</v>
      </c>
      <c r="B464" s="27" t="s">
        <v>1447</v>
      </c>
      <c r="C464" s="27" t="s">
        <v>1448</v>
      </c>
      <c r="D464" s="27" t="s">
        <v>1449</v>
      </c>
      <c r="E464" s="28" t="s">
        <v>46</v>
      </c>
      <c r="F464" s="29" t="s">
        <v>46</v>
      </c>
      <c r="G464" s="30" t="s">
        <v>46</v>
      </c>
      <c r="H464" s="31"/>
      <c r="I464" s="31" t="s">
        <v>47</v>
      </c>
      <c r="J464" s="32" t="n">
        <v>1.0</v>
      </c>
      <c r="K464" s="33" t="n">
        <f>136400</f>
        <v>136400.0</v>
      </c>
      <c r="L464" s="34" t="s">
        <v>48</v>
      </c>
      <c r="M464" s="33" t="n">
        <f>141600</f>
        <v>141600.0</v>
      </c>
      <c r="N464" s="34" t="s">
        <v>69</v>
      </c>
      <c r="O464" s="33" t="n">
        <f>135500</f>
        <v>135500.0</v>
      </c>
      <c r="P464" s="34" t="s">
        <v>48</v>
      </c>
      <c r="Q464" s="33" t="n">
        <f>140000</f>
        <v>140000.0</v>
      </c>
      <c r="R464" s="34" t="s">
        <v>51</v>
      </c>
      <c r="S464" s="35" t="n">
        <f>139144.44</f>
        <v>139144.44</v>
      </c>
      <c r="T464" s="32" t="n">
        <f>74177</f>
        <v>74177.0</v>
      </c>
      <c r="U464" s="32" t="n">
        <f>19765</f>
        <v>19765.0</v>
      </c>
      <c r="V464" s="32" t="n">
        <f>10309724592</f>
        <v>1.0309724592E10</v>
      </c>
      <c r="W464" s="32" t="n">
        <f>2744588292</f>
        <v>2.744588292E9</v>
      </c>
      <c r="X464" s="36" t="n">
        <f>18</f>
        <v>18.0</v>
      </c>
    </row>
    <row r="465">
      <c r="A465" s="27" t="s">
        <v>42</v>
      </c>
      <c r="B465" s="27" t="s">
        <v>1450</v>
      </c>
      <c r="C465" s="27" t="s">
        <v>1451</v>
      </c>
      <c r="D465" s="27" t="s">
        <v>1452</v>
      </c>
      <c r="E465" s="28" t="s">
        <v>46</v>
      </c>
      <c r="F465" s="29" t="s">
        <v>46</v>
      </c>
      <c r="G465" s="30" t="s">
        <v>46</v>
      </c>
      <c r="H465" s="31"/>
      <c r="I465" s="31" t="s">
        <v>47</v>
      </c>
      <c r="J465" s="32" t="n">
        <v>1.0</v>
      </c>
      <c r="K465" s="33" t="n">
        <f>197800</f>
        <v>197800.0</v>
      </c>
      <c r="L465" s="34" t="s">
        <v>48</v>
      </c>
      <c r="M465" s="33" t="n">
        <f>208300</f>
        <v>208300.0</v>
      </c>
      <c r="N465" s="34" t="s">
        <v>69</v>
      </c>
      <c r="O465" s="33" t="n">
        <f>197800</f>
        <v>197800.0</v>
      </c>
      <c r="P465" s="34" t="s">
        <v>48</v>
      </c>
      <c r="Q465" s="33" t="n">
        <f>204900</f>
        <v>204900.0</v>
      </c>
      <c r="R465" s="34" t="s">
        <v>51</v>
      </c>
      <c r="S465" s="35" t="n">
        <f>202594.44</f>
        <v>202594.44</v>
      </c>
      <c r="T465" s="32" t="n">
        <f>37118</f>
        <v>37118.0</v>
      </c>
      <c r="U465" s="32" t="n">
        <f>7514</f>
        <v>7514.0</v>
      </c>
      <c r="V465" s="32" t="n">
        <f>7519874868</f>
        <v>7.519874868E9</v>
      </c>
      <c r="W465" s="32" t="n">
        <f>1520869668</f>
        <v>1.520869668E9</v>
      </c>
      <c r="X465" s="36" t="n">
        <f>18</f>
        <v>18.0</v>
      </c>
    </row>
    <row r="466">
      <c r="A466" s="27" t="s">
        <v>42</v>
      </c>
      <c r="B466" s="27" t="s">
        <v>1453</v>
      </c>
      <c r="C466" s="27" t="s">
        <v>1454</v>
      </c>
      <c r="D466" s="27" t="s">
        <v>1455</v>
      </c>
      <c r="E466" s="28" t="s">
        <v>46</v>
      </c>
      <c r="F466" s="29" t="s">
        <v>46</v>
      </c>
      <c r="G466" s="30" t="s">
        <v>46</v>
      </c>
      <c r="H466" s="31"/>
      <c r="I466" s="31" t="s">
        <v>47</v>
      </c>
      <c r="J466" s="32" t="n">
        <v>1.0</v>
      </c>
      <c r="K466" s="33" t="n">
        <f>141800</f>
        <v>141800.0</v>
      </c>
      <c r="L466" s="34" t="s">
        <v>48</v>
      </c>
      <c r="M466" s="33" t="n">
        <f>147000</f>
        <v>147000.0</v>
      </c>
      <c r="N466" s="34" t="s">
        <v>262</v>
      </c>
      <c r="O466" s="33" t="n">
        <f>134400</f>
        <v>134400.0</v>
      </c>
      <c r="P466" s="34" t="s">
        <v>61</v>
      </c>
      <c r="Q466" s="33" t="n">
        <f>141900</f>
        <v>141900.0</v>
      </c>
      <c r="R466" s="34" t="s">
        <v>51</v>
      </c>
      <c r="S466" s="35" t="n">
        <f>143383.33</f>
        <v>143383.33</v>
      </c>
      <c r="T466" s="32" t="n">
        <f>60403</f>
        <v>60403.0</v>
      </c>
      <c r="U466" s="32" t="n">
        <f>8547</f>
        <v>8547.0</v>
      </c>
      <c r="V466" s="32" t="n">
        <f>8608055065</f>
        <v>8.608055065E9</v>
      </c>
      <c r="W466" s="32" t="n">
        <f>1220105665</f>
        <v>1.220105665E9</v>
      </c>
      <c r="X466" s="36" t="n">
        <f>18</f>
        <v>18.0</v>
      </c>
    </row>
    <row r="467">
      <c r="A467" s="27" t="s">
        <v>42</v>
      </c>
      <c r="B467" s="27" t="s">
        <v>1456</v>
      </c>
      <c r="C467" s="27" t="s">
        <v>1457</v>
      </c>
      <c r="D467" s="27" t="s">
        <v>1458</v>
      </c>
      <c r="E467" s="28" t="s">
        <v>46</v>
      </c>
      <c r="F467" s="29" t="s">
        <v>46</v>
      </c>
      <c r="G467" s="30" t="s">
        <v>46</v>
      </c>
      <c r="H467" s="31"/>
      <c r="I467" s="31" t="s">
        <v>47</v>
      </c>
      <c r="J467" s="32" t="n">
        <v>1.0</v>
      </c>
      <c r="K467" s="33" t="n">
        <f>187000</f>
        <v>187000.0</v>
      </c>
      <c r="L467" s="34" t="s">
        <v>48</v>
      </c>
      <c r="M467" s="33" t="n">
        <f>191600</f>
        <v>191600.0</v>
      </c>
      <c r="N467" s="34" t="s">
        <v>302</v>
      </c>
      <c r="O467" s="33" t="n">
        <f>181800</f>
        <v>181800.0</v>
      </c>
      <c r="P467" s="34" t="s">
        <v>148</v>
      </c>
      <c r="Q467" s="33" t="n">
        <f>184500</f>
        <v>184500.0</v>
      </c>
      <c r="R467" s="34" t="s">
        <v>51</v>
      </c>
      <c r="S467" s="35" t="n">
        <f>187361.11</f>
        <v>187361.11</v>
      </c>
      <c r="T467" s="32" t="n">
        <f>230385</f>
        <v>230385.0</v>
      </c>
      <c r="U467" s="32" t="n">
        <f>32941</f>
        <v>32941.0</v>
      </c>
      <c r="V467" s="32" t="n">
        <f>42855009500</f>
        <v>4.28550095E10</v>
      </c>
      <c r="W467" s="32" t="n">
        <f>6147131900</f>
        <v>6.1471319E9</v>
      </c>
      <c r="X467" s="36" t="n">
        <f>18</f>
        <v>18.0</v>
      </c>
    </row>
    <row r="468">
      <c r="A468" s="27" t="s">
        <v>42</v>
      </c>
      <c r="B468" s="27" t="s">
        <v>1459</v>
      </c>
      <c r="C468" s="27" t="s">
        <v>1460</v>
      </c>
      <c r="D468" s="27" t="s">
        <v>1461</v>
      </c>
      <c r="E468" s="28" t="s">
        <v>46</v>
      </c>
      <c r="F468" s="29" t="s">
        <v>46</v>
      </c>
      <c r="G468" s="30" t="s">
        <v>46</v>
      </c>
      <c r="H468" s="31"/>
      <c r="I468" s="31" t="s">
        <v>47</v>
      </c>
      <c r="J468" s="32" t="n">
        <v>1.0</v>
      </c>
      <c r="K468" s="33" t="n">
        <f>77900</f>
        <v>77900.0</v>
      </c>
      <c r="L468" s="34" t="s">
        <v>48</v>
      </c>
      <c r="M468" s="33" t="n">
        <f>80200</f>
        <v>80200.0</v>
      </c>
      <c r="N468" s="34" t="s">
        <v>302</v>
      </c>
      <c r="O468" s="33" t="n">
        <f>77400</f>
        <v>77400.0</v>
      </c>
      <c r="P468" s="34" t="s">
        <v>48</v>
      </c>
      <c r="Q468" s="33" t="n">
        <f>79800</f>
        <v>79800.0</v>
      </c>
      <c r="R468" s="34" t="s">
        <v>51</v>
      </c>
      <c r="S468" s="35" t="n">
        <f>78955.56</f>
        <v>78955.56</v>
      </c>
      <c r="T468" s="32" t="n">
        <f>146993</f>
        <v>146993.0</v>
      </c>
      <c r="U468" s="32" t="n">
        <f>35397</f>
        <v>35397.0</v>
      </c>
      <c r="V468" s="32" t="n">
        <f>11607530100</f>
        <v>1.16075301E10</v>
      </c>
      <c r="W468" s="32" t="n">
        <f>2796858500</f>
        <v>2.7968585E9</v>
      </c>
      <c r="X468" s="36" t="n">
        <f>18</f>
        <v>18.0</v>
      </c>
    </row>
    <row r="469">
      <c r="A469" s="27" t="s">
        <v>42</v>
      </c>
      <c r="B469" s="27" t="s">
        <v>1462</v>
      </c>
      <c r="C469" s="27" t="s">
        <v>1463</v>
      </c>
      <c r="D469" s="27" t="s">
        <v>1464</v>
      </c>
      <c r="E469" s="28" t="s">
        <v>46</v>
      </c>
      <c r="F469" s="29" t="s">
        <v>46</v>
      </c>
      <c r="G469" s="30" t="s">
        <v>46</v>
      </c>
      <c r="H469" s="31"/>
      <c r="I469" s="31" t="s">
        <v>47</v>
      </c>
      <c r="J469" s="32" t="n">
        <v>1.0</v>
      </c>
      <c r="K469" s="33" t="n">
        <f>69500</f>
        <v>69500.0</v>
      </c>
      <c r="L469" s="34" t="s">
        <v>48</v>
      </c>
      <c r="M469" s="33" t="n">
        <f>70100</f>
        <v>70100.0</v>
      </c>
      <c r="N469" s="34" t="s">
        <v>302</v>
      </c>
      <c r="O469" s="33" t="n">
        <f>64200</f>
        <v>64200.0</v>
      </c>
      <c r="P469" s="34" t="s">
        <v>73</v>
      </c>
      <c r="Q469" s="33" t="n">
        <f>66800</f>
        <v>66800.0</v>
      </c>
      <c r="R469" s="34" t="s">
        <v>51</v>
      </c>
      <c r="S469" s="35" t="n">
        <f>67550</f>
        <v>67550.0</v>
      </c>
      <c r="T469" s="32" t="n">
        <f>958476</f>
        <v>958476.0</v>
      </c>
      <c r="U469" s="32" t="n">
        <f>227213</f>
        <v>227213.0</v>
      </c>
      <c r="V469" s="32" t="n">
        <f>64353340633</f>
        <v>6.4353340633E10</v>
      </c>
      <c r="W469" s="32" t="n">
        <f>15297892533</f>
        <v>1.5297892533E10</v>
      </c>
      <c r="X469" s="36" t="n">
        <f>18</f>
        <v>18.0</v>
      </c>
    </row>
    <row r="470">
      <c r="A470" s="27" t="s">
        <v>42</v>
      </c>
      <c r="B470" s="27" t="s">
        <v>1465</v>
      </c>
      <c r="C470" s="27" t="s">
        <v>1466</v>
      </c>
      <c r="D470" s="27" t="s">
        <v>1467</v>
      </c>
      <c r="E470" s="28" t="s">
        <v>46</v>
      </c>
      <c r="F470" s="29" t="s">
        <v>46</v>
      </c>
      <c r="G470" s="30" t="s">
        <v>46</v>
      </c>
      <c r="H470" s="31"/>
      <c r="I470" s="31" t="s">
        <v>47</v>
      </c>
      <c r="J470" s="32" t="n">
        <v>1.0</v>
      </c>
      <c r="K470" s="33" t="n">
        <f>90900</f>
        <v>90900.0</v>
      </c>
      <c r="L470" s="34" t="s">
        <v>48</v>
      </c>
      <c r="M470" s="33" t="n">
        <f>95900</f>
        <v>95900.0</v>
      </c>
      <c r="N470" s="34" t="s">
        <v>69</v>
      </c>
      <c r="O470" s="33" t="n">
        <f>90600</f>
        <v>90600.0</v>
      </c>
      <c r="P470" s="34" t="s">
        <v>48</v>
      </c>
      <c r="Q470" s="33" t="n">
        <f>95000</f>
        <v>95000.0</v>
      </c>
      <c r="R470" s="34" t="s">
        <v>51</v>
      </c>
      <c r="S470" s="35" t="n">
        <f>92672.22</f>
        <v>92672.22</v>
      </c>
      <c r="T470" s="32" t="n">
        <f>113366</f>
        <v>113366.0</v>
      </c>
      <c r="U470" s="32" t="n">
        <f>28285</f>
        <v>28285.0</v>
      </c>
      <c r="V470" s="32" t="n">
        <f>10518032479</f>
        <v>1.0518032479E10</v>
      </c>
      <c r="W470" s="32" t="n">
        <f>2623714479</f>
        <v>2.623714479E9</v>
      </c>
      <c r="X470" s="36" t="n">
        <f>18</f>
        <v>18.0</v>
      </c>
    </row>
    <row r="471">
      <c r="A471" s="27" t="s">
        <v>42</v>
      </c>
      <c r="B471" s="27" t="s">
        <v>1468</v>
      </c>
      <c r="C471" s="27" t="s">
        <v>1469</v>
      </c>
      <c r="D471" s="27" t="s">
        <v>1470</v>
      </c>
      <c r="E471" s="28" t="s">
        <v>46</v>
      </c>
      <c r="F471" s="29" t="s">
        <v>46</v>
      </c>
      <c r="G471" s="30" t="s">
        <v>46</v>
      </c>
      <c r="H471" s="31"/>
      <c r="I471" s="31" t="s">
        <v>47</v>
      </c>
      <c r="J471" s="32" t="n">
        <v>1.0</v>
      </c>
      <c r="K471" s="33" t="n">
        <f>155000</f>
        <v>155000.0</v>
      </c>
      <c r="L471" s="34" t="s">
        <v>48</v>
      </c>
      <c r="M471" s="33" t="n">
        <f>162300</f>
        <v>162300.0</v>
      </c>
      <c r="N471" s="34" t="s">
        <v>208</v>
      </c>
      <c r="O471" s="33" t="n">
        <f>154100</f>
        <v>154100.0</v>
      </c>
      <c r="P471" s="34" t="s">
        <v>50</v>
      </c>
      <c r="Q471" s="33" t="n">
        <f>157600</f>
        <v>157600.0</v>
      </c>
      <c r="R471" s="34" t="s">
        <v>51</v>
      </c>
      <c r="S471" s="35" t="n">
        <f>158205.56</f>
        <v>158205.56</v>
      </c>
      <c r="T471" s="32" t="n">
        <f>85329</f>
        <v>85329.0</v>
      </c>
      <c r="U471" s="32" t="n">
        <f>12324</f>
        <v>12324.0</v>
      </c>
      <c r="V471" s="32" t="n">
        <f>13528724447</f>
        <v>1.3528724447E10</v>
      </c>
      <c r="W471" s="32" t="n">
        <f>1949701847</f>
        <v>1.949701847E9</v>
      </c>
      <c r="X471" s="36" t="n">
        <f>18</f>
        <v>18.0</v>
      </c>
    </row>
    <row r="472">
      <c r="A472" s="27" t="s">
        <v>42</v>
      </c>
      <c r="B472" s="27" t="s">
        <v>1471</v>
      </c>
      <c r="C472" s="27" t="s">
        <v>1472</v>
      </c>
      <c r="D472" s="27" t="s">
        <v>1473</v>
      </c>
      <c r="E472" s="28" t="s">
        <v>46</v>
      </c>
      <c r="F472" s="29" t="s">
        <v>46</v>
      </c>
      <c r="G472" s="30" t="s">
        <v>46</v>
      </c>
      <c r="H472" s="31"/>
      <c r="I472" s="31" t="s">
        <v>47</v>
      </c>
      <c r="J472" s="32" t="n">
        <v>1.0</v>
      </c>
      <c r="K472" s="33" t="n">
        <f>100000</f>
        <v>100000.0</v>
      </c>
      <c r="L472" s="34" t="s">
        <v>48</v>
      </c>
      <c r="M472" s="33" t="n">
        <f>104700</f>
        <v>104700.0</v>
      </c>
      <c r="N472" s="34" t="s">
        <v>69</v>
      </c>
      <c r="O472" s="33" t="n">
        <f>100000</f>
        <v>100000.0</v>
      </c>
      <c r="P472" s="34" t="s">
        <v>48</v>
      </c>
      <c r="Q472" s="33" t="n">
        <f>103600</f>
        <v>103600.0</v>
      </c>
      <c r="R472" s="34" t="s">
        <v>51</v>
      </c>
      <c r="S472" s="35" t="n">
        <f>102777.78</f>
        <v>102777.78</v>
      </c>
      <c r="T472" s="32" t="n">
        <f>97670</f>
        <v>97670.0</v>
      </c>
      <c r="U472" s="32" t="n">
        <f>28372</f>
        <v>28372.0</v>
      </c>
      <c r="V472" s="32" t="n">
        <f>10029597916</f>
        <v>1.0029597916E10</v>
      </c>
      <c r="W472" s="32" t="n">
        <f>2913498516</f>
        <v>2.913498516E9</v>
      </c>
      <c r="X472" s="36" t="n">
        <f>18</f>
        <v>18.0</v>
      </c>
    </row>
    <row r="473">
      <c r="A473" s="27" t="s">
        <v>42</v>
      </c>
      <c r="B473" s="27" t="s">
        <v>1474</v>
      </c>
      <c r="C473" s="27" t="s">
        <v>1475</v>
      </c>
      <c r="D473" s="27" t="s">
        <v>1476</v>
      </c>
      <c r="E473" s="28" t="s">
        <v>46</v>
      </c>
      <c r="F473" s="29" t="s">
        <v>46</v>
      </c>
      <c r="G473" s="30" t="s">
        <v>46</v>
      </c>
      <c r="H473" s="31"/>
      <c r="I473" s="31" t="s">
        <v>47</v>
      </c>
      <c r="J473" s="32" t="n">
        <v>1.0</v>
      </c>
      <c r="K473" s="33" t="n">
        <f>188500</f>
        <v>188500.0</v>
      </c>
      <c r="L473" s="34" t="s">
        <v>48</v>
      </c>
      <c r="M473" s="33" t="n">
        <f>193900</f>
        <v>193900.0</v>
      </c>
      <c r="N473" s="34" t="s">
        <v>302</v>
      </c>
      <c r="O473" s="33" t="n">
        <f>188100</f>
        <v>188100.0</v>
      </c>
      <c r="P473" s="34" t="s">
        <v>73</v>
      </c>
      <c r="Q473" s="33" t="n">
        <f>192000</f>
        <v>192000.0</v>
      </c>
      <c r="R473" s="34" t="s">
        <v>51</v>
      </c>
      <c r="S473" s="35" t="n">
        <f>191716.67</f>
        <v>191716.67</v>
      </c>
      <c r="T473" s="32" t="n">
        <f>41266</f>
        <v>41266.0</v>
      </c>
      <c r="U473" s="32" t="n">
        <f>12480</f>
        <v>12480.0</v>
      </c>
      <c r="V473" s="32" t="n">
        <f>7905273814</f>
        <v>7.905273814E9</v>
      </c>
      <c r="W473" s="32" t="n">
        <f>2390329214</f>
        <v>2.390329214E9</v>
      </c>
      <c r="X473" s="36" t="n">
        <f>18</f>
        <v>18.0</v>
      </c>
    </row>
    <row r="474">
      <c r="A474" s="27" t="s">
        <v>42</v>
      </c>
      <c r="B474" s="27" t="s">
        <v>1477</v>
      </c>
      <c r="C474" s="27" t="s">
        <v>1478</v>
      </c>
      <c r="D474" s="27" t="s">
        <v>1479</v>
      </c>
      <c r="E474" s="28" t="s">
        <v>46</v>
      </c>
      <c r="F474" s="29" t="s">
        <v>46</v>
      </c>
      <c r="G474" s="30" t="s">
        <v>46</v>
      </c>
      <c r="H474" s="31"/>
      <c r="I474" s="31" t="s">
        <v>47</v>
      </c>
      <c r="J474" s="32" t="n">
        <v>1.0</v>
      </c>
      <c r="K474" s="33" t="n">
        <f>170500</f>
        <v>170500.0</v>
      </c>
      <c r="L474" s="34" t="s">
        <v>48</v>
      </c>
      <c r="M474" s="33" t="n">
        <f>181300</f>
        <v>181300.0</v>
      </c>
      <c r="N474" s="34" t="s">
        <v>69</v>
      </c>
      <c r="O474" s="33" t="n">
        <f>170300</f>
        <v>170300.0</v>
      </c>
      <c r="P474" s="34" t="s">
        <v>48</v>
      </c>
      <c r="Q474" s="33" t="n">
        <f>178100</f>
        <v>178100.0</v>
      </c>
      <c r="R474" s="34" t="s">
        <v>51</v>
      </c>
      <c r="S474" s="35" t="n">
        <f>175294.44</f>
        <v>175294.44</v>
      </c>
      <c r="T474" s="32" t="n">
        <f>176400</f>
        <v>176400.0</v>
      </c>
      <c r="U474" s="32" t="n">
        <f>42824</f>
        <v>42824.0</v>
      </c>
      <c r="V474" s="32" t="n">
        <f>30925163320</f>
        <v>3.092516332E10</v>
      </c>
      <c r="W474" s="32" t="n">
        <f>7507337320</f>
        <v>7.50733732E9</v>
      </c>
      <c r="X474" s="36" t="n">
        <f>18</f>
        <v>18.0</v>
      </c>
    </row>
    <row r="475">
      <c r="A475" s="27" t="s">
        <v>42</v>
      </c>
      <c r="B475" s="27" t="s">
        <v>1480</v>
      </c>
      <c r="C475" s="27" t="s">
        <v>1481</v>
      </c>
      <c r="D475" s="27" t="s">
        <v>1482</v>
      </c>
      <c r="E475" s="28" t="s">
        <v>46</v>
      </c>
      <c r="F475" s="29" t="s">
        <v>46</v>
      </c>
      <c r="G475" s="30" t="s">
        <v>46</v>
      </c>
      <c r="H475" s="31"/>
      <c r="I475" s="31" t="s">
        <v>47</v>
      </c>
      <c r="J475" s="32" t="n">
        <v>1.0</v>
      </c>
      <c r="K475" s="33" t="n">
        <f>94700</f>
        <v>94700.0</v>
      </c>
      <c r="L475" s="34" t="s">
        <v>48</v>
      </c>
      <c r="M475" s="33" t="n">
        <f>100500</f>
        <v>100500.0</v>
      </c>
      <c r="N475" s="34" t="s">
        <v>51</v>
      </c>
      <c r="O475" s="33" t="n">
        <f>93600</f>
        <v>93600.0</v>
      </c>
      <c r="P475" s="34" t="s">
        <v>50</v>
      </c>
      <c r="Q475" s="33" t="n">
        <f>99500</f>
        <v>99500.0</v>
      </c>
      <c r="R475" s="34" t="s">
        <v>51</v>
      </c>
      <c r="S475" s="35" t="n">
        <f>97277.78</f>
        <v>97277.78</v>
      </c>
      <c r="T475" s="32" t="n">
        <f>71230</f>
        <v>71230.0</v>
      </c>
      <c r="U475" s="32" t="n">
        <f>18455</f>
        <v>18455.0</v>
      </c>
      <c r="V475" s="32" t="n">
        <f>6937016715</f>
        <v>6.937016715E9</v>
      </c>
      <c r="W475" s="32" t="n">
        <f>1803031715</f>
        <v>1.803031715E9</v>
      </c>
      <c r="X475" s="36" t="n">
        <f>18</f>
        <v>18.0</v>
      </c>
    </row>
    <row r="476">
      <c r="A476" s="27" t="s">
        <v>42</v>
      </c>
      <c r="B476" s="27" t="s">
        <v>1483</v>
      </c>
      <c r="C476" s="27" t="s">
        <v>1484</v>
      </c>
      <c r="D476" s="27" t="s">
        <v>1485</v>
      </c>
      <c r="E476" s="28" t="s">
        <v>46</v>
      </c>
      <c r="F476" s="29" t="s">
        <v>46</v>
      </c>
      <c r="G476" s="30" t="s">
        <v>46</v>
      </c>
      <c r="H476" s="31"/>
      <c r="I476" s="31" t="s">
        <v>47</v>
      </c>
      <c r="J476" s="32" t="n">
        <v>1.0</v>
      </c>
      <c r="K476" s="33" t="n">
        <f>378500</f>
        <v>378500.0</v>
      </c>
      <c r="L476" s="34" t="s">
        <v>48</v>
      </c>
      <c r="M476" s="33" t="n">
        <f>391000</f>
        <v>391000.0</v>
      </c>
      <c r="N476" s="34" t="s">
        <v>114</v>
      </c>
      <c r="O476" s="33" t="n">
        <f>377000</f>
        <v>377000.0</v>
      </c>
      <c r="P476" s="34" t="s">
        <v>48</v>
      </c>
      <c r="Q476" s="33" t="n">
        <f>381000</f>
        <v>381000.0</v>
      </c>
      <c r="R476" s="34" t="s">
        <v>51</v>
      </c>
      <c r="S476" s="35" t="n">
        <f>383194.44</f>
        <v>383194.44</v>
      </c>
      <c r="T476" s="32" t="n">
        <f>37632</f>
        <v>37632.0</v>
      </c>
      <c r="U476" s="32" t="n">
        <f>9048</f>
        <v>9048.0</v>
      </c>
      <c r="V476" s="32" t="n">
        <f>14427810855</f>
        <v>1.4427810855E10</v>
      </c>
      <c r="W476" s="32" t="n">
        <f>3468781355</f>
        <v>3.468781355E9</v>
      </c>
      <c r="X476" s="36" t="n">
        <f>18</f>
        <v>18.0</v>
      </c>
    </row>
    <row r="477">
      <c r="A477" s="27" t="s">
        <v>42</v>
      </c>
      <c r="B477" s="27" t="s">
        <v>1486</v>
      </c>
      <c r="C477" s="27" t="s">
        <v>1487</v>
      </c>
      <c r="D477" s="27" t="s">
        <v>1488</v>
      </c>
      <c r="E477" s="28" t="s">
        <v>46</v>
      </c>
      <c r="F477" s="29" t="s">
        <v>46</v>
      </c>
      <c r="G477" s="30" t="s">
        <v>46</v>
      </c>
      <c r="H477" s="31"/>
      <c r="I477" s="31" t="s">
        <v>47</v>
      </c>
      <c r="J477" s="32" t="n">
        <v>1.0</v>
      </c>
      <c r="K477" s="33" t="n">
        <f>178300</f>
        <v>178300.0</v>
      </c>
      <c r="L477" s="34" t="s">
        <v>48</v>
      </c>
      <c r="M477" s="33" t="n">
        <f>179900</f>
        <v>179900.0</v>
      </c>
      <c r="N477" s="34" t="s">
        <v>302</v>
      </c>
      <c r="O477" s="33" t="n">
        <f>172100</f>
        <v>172100.0</v>
      </c>
      <c r="P477" s="34" t="s">
        <v>51</v>
      </c>
      <c r="Q477" s="33" t="n">
        <f>173900</f>
        <v>173900.0</v>
      </c>
      <c r="R477" s="34" t="s">
        <v>51</v>
      </c>
      <c r="S477" s="35" t="n">
        <f>176305.56</f>
        <v>176305.56</v>
      </c>
      <c r="T477" s="32" t="n">
        <f>44366</f>
        <v>44366.0</v>
      </c>
      <c r="U477" s="32" t="n">
        <f>3948</f>
        <v>3948.0</v>
      </c>
      <c r="V477" s="32" t="n">
        <f>7810008615</f>
        <v>7.810008615E9</v>
      </c>
      <c r="W477" s="32" t="n">
        <f>694782315</f>
        <v>6.94782315E8</v>
      </c>
      <c r="X477" s="36" t="n">
        <f>18</f>
        <v>18.0</v>
      </c>
    </row>
    <row r="478">
      <c r="A478" s="27" t="s">
        <v>42</v>
      </c>
      <c r="B478" s="27" t="s">
        <v>1489</v>
      </c>
      <c r="C478" s="27" t="s">
        <v>1490</v>
      </c>
      <c r="D478" s="27" t="s">
        <v>1491</v>
      </c>
      <c r="E478" s="28" t="s">
        <v>46</v>
      </c>
      <c r="F478" s="29" t="s">
        <v>46</v>
      </c>
      <c r="G478" s="30" t="s">
        <v>46</v>
      </c>
      <c r="H478" s="31"/>
      <c r="I478" s="31" t="s">
        <v>414</v>
      </c>
      <c r="J478" s="32" t="n">
        <v>1.0</v>
      </c>
      <c r="K478" s="33" t="n">
        <f>201200</f>
        <v>201200.0</v>
      </c>
      <c r="L478" s="34" t="s">
        <v>48</v>
      </c>
      <c r="M478" s="33" t="n">
        <f>209700</f>
        <v>209700.0</v>
      </c>
      <c r="N478" s="34" t="s">
        <v>51</v>
      </c>
      <c r="O478" s="33" t="n">
        <f>200000</f>
        <v>200000.0</v>
      </c>
      <c r="P478" s="34" t="s">
        <v>50</v>
      </c>
      <c r="Q478" s="33" t="n">
        <f>208000</f>
        <v>208000.0</v>
      </c>
      <c r="R478" s="34" t="s">
        <v>51</v>
      </c>
      <c r="S478" s="35" t="n">
        <f>204361.11</f>
        <v>204361.11</v>
      </c>
      <c r="T478" s="32" t="n">
        <f>11165</f>
        <v>11165.0</v>
      </c>
      <c r="U478" s="32" t="n">
        <f>1994</f>
        <v>1994.0</v>
      </c>
      <c r="V478" s="32" t="n">
        <f>2282955421</f>
        <v>2.282955421E9</v>
      </c>
      <c r="W478" s="32" t="n">
        <f>409380521</f>
        <v>4.09380521E8</v>
      </c>
      <c r="X478" s="36" t="n">
        <f>18</f>
        <v>18.0</v>
      </c>
    </row>
    <row r="479">
      <c r="A479" s="27" t="s">
        <v>42</v>
      </c>
      <c r="B479" s="27" t="s">
        <v>1492</v>
      </c>
      <c r="C479" s="27" t="s">
        <v>1493</v>
      </c>
      <c r="D479" s="27" t="s">
        <v>1494</v>
      </c>
      <c r="E479" s="28" t="s">
        <v>46</v>
      </c>
      <c r="F479" s="29" t="s">
        <v>46</v>
      </c>
      <c r="G479" s="30" t="s">
        <v>46</v>
      </c>
      <c r="H479" s="31"/>
      <c r="I479" s="31" t="s">
        <v>47</v>
      </c>
      <c r="J479" s="32" t="n">
        <v>1.0</v>
      </c>
      <c r="K479" s="33" t="n">
        <f>133000</f>
        <v>133000.0</v>
      </c>
      <c r="L479" s="34" t="s">
        <v>48</v>
      </c>
      <c r="M479" s="33" t="n">
        <f>144500</f>
        <v>144500.0</v>
      </c>
      <c r="N479" s="34" t="s">
        <v>51</v>
      </c>
      <c r="O479" s="33" t="n">
        <f>132800</f>
        <v>132800.0</v>
      </c>
      <c r="P479" s="34" t="s">
        <v>48</v>
      </c>
      <c r="Q479" s="33" t="n">
        <f>141600</f>
        <v>141600.0</v>
      </c>
      <c r="R479" s="34" t="s">
        <v>51</v>
      </c>
      <c r="S479" s="35" t="n">
        <f>138166.67</f>
        <v>138166.67</v>
      </c>
      <c r="T479" s="32" t="n">
        <f>237374</f>
        <v>237374.0</v>
      </c>
      <c r="U479" s="32" t="n">
        <f>62919</f>
        <v>62919.0</v>
      </c>
      <c r="V479" s="32" t="n">
        <f>32803774268</f>
        <v>3.2803774268E10</v>
      </c>
      <c r="W479" s="32" t="n">
        <f>8689683768</f>
        <v>8.689683768E9</v>
      </c>
      <c r="X479" s="36" t="n">
        <f>18</f>
        <v>18.0</v>
      </c>
    </row>
    <row r="480">
      <c r="A480" s="27" t="s">
        <v>42</v>
      </c>
      <c r="B480" s="27" t="s">
        <v>1495</v>
      </c>
      <c r="C480" s="27" t="s">
        <v>1496</v>
      </c>
      <c r="D480" s="27" t="s">
        <v>1497</v>
      </c>
      <c r="E480" s="28" t="s">
        <v>46</v>
      </c>
      <c r="F480" s="29" t="s">
        <v>46</v>
      </c>
      <c r="G480" s="30" t="s">
        <v>46</v>
      </c>
      <c r="H480" s="31"/>
      <c r="I480" s="31" t="s">
        <v>47</v>
      </c>
      <c r="J480" s="32" t="n">
        <v>1.0</v>
      </c>
      <c r="K480" s="33" t="n">
        <f>89900</f>
        <v>89900.0</v>
      </c>
      <c r="L480" s="34" t="s">
        <v>48</v>
      </c>
      <c r="M480" s="33" t="n">
        <f>91600</f>
        <v>91600.0</v>
      </c>
      <c r="N480" s="34" t="s">
        <v>302</v>
      </c>
      <c r="O480" s="33" t="n">
        <f>83500</f>
        <v>83500.0</v>
      </c>
      <c r="P480" s="34" t="s">
        <v>61</v>
      </c>
      <c r="Q480" s="33" t="n">
        <f>86300</f>
        <v>86300.0</v>
      </c>
      <c r="R480" s="34" t="s">
        <v>51</v>
      </c>
      <c r="S480" s="35" t="n">
        <f>88055.56</f>
        <v>88055.56</v>
      </c>
      <c r="T480" s="32" t="n">
        <f>547882</f>
        <v>547882.0</v>
      </c>
      <c r="U480" s="32" t="n">
        <f>149028</f>
        <v>149028.0</v>
      </c>
      <c r="V480" s="32" t="n">
        <f>47660139253</f>
        <v>4.7660139253E10</v>
      </c>
      <c r="W480" s="32" t="n">
        <f>12943608653</f>
        <v>1.2943608653E10</v>
      </c>
      <c r="X480" s="36" t="n">
        <f>18</f>
        <v>18.0</v>
      </c>
    </row>
    <row r="481">
      <c r="A481" s="27" t="s">
        <v>42</v>
      </c>
      <c r="B481" s="27" t="s">
        <v>1498</v>
      </c>
      <c r="C481" s="27" t="s">
        <v>1499</v>
      </c>
      <c r="D481" s="27" t="s">
        <v>1500</v>
      </c>
      <c r="E481" s="28" t="s">
        <v>46</v>
      </c>
      <c r="F481" s="29" t="s">
        <v>46</v>
      </c>
      <c r="G481" s="30" t="s">
        <v>46</v>
      </c>
      <c r="H481" s="31"/>
      <c r="I481" s="31" t="s">
        <v>47</v>
      </c>
      <c r="J481" s="32" t="n">
        <v>1.0</v>
      </c>
      <c r="K481" s="33" t="n">
        <f>110500</f>
        <v>110500.0</v>
      </c>
      <c r="L481" s="34" t="s">
        <v>48</v>
      </c>
      <c r="M481" s="33" t="n">
        <f>116200</f>
        <v>116200.0</v>
      </c>
      <c r="N481" s="34" t="s">
        <v>69</v>
      </c>
      <c r="O481" s="33" t="n">
        <f>109900</f>
        <v>109900.0</v>
      </c>
      <c r="P481" s="34" t="s">
        <v>50</v>
      </c>
      <c r="Q481" s="33" t="n">
        <f>113700</f>
        <v>113700.0</v>
      </c>
      <c r="R481" s="34" t="s">
        <v>51</v>
      </c>
      <c r="S481" s="35" t="n">
        <f>113694.44</f>
        <v>113694.44</v>
      </c>
      <c r="T481" s="32" t="n">
        <f>90576</f>
        <v>90576.0</v>
      </c>
      <c r="U481" s="32" t="n">
        <f>25553</f>
        <v>25553.0</v>
      </c>
      <c r="V481" s="32" t="n">
        <f>10305889792</f>
        <v>1.0305889792E10</v>
      </c>
      <c r="W481" s="32" t="n">
        <f>2910315392</f>
        <v>2.910315392E9</v>
      </c>
      <c r="X481" s="36" t="n">
        <f>18</f>
        <v>18.0</v>
      </c>
    </row>
    <row r="482">
      <c r="A482" s="27" t="s">
        <v>42</v>
      </c>
      <c r="B482" s="27" t="s">
        <v>1501</v>
      </c>
      <c r="C482" s="27" t="s">
        <v>1502</v>
      </c>
      <c r="D482" s="27" t="s">
        <v>1503</v>
      </c>
      <c r="E482" s="28" t="s">
        <v>46</v>
      </c>
      <c r="F482" s="29" t="s">
        <v>46</v>
      </c>
      <c r="G482" s="30" t="s">
        <v>46</v>
      </c>
      <c r="H482" s="31"/>
      <c r="I482" s="31" t="s">
        <v>47</v>
      </c>
      <c r="J482" s="32" t="n">
        <v>1.0</v>
      </c>
      <c r="K482" s="33" t="n">
        <f>147600</f>
        <v>147600.0</v>
      </c>
      <c r="L482" s="34" t="s">
        <v>48</v>
      </c>
      <c r="M482" s="33" t="n">
        <f>153500</f>
        <v>153500.0</v>
      </c>
      <c r="N482" s="34" t="s">
        <v>69</v>
      </c>
      <c r="O482" s="33" t="n">
        <f>145800</f>
        <v>145800.0</v>
      </c>
      <c r="P482" s="34" t="s">
        <v>50</v>
      </c>
      <c r="Q482" s="33" t="n">
        <f>152000</f>
        <v>152000.0</v>
      </c>
      <c r="R482" s="34" t="s">
        <v>51</v>
      </c>
      <c r="S482" s="35" t="n">
        <f>149211.11</f>
        <v>149211.11</v>
      </c>
      <c r="T482" s="32" t="n">
        <f>50277</f>
        <v>50277.0</v>
      </c>
      <c r="U482" s="32" t="n">
        <f>12491</f>
        <v>12491.0</v>
      </c>
      <c r="V482" s="32" t="n">
        <f>7509290297</f>
        <v>7.509290297E9</v>
      </c>
      <c r="W482" s="32" t="n">
        <f>1865078297</f>
        <v>1.865078297E9</v>
      </c>
      <c r="X482" s="36" t="n">
        <f>18</f>
        <v>18.0</v>
      </c>
    </row>
    <row r="483">
      <c r="A483" s="27" t="s">
        <v>42</v>
      </c>
      <c r="B483" s="27" t="s">
        <v>1504</v>
      </c>
      <c r="C483" s="27" t="s">
        <v>1505</v>
      </c>
      <c r="D483" s="27" t="s">
        <v>1506</v>
      </c>
      <c r="E483" s="28" t="s">
        <v>46</v>
      </c>
      <c r="F483" s="29" t="s">
        <v>46</v>
      </c>
      <c r="G483" s="30" t="s">
        <v>46</v>
      </c>
      <c r="H483" s="31"/>
      <c r="I483" s="31" t="s">
        <v>414</v>
      </c>
      <c r="J483" s="32" t="n">
        <v>1.0</v>
      </c>
      <c r="K483" s="33" t="n">
        <f>46150</f>
        <v>46150.0</v>
      </c>
      <c r="L483" s="34" t="s">
        <v>48</v>
      </c>
      <c r="M483" s="33" t="n">
        <f>50500</f>
        <v>50500.0</v>
      </c>
      <c r="N483" s="34" t="s">
        <v>201</v>
      </c>
      <c r="O483" s="33" t="n">
        <f>46100</f>
        <v>46100.0</v>
      </c>
      <c r="P483" s="34" t="s">
        <v>48</v>
      </c>
      <c r="Q483" s="33" t="n">
        <f>49950</f>
        <v>49950.0</v>
      </c>
      <c r="R483" s="34" t="s">
        <v>51</v>
      </c>
      <c r="S483" s="35" t="n">
        <f>48891.67</f>
        <v>48891.67</v>
      </c>
      <c r="T483" s="32" t="n">
        <f>5662</f>
        <v>5662.0</v>
      </c>
      <c r="U483" s="32" t="str">
        <f>"－"</f>
        <v>－</v>
      </c>
      <c r="V483" s="32" t="n">
        <f>276957000</f>
        <v>2.76957E8</v>
      </c>
      <c r="W483" s="32" t="str">
        <f>"－"</f>
        <v>－</v>
      </c>
      <c r="X483" s="36" t="n">
        <f>18</f>
        <v>18.0</v>
      </c>
    </row>
    <row r="484">
      <c r="A484" s="27" t="s">
        <v>42</v>
      </c>
      <c r="B484" s="27" t="s">
        <v>1507</v>
      </c>
      <c r="C484" s="27" t="s">
        <v>1508</v>
      </c>
      <c r="D484" s="27" t="s">
        <v>1509</v>
      </c>
      <c r="E484" s="28" t="s">
        <v>46</v>
      </c>
      <c r="F484" s="29" t="s">
        <v>46</v>
      </c>
      <c r="G484" s="30" t="s">
        <v>46</v>
      </c>
      <c r="H484" s="31"/>
      <c r="I484" s="31" t="s">
        <v>414</v>
      </c>
      <c r="J484" s="32" t="n">
        <v>1.0</v>
      </c>
      <c r="K484" s="33" t="n">
        <f>90000</f>
        <v>90000.0</v>
      </c>
      <c r="L484" s="34" t="s">
        <v>48</v>
      </c>
      <c r="M484" s="33" t="n">
        <f>98000</f>
        <v>98000.0</v>
      </c>
      <c r="N484" s="34" t="s">
        <v>245</v>
      </c>
      <c r="O484" s="33" t="n">
        <f>90000</f>
        <v>90000.0</v>
      </c>
      <c r="P484" s="34" t="s">
        <v>48</v>
      </c>
      <c r="Q484" s="33" t="n">
        <f>95900</f>
        <v>95900.0</v>
      </c>
      <c r="R484" s="34" t="s">
        <v>51</v>
      </c>
      <c r="S484" s="35" t="n">
        <f>95416.67</f>
        <v>95416.67</v>
      </c>
      <c r="T484" s="32" t="n">
        <f>15981</f>
        <v>15981.0</v>
      </c>
      <c r="U484" s="32" t="n">
        <f>198</f>
        <v>198.0</v>
      </c>
      <c r="V484" s="32" t="n">
        <f>1523719085</f>
        <v>1.523719085E9</v>
      </c>
      <c r="W484" s="32" t="n">
        <f>18890685</f>
        <v>1.8890685E7</v>
      </c>
      <c r="X484" s="36" t="n">
        <f>18</f>
        <v>18.0</v>
      </c>
    </row>
    <row r="485">
      <c r="A485" s="27" t="s">
        <v>42</v>
      </c>
      <c r="B485" s="27" t="s">
        <v>1510</v>
      </c>
      <c r="C485" s="27" t="s">
        <v>1511</v>
      </c>
      <c r="D485" s="27" t="s">
        <v>1512</v>
      </c>
      <c r="E485" s="28" t="s">
        <v>46</v>
      </c>
      <c r="F485" s="29" t="s">
        <v>46</v>
      </c>
      <c r="G485" s="30" t="s">
        <v>46</v>
      </c>
      <c r="H485" s="31"/>
      <c r="I485" s="31" t="s">
        <v>414</v>
      </c>
      <c r="J485" s="32" t="n">
        <v>1.0</v>
      </c>
      <c r="K485" s="33" t="n">
        <f>49550</f>
        <v>49550.0</v>
      </c>
      <c r="L485" s="34" t="s">
        <v>48</v>
      </c>
      <c r="M485" s="33" t="n">
        <f>55000</f>
        <v>55000.0</v>
      </c>
      <c r="N485" s="34" t="s">
        <v>245</v>
      </c>
      <c r="O485" s="33" t="n">
        <f>49400</f>
        <v>49400.0</v>
      </c>
      <c r="P485" s="34" t="s">
        <v>50</v>
      </c>
      <c r="Q485" s="33" t="n">
        <f>54000</f>
        <v>54000.0</v>
      </c>
      <c r="R485" s="34" t="s">
        <v>51</v>
      </c>
      <c r="S485" s="35" t="n">
        <f>52883.33</f>
        <v>52883.33</v>
      </c>
      <c r="T485" s="32" t="n">
        <f>11736</f>
        <v>11736.0</v>
      </c>
      <c r="U485" s="32" t="n">
        <f>13</f>
        <v>13.0</v>
      </c>
      <c r="V485" s="32" t="n">
        <f>619992150</f>
        <v>6.1999215E8</v>
      </c>
      <c r="W485" s="32" t="n">
        <f>689700</f>
        <v>689700.0</v>
      </c>
      <c r="X485" s="36" t="n">
        <f>18</f>
        <v>18.0</v>
      </c>
    </row>
    <row r="486">
      <c r="A486" s="27" t="s">
        <v>42</v>
      </c>
      <c r="B486" s="27" t="s">
        <v>1513</v>
      </c>
      <c r="C486" s="27" t="s">
        <v>1514</v>
      </c>
      <c r="D486" s="27" t="s">
        <v>1515</v>
      </c>
      <c r="E486" s="28" t="s">
        <v>46</v>
      </c>
      <c r="F486" s="29" t="s">
        <v>46</v>
      </c>
      <c r="G486" s="30" t="s">
        <v>46</v>
      </c>
      <c r="H486" s="31"/>
      <c r="I486" s="31" t="s">
        <v>47</v>
      </c>
      <c r="J486" s="32" t="n">
        <v>1.0</v>
      </c>
      <c r="K486" s="33" t="n">
        <f>54500</f>
        <v>54500.0</v>
      </c>
      <c r="L486" s="34" t="s">
        <v>48</v>
      </c>
      <c r="M486" s="33" t="n">
        <f>62200</f>
        <v>62200.0</v>
      </c>
      <c r="N486" s="34" t="s">
        <v>245</v>
      </c>
      <c r="O486" s="33" t="n">
        <f>54100</f>
        <v>54100.0</v>
      </c>
      <c r="P486" s="34" t="s">
        <v>50</v>
      </c>
      <c r="Q486" s="33" t="n">
        <f>57100</f>
        <v>57100.0</v>
      </c>
      <c r="R486" s="34" t="s">
        <v>51</v>
      </c>
      <c r="S486" s="35" t="n">
        <f>58788.89</f>
        <v>58788.89</v>
      </c>
      <c r="T486" s="32" t="n">
        <f>73620</f>
        <v>73620.0</v>
      </c>
      <c r="U486" s="32" t="n">
        <f>1472</f>
        <v>1472.0</v>
      </c>
      <c r="V486" s="32" t="n">
        <f>4359847915</f>
        <v>4.359847915E9</v>
      </c>
      <c r="W486" s="32" t="n">
        <f>85371315</f>
        <v>8.5371315E7</v>
      </c>
      <c r="X486" s="36" t="n">
        <f>18</f>
        <v>18.0</v>
      </c>
    </row>
    <row r="487">
      <c r="A487" s="27" t="s">
        <v>42</v>
      </c>
      <c r="B487" s="27" t="s">
        <v>1516</v>
      </c>
      <c r="C487" s="27" t="s">
        <v>1517</v>
      </c>
      <c r="D487" s="27" t="s">
        <v>1518</v>
      </c>
      <c r="E487" s="28" t="s">
        <v>46</v>
      </c>
      <c r="F487" s="29" t="s">
        <v>46</v>
      </c>
      <c r="G487" s="30" t="s">
        <v>46</v>
      </c>
      <c r="H487" s="31" t="s">
        <v>1519</v>
      </c>
      <c r="I487" s="31" t="s">
        <v>414</v>
      </c>
      <c r="J487" s="32" t="n">
        <v>1.0</v>
      </c>
      <c r="K487" s="33" t="n">
        <f>53000</f>
        <v>53000.0</v>
      </c>
      <c r="L487" s="34" t="s">
        <v>48</v>
      </c>
      <c r="M487" s="33" t="n">
        <f>65100</f>
        <v>65100.0</v>
      </c>
      <c r="N487" s="34" t="s">
        <v>245</v>
      </c>
      <c r="O487" s="33" t="n">
        <f>53000</f>
        <v>53000.0</v>
      </c>
      <c r="P487" s="34" t="s">
        <v>48</v>
      </c>
      <c r="Q487" s="33" t="n">
        <f>64700</f>
        <v>64700.0</v>
      </c>
      <c r="R487" s="34" t="s">
        <v>51</v>
      </c>
      <c r="S487" s="35" t="n">
        <f>62794.44</f>
        <v>62794.44</v>
      </c>
      <c r="T487" s="32" t="n">
        <f>234060</f>
        <v>234060.0</v>
      </c>
      <c r="U487" s="32" t="n">
        <f>5983</f>
        <v>5983.0</v>
      </c>
      <c r="V487" s="32" t="n">
        <f>15139384301</f>
        <v>1.5139384301E10</v>
      </c>
      <c r="W487" s="32" t="n">
        <f>387263001</f>
        <v>3.87263001E8</v>
      </c>
      <c r="X487" s="36" t="n">
        <f>18</f>
        <v>18.0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2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