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<sst xmlns="http://schemas.openxmlformats.org/spreadsheetml/2006/main" count="5333" uniqueCount="1387">
  <si>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</si>
  <si>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</si>
  <si>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</si>
  <si>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</si>
  <si>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</si>
  <si>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</si>
  <si>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</si>
  <si>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</si>
  <si>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</si>
  <si>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</si>
  <si>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</si>
  <si>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</si>
  <si>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</si>
  <si>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</si>
  <si>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</si>
  <si>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</si>
  <si>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</si>
  <si>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</si>
  <si>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</si>
  <si>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</si>
  <si>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</si>
  <si>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</si>
  <si>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</si>
  <si>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</si>
  <si>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</si>
  <si>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</si>
  <si>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</si>
  <si>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</si>
  <si>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</si>
  <si>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</si>
  <si>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</si>
  <si>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</si>
  <si>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</si>
  <si>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</si>
  <si>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</si>
  <si>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</si>
  <si>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</si>
  <si>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</si>
  <si>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</si>
  <si>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</si>
  <si>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</si>
  <si>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</si>
  <si>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2025/01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</si>
  <si>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</si>
  <si>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</si>
  <si>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</si>
  <si>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</si>
  <si>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</si>
  <si>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6</t>
  </si>
  <si>
    <t>7</t>
  </si>
  <si>
    <t>17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</si>
  <si>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</si>
  <si>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</si>
  <si>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</si>
  <si>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</si>
  <si>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</si>
  <si>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</si>
  <si>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</si>
  <si>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</si>
  <si>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</si>
  <si>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</si>
  <si>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29</t>
  </si>
  <si>
    <t>22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</si>
  <si>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</si>
  <si>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</si>
  <si>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</si>
  <si>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</si>
  <si>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</si>
  <si>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</si>
  <si>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14</t>
  </si>
  <si>
    <t>24</t>
  </si>
  <si>
    <t>30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</si>
  <si>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</si>
  <si>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</si>
  <si>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</si>
  <si>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</si>
  <si>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</si>
  <si>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</si>
  <si>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</si>
  <si>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</si>
  <si>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</si>
  <si>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</si>
  <si>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</si>
  <si>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</si>
  <si>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</si>
  <si>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</si>
  <si>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</si>
  <si>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</si>
  <si>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</si>
  <si>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</si>
  <si>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</si>
  <si>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</si>
  <si>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</si>
  <si>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</si>
  <si>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</si>
  <si>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</si>
  <si>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133A</t>
  </si>
  <si>
    <t>グローバルＸ　超短期米国債　ＥＴＦ　受益証券</t>
  </si>
  <si>
    <t>Global X Ultra Short-Term T-Bill ETF</t>
  </si>
  <si>
    <t>10</t>
  </si>
  <si>
    <t>1343</t>
  </si>
  <si>
    <t>ＮＥＸＴ　ＦＵＮＤＳ　東証ＲＥＩＴ　指数連動型上場投信　受益証券</t>
  </si>
  <si>
    <t>NEXT FUNDS REIT INDEX ETF</t>
  </si>
  <si>
    <t>23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</si>
  <si>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</si>
  <si>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</si>
  <si>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</si>
  <si>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</si>
  <si>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</si>
  <si>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</si>
  <si>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</si>
  <si>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</si>
  <si>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</si>
  <si>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</si>
  <si>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</si>
  <si>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</si>
  <si>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21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</si>
  <si>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</si>
  <si>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</si>
  <si>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</si>
  <si>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</si>
  <si>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</si>
  <si>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</si>
  <si>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</si>
  <si>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</si>
  <si>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</si>
  <si>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</si>
  <si>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</si>
  <si>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</si>
  <si>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</si>
  <si>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</si>
  <si>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</si>
  <si>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</si>
  <si>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</si>
  <si>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</si>
  <si>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</si>
  <si>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</si>
  <si>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</si>
  <si>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</si>
  <si>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</si>
  <si>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</si>
  <si>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</si>
  <si>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</si>
  <si>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</si>
  <si>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</si>
  <si>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</si>
  <si>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</si>
  <si>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</si>
  <si>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</si>
  <si>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</si>
  <si>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</si>
  <si>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</si>
  <si>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</si>
  <si>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</si>
  <si>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</si>
  <si>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</si>
  <si>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</si>
  <si>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</si>
  <si>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</si>
  <si>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15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</si>
  <si>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</si>
  <si>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</si>
  <si>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</si>
  <si>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</si>
  <si>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</si>
  <si>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</si>
  <si>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</si>
  <si>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</si>
  <si>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</si>
  <si>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</si>
  <si>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</si>
  <si>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</si>
  <si>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</si>
  <si>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</si>
  <si>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</si>
  <si>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</si>
  <si>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</si>
  <si>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</si>
  <si>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</si>
  <si>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</si>
  <si>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</si>
  <si>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27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</si>
  <si>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</si>
  <si>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</si>
  <si>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</si>
  <si>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</si>
  <si>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</si>
  <si>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</si>
  <si>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</si>
  <si>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</si>
  <si>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</si>
  <si>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</si>
  <si>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</si>
  <si>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</si>
  <si>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</si>
  <si>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</si>
  <si>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</si>
  <si>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</si>
  <si>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</si>
  <si>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</si>
  <si>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</si>
  <si>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</si>
  <si>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</si>
  <si>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20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</si>
  <si>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</si>
  <si>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</si>
  <si>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</si>
  <si>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</si>
  <si>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</si>
  <si>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</si>
  <si>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</si>
  <si>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</si>
  <si>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</si>
  <si>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</si>
  <si>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</si>
  <si>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</si>
  <si>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16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</si>
  <si>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</si>
  <si>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</si>
  <si>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</si>
  <si>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</si>
  <si>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</si>
  <si>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</si>
  <si>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</si>
  <si>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</si>
  <si>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</si>
  <si>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8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</si>
  <si>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</si>
  <si>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</si>
  <si>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</si>
  <si>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</si>
  <si>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</si>
  <si>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</si>
  <si>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</si>
  <si>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</si>
  <si>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</si>
  <si>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</si>
  <si>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</si>
  <si>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</si>
  <si>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28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</si>
  <si>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</si>
  <si>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</si>
  <si>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</si>
  <si>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</si>
  <si>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</si>
  <si>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</si>
  <si>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</si>
  <si>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</si>
  <si>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</si>
  <si>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</si>
  <si>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</si>
  <si>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</si>
  <si>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</si>
  <si>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</si>
  <si>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</si>
  <si>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</si>
  <si>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</si>
  <si>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</si>
  <si>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</si>
  <si>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</si>
  <si>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</si>
  <si>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</si>
  <si>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</si>
  <si>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</si>
  <si>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</si>
  <si>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</si>
  <si>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</si>
  <si>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</si>
  <si>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</si>
  <si>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</si>
  <si>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</si>
  <si>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</si>
  <si>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</si>
  <si>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</si>
  <si>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</si>
  <si>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</si>
  <si>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</si>
  <si>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</si>
  <si>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</si>
  <si>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</si>
  <si>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</si>
  <si>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</si>
  <si>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</si>
  <si>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</si>
  <si>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</si>
  <si>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</si>
  <si>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</si>
  <si>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</si>
  <si>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</si>
  <si>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</si>
  <si>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</si>
  <si>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</si>
  <si>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</si>
  <si>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</si>
  <si>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</si>
  <si>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</si>
  <si>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</si>
  <si>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</si>
  <si>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</si>
  <si>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</si>
  <si>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</si>
  <si>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</si>
  <si>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</si>
  <si>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</si>
  <si>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</si>
  <si>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</si>
  <si>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</si>
  <si>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</si>
  <si>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</si>
  <si>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</si>
  <si>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</si>
  <si>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</si>
  <si>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</si>
  <si>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</si>
  <si>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</si>
  <si>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</si>
  <si>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</si>
  <si>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</si>
  <si>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</si>
  <si>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</si>
  <si>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</si>
  <si>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</si>
  <si>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</si>
  <si>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</si>
  <si>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</si>
  <si>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</si>
  <si>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</si>
  <si>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</si>
  <si>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</si>
  <si>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</si>
  <si>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</si>
  <si>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</si>
  <si>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</si>
  <si>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</si>
  <si>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</si>
  <si>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</si>
  <si>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</si>
  <si>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</si>
  <si>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</si>
  <si>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</si>
  <si>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</si>
  <si>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</si>
  <si>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</si>
  <si>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</si>
  <si>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</si>
  <si>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</si>
  <si>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</si>
  <si>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</si>
  <si>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</si>
  <si>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</si>
  <si>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</si>
  <si>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</si>
  <si>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</si>
  <si>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</si>
  <si>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</si>
  <si>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</si>
  <si>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</si>
  <si>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</si>
  <si>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</si>
  <si>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</si>
  <si>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</si>
  <si>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</si>
  <si>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</si>
  <si>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</si>
  <si>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</si>
  <si>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</si>
  <si>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</si>
  <si>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</si>
  <si>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</si>
  <si>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</si>
  <si>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</si>
  <si>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</si>
  <si>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</si>
  <si>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</si>
  <si>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</si>
  <si>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</si>
  <si>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</si>
  <si>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</si>
  <si>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</si>
  <si>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</si>
  <si>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</si>
  <si>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</si>
  <si>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</si>
  <si>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</si>
  <si>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</si>
  <si>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</si>
  <si>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</si>
  <si>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</si>
  <si>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</si>
  <si>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</si>
  <si>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</si>
  <si>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</si>
  <si>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</si>
  <si>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</si>
  <si>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</si>
  <si>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</si>
  <si>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</si>
  <si>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</si>
  <si>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</si>
  <si>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</si>
  <si>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</si>
  <si>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</si>
  <si>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</si>
  <si>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</si>
  <si>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</si>
  <si>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</si>
  <si>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</si>
  <si>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</si>
  <si>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</si>
  <si>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</si>
  <si>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</si>
  <si>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</si>
  <si>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</si>
  <si>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</si>
  <si>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</si>
  <si>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</si>
  <si>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</si>
  <si>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</si>
  <si>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</si>
  <si>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</si>
  <si>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</si>
  <si>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</si>
  <si>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</si>
  <si>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</si>
  <si>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</si>
  <si>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</si>
  <si>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</si>
  <si>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</si>
  <si>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</si>
  <si>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</si>
  <si>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</si>
  <si>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</si>
  <si>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</si>
  <si>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</si>
  <si>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</si>
  <si>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</si>
  <si>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</si>
  <si>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</si>
  <si>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</si>
  <si>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</si>
  <si>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</si>
  <si>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</si>
  <si>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</si>
  <si>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</si>
  <si>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</si>
  <si>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</si>
  <si>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</si>
  <si>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</si>
  <si>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</si>
  <si>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</si>
  <si>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</si>
  <si>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</si>
  <si>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</si>
  <si>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</si>
  <si>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</si>
  <si>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</si>
  <si>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</si>
  <si>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</si>
  <si>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</si>
  <si>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</si>
  <si>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</si>
  <si>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</si>
  <si>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</si>
  <si>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</si>
  <si>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</si>
  <si>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</si>
  <si>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</si>
  <si>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</si>
  <si>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</si>
  <si>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</si>
  <si>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</si>
  <si>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</si>
  <si>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</si>
  <si>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</si>
  <si>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</si>
  <si>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</si>
  <si>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</si>
  <si>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</si>
  <si>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</si>
  <si>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</si>
  <si>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</si>
  <si>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</si>
  <si>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</si>
  <si>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</si>
  <si>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</si>
  <si>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</si>
  <si>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</si>
  <si>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</si>
  <si>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</si>
  <si>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</si>
  <si>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</si>
  <si>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</si>
  <si>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</si>
  <si>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</si>
  <si>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</si>
  <si>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</si>
  <si>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</si>
  <si>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</si>
  <si>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</si>
  <si>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</si>
  <si>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</si>
  <si>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</si>
  <si>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</si>
  <si>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</si>
  <si>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</si>
  <si>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</si>
  <si>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</si>
  <si>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</si>
  <si>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</si>
  <si>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</si>
  <si>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</si>
  <si>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</si>
  <si>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</si>
  <si>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</si>
  <si>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</si>
  <si>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</si>
  <si>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</si>
  <si>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</si>
  <si>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</si>
  <si>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</si>
  <si>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</si>
  <si>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</si>
  <si>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</si>
  <si>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</si>
  <si>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</si>
  <si>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</si>
  <si>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</si>
  <si>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</si>
  <si>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</si>
  <si>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</si>
  <si>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</si>
  <si>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</si>
  <si>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</si>
  <si>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</si>
  <si>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</si>
  <si>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</si>
  <si>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</si>
  <si>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</si>
  <si>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</si>
  <si>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</si>
  <si>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</si>
  <si>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</si>
  <si>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</si>
  <si>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</si>
  <si>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</si>
  <si>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</si>
  <si>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</si>
  <si>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</si>
  <si>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</si>
  <si>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</si>
  <si>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</si>
  <si>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</si>
  <si>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</si>
  <si>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</si>
  <si>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</si>
  <si>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</si>
  <si>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</si>
  <si>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</si>
  <si>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</si>
  <si>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</si>
  <si>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</si>
  <si>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</si>
  <si>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</si>
  <si>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</si>
  <si>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</si>
  <si>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</si>
  <si>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</si>
  <si>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</si>
  <si>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</si>
  <si>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</si>
  <si>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</si>
  <si>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</si>
  <si>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</si>
  <si>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</si>
  <si>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</si>
  <si>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</si>
  <si>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</si>
  <si>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</si>
  <si>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</si>
  <si>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</si>
  <si>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</si>
  <si>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</si>
  <si>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</si>
  <si>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</si>
  <si>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</si>
  <si>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</si>
  <si>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</si>
  <si>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</si>
  <si>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</si>
  <si>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</si>
  <si>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</si>
  <si>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</si>
  <si>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</si>
  <si>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</si>
  <si>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</si>
  <si>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</si>
  <si>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</si>
  <si>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</si>
  <si>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</si>
  <si>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</si>
  <si>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</si>
  <si>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</si>
  <si>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</si>
  <si>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</si>
  <si>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</si>
  <si>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</si>
  <si>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</si>
  <si>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</si>
  <si>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</si>
  <si>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</si>
  <si>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</si>
  <si>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</si>
  <si>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</si>
  <si>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</si>
  <si>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</si>
  <si>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</si>
  <si>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</si>
  <si>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</si>
  <si>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</si>
  <si>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</si>
  <si>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</si>
  <si>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</si>
  <si>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</si>
  <si>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</si>
  <si>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</si>
  <si>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</si>
  <si>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</si>
  <si>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</si>
  <si>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</si>
  <si>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</si>
  <si>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</si>
  <si>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</si>
  <si>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</si>
  <si>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</si>
  <si>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9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</si>
  <si>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</si>
  <si>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</si>
  <si>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</si>
  <si>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</si>
  <si>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</si>
  <si>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</si>
  <si>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</si>
  <si>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</si>
  <si>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</si>
  <si>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</si>
  <si>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</si>
  <si>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</si>
  <si>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</si>
  <si>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</si>
  <si>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</si>
  <si>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</si>
  <si>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</si>
  <si>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</si>
  <si>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</si>
  <si>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</si>
  <si>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</si>
  <si>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</si>
  <si>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</si>
  <si>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</si>
  <si>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</si>
  <si>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</si>
  <si>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</si>
  <si>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</si>
  <si>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</si>
  <si>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</si>
  <si>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</si>
  <si>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</si>
  <si>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</si>
  <si>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</si>
  <si>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</si>
  <si>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</si>
  <si>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</si>
  <si>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</si>
  <si>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</si>
  <si>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</si>
  <si>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</si>
  <si>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</si>
  <si>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</si>
  <si>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</si>
  <si>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</si>
  <si>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</si>
  <si>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</si>
  <si>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</si>
  <si>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</si>
  <si>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</si>
  <si>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</si>
  <si>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</si>
  <si>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</si>
  <si>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</si>
  <si>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</si>
  <si>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</si>
  <si>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</si>
  <si>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</si>
  <si>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</si>
  <si>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</si>
  <si>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</si>
  <si>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</si>
  <si>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</si>
  <si>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</si>
  <si>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</si>
  <si>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</si>
  <si>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</si>
  <si>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</si>
  <si>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</si>
  <si>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</si>
  <si>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</si>
  <si>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</si>
  <si>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</si>
  <si>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</si>
  <si>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</si>
  <si>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</si>
  <si>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</si>
  <si>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</si>
  <si>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</si>
  <si>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</si>
  <si>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</si>
  <si>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</si>
  <si>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</si>
  <si>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</si>
  <si>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</si>
  <si>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</si>
  <si>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</si>
  <si>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</si>
  <si>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</si>
  <si>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</si>
  <si>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</si>
  <si>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</si>
  <si>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</si>
  <si>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</si>
  <si>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</si>
  <si>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</si>
  <si>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</si>
  <si>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</si>
  <si>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</si>
  <si>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</si>
  <si>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</si>
  <si>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</si>
  <si>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</si>
  <si>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</si>
  <si>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</si>
  <si>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</si>
  <si>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</si>
  <si>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</si>
  <si>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</si>
  <si>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</si>
  <si>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</si>
  <si>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</si>
  <si>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</si>
  <si>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</si>
  <si>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</si>
  <si>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</si>
  <si>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</si>
  <si>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</si>
  <si>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</si>
  <si>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</si>
  <si>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</si>
  <si>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</si>
  <si>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</si>
  <si>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</si>
  <si>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</si>
  <si>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</si>
  <si>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</si>
  <si>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</si>
  <si>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</si>
  <si>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</si>
  <si>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</si>
  <si>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</si>
  <si>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</si>
  <si>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</si>
  <si>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</si>
  <si>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</si>
  <si>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</si>
  <si>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</si>
  <si>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</si>
  <si>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</si>
  <si>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</si>
  <si>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</si>
  <si>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</si>
  <si>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</si>
  <si>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</si>
  <si>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</si>
  <si>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</si>
  <si>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</si>
  <si>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</si>
  <si>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</si>
  <si>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</si>
  <si>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</si>
  <si>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</si>
  <si>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</si>
  <si>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</si>
  <si>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</si>
  <si>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</si>
  <si>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</si>
  <si>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</si>
  <si>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</si>
  <si>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</si>
  <si>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</si>
  <si>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</si>
  <si>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</si>
  <si>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</si>
  <si>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</si>
  <si>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</si>
  <si>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</si>
  <si>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</si>
  <si>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</si>
  <si>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</si>
  <si>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</si>
  <si>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</si>
  <si>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</si>
  <si>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</si>
  <si>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</si>
  <si>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</si>
  <si>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</si>
  <si>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</si>
  <si>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</si>
  <si>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</si>
  <si>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</si>
  <si>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</si>
  <si>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</si>
  <si>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</si>
  <si>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</si>
  <si>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</si>
  <si>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</si>
  <si>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</si>
  <si>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</si>
  <si>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</si>
  <si>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</si>
  <si>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</si>
  <si>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</si>
  <si>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</si>
  <si>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</si>
  <si>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</si>
  <si>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</si>
  <si>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</si>
  <si>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</si>
  <si>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</si>
  <si>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</si>
  <si>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</si>
  <si>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</si>
  <si>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</si>
  <si>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</si>
  <si>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</si>
  <si>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</si>
  <si>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</si>
  <si>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</si>
  <si>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</si>
  <si>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</si>
  <si>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</si>
  <si>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</si>
  <si>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</si>
  <si>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</si>
  <si>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</si>
  <si>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</si>
  <si>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</si>
  <si>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</si>
  <si>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</si>
  <si>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</si>
  <si>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</si>
  <si>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</si>
  <si>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</si>
  <si>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</si>
  <si>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</si>
  <si>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</si>
  <si>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</si>
  <si>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</si>
  <si>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</si>
  <si>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</si>
  <si>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</si>
  <si>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</si>
  <si>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</si>
  <si>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</si>
  <si>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</si>
  <si>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</si>
  <si>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</si>
  <si>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</si>
  <si>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</si>
  <si>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</si>
  <si>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</si>
  <si>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</si>
  <si>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</si>
  <si>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</si>
  <si>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</si>
  <si>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</si>
  <si>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</si>
  <si>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</si>
  <si>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</si>
  <si>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</si>
  <si>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</si>
  <si>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</si>
  <si>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</si>
  <si>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</si>
  <si>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</si>
  <si>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</si>
  <si>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</si>
  <si>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</si>
  <si>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</si>
  <si>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</si>
  <si>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</si>
  <si>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</si>
  <si>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</si>
  <si>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</si>
  <si>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</si>
  <si>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</si>
  <si>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</si>
  <si>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</si>
  <si>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</si>
  <si>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</si>
  <si>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</si>
  <si>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</si>
  <si>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</si>
  <si>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</si>
  <si>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</si>
  <si>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</si>
  <si>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</si>
  <si>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</si>
  <si>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</si>
  <si>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</si>
  <si>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</si>
  <si>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</si>
  <si>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</si>
  <si>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</si>
  <si>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</si>
  <si>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</si>
  <si>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</si>
  <si>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</si>
  <si>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</si>
  <si>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</si>
  <si>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</si>
  <si>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</si>
  <si>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</si>
  <si>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</si>
  <si>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</si>
  <si>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</si>
  <si>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</si>
  <si>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</si>
  <si>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</si>
  <si>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</si>
  <si>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</si>
  <si>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</si>
  <si>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</si>
  <si>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</si>
  <si>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</si>
  <si>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</si>
  <si>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</si>
  <si>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</si>
  <si>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</si>
  <si>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</si>
  <si>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</si>
  <si>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</si>
  <si>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</si>
  <si>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</si>
  <si>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</si>
  <si>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</si>
  <si>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</si>
  <si>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</si>
  <si>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</si>
  <si>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</si>
  <si>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</si>
  <si>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</si>
  <si>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</si>
  <si>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</si>
  <si>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</si>
  <si>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</si>
  <si>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</si>
  <si>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</si>
  <si>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</si>
  <si>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</si>
  <si>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</si>
  <si>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</si>
  <si>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</si>
  <si>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</si>
  <si>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</si>
  <si>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</si>
  <si>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</si>
  <si>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</si>
  <si>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</si>
  <si>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</si>
  <si>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</si>
  <si>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</si>
  <si>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</si>
  <si>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</si>
  <si>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</si>
  <si>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</si>
  <si>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</si>
  <si>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</si>
  <si>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</si>
  <si>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</si>
  <si>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</si>
  <si>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</si>
  <si>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</si>
  <si>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</si>
  <si>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</si>
  <si>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</si>
  <si>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</si>
  <si>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</si>
  <si>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</si>
  <si>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</si>
  <si>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</si>
  <si>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</si>
  <si>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</si>
  <si>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</si>
  <si>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</si>
  <si>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</si>
  <si>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</si>
  <si>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</si>
  <si>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</si>
  <si>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</si>
  <si>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</si>
  <si>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</si>
  <si>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</si>
  <si>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</si>
  <si>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</si>
  <si>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</si>
  <si>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</si>
  <si>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</si>
  <si>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</si>
  <si>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</si>
  <si>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</si>
  <si>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</si>
  <si>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</si>
  <si>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</si>
  <si>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</si>
  <si>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</si>
  <si>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</si>
  <si>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</si>
  <si>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</si>
  <si>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</si>
  <si>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</si>
  <si>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</si>
  <si>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</si>
  <si>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</si>
  <si>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</si>
  <si>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</si>
  <si>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</si>
  <si>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</si>
  <si>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</si>
  <si>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</si>
  <si>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</si>
  <si>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</si>
  <si>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</si>
  <si>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</si>
  <si>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</si>
  <si>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</si>
  <si>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</si>
  <si>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</si>
  <si>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</si>
  <si>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</si>
  <si>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</si>
  <si>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</si>
  <si>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</si>
  <si>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</si>
  <si>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</si>
  <si>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</si>
  <si>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</si>
  <si>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</si>
  <si>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</si>
  <si>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</si>
  <si>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</si>
  <si>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</si>
  <si>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</si>
  <si>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</si>
  <si>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</si>
  <si>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</si>
  <si>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</si>
  <si>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</si>
  <si>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</si>
  <si>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</si>
  <si>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</si>
  <si>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</si>
  <si>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</si>
  <si>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</si>
  <si>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</si>
  <si>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</si>
  <si>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</si>
  <si>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</si>
  <si>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</si>
  <si>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</si>
  <si>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</si>
  <si>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</si>
  <si>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</si>
  <si>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</si>
  <si>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</si>
  <si>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</si>
  <si>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</si>
  <si>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</si>
  <si>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</si>
  <si>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</si>
  <si>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</si>
  <si>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</si>
  <si>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</si>
  <si>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</si>
  <si>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</si>
  <si>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</si>
  <si>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</si>
  <si>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</si>
  <si>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</si>
  <si>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</si>
  <si>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</si>
  <si>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</si>
  <si>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</si>
  <si>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</si>
  <si>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</si>
  <si>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</si>
  <si>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</si>
  <si>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</si>
  <si>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</si>
  <si>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</si>
  <si>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</si>
  <si>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</si>
  <si>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</si>
  <si>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</si>
  <si>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</si>
  <si>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</si>
  <si>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</si>
  <si>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</si>
  <si>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</si>
  <si>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</si>
  <si>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</si>
  <si>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</si>
  <si>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</si>
  <si>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</si>
  <si>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</si>
  <si>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</si>
  <si>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</si>
  <si>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</si>
  <si>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</si>
  <si>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</si>
  <si>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</si>
  <si>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</si>
  <si>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</si>
  <si>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</si>
  <si>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</si>
  <si>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</si>
  <si>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</si>
  <si>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</si>
  <si>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</si>
  <si>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</si>
  <si>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</si>
  <si>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</si>
  <si>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</si>
  <si>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</si>
  <si>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</si>
  <si>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</si>
  <si>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</si>
  <si>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</si>
  <si>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</si>
  <si>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</si>
  <si>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</si>
  <si>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</si>
  <si>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</si>
  <si>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</si>
  <si>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</si>
  <si>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</si>
  <si>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</si>
  <si>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</si>
  <si>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</si>
  <si>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</si>
  <si>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</si>
  <si>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</si>
  <si>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</si>
  <si>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</si>
  <si>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</si>
  <si>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</si>
  <si>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</si>
  <si>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</si>
  <si>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</si>
  <si>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</si>
  <si>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</si>
  <si>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</si>
  <si>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</si>
  <si>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</si>
  <si>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</si>
  <si>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</si>
  <si>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</si>
  <si>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</si>
  <si>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</si>
  <si>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</si>
  <si>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</si>
  <si>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</si>
  <si>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</si>
  <si>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</si>
  <si>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</si>
  <si>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</si>
  <si>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</si>
  <si>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</si>
  <si>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</si>
  <si>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</si>
  <si>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</si>
  <si>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</si>
  <si>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</si>
  <si>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</si>
  <si>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</si>
  <si>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</si>
  <si>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 xml:space="preserve">新規上場  </t>
  </si>
  <si>
    <t xml:space="preserve">New Listing  </t>
  </si>
  <si>
    <t xml:space="preserve">2025/01/16  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</si>
  <si>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</si>
  <si>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</si>
  <si>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</si>
  <si>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</si>
  <si>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</si>
  <si>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</si>
  <si>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 xml:space="preserve">2025/01/09  </t>
  </si>
  <si>
    <t>316A</t>
  </si>
  <si>
    <t>ｉＦｒｅｅＥＴＦ　ＦＡＮＧ＋　受益証券</t>
  </si>
  <si>
    <t>iFreeETF FANG+</t>
  </si>
  <si>
    <t xml:space="preserve">2025/01/10  </t>
  </si>
  <si>
    <t>318A</t>
  </si>
  <si>
    <t>ＶＩＸ短期先物指数ＥＴＦ　受益証券</t>
  </si>
  <si>
    <t>SIMPLEX VIX Short-Term Futures ETF</t>
  </si>
  <si>
    <t xml:space="preserve">2025/01/15  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</si>
  <si>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</si>
  <si>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</si>
  <si>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</si>
  <si>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</si>
  <si>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</si>
  <si>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</si>
  <si>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</si>
  <si>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</si>
  <si>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</si>
  <si>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</si>
  <si>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</si>
  <si>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</si>
  <si>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 xml:space="preserve">新株落ち  </t>
  </si>
  <si>
    <t xml:space="preserve">ex-subscription right  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</si>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</sst>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2956</f>
        <v>2956.0</v>
      </c>
      <c r="L7" s="34" t="s">
        <v>48</v>
      </c>
      <c r="M7" s="33" t="n">
        <f>2965.5</f>
        <v>2965.5</v>
      </c>
      <c r="N7" s="34" t="s">
        <v>49</v>
      </c>
      <c r="O7" s="33" t="n">
        <f>2811</f>
        <v>2811.0</v>
      </c>
      <c r="P7" s="34" t="s">
        <v>50</v>
      </c>
      <c r="Q7" s="33" t="n">
        <f>2960</f>
        <v>2960.0</v>
      </c>
      <c r="R7" s="34" t="s">
        <v>51</v>
      </c>
      <c r="S7" s="35" t="n">
        <f>2904.89</f>
        <v>2904.89</v>
      </c>
      <c r="T7" s="32" t="n">
        <f>15552480</f>
        <v>1.555248E7</v>
      </c>
      <c r="U7" s="32" t="n">
        <f>13289290</f>
        <v>1.328929E7</v>
      </c>
      <c r="V7" s="32" t="n">
        <f>45031067918</f>
        <v>4.5031067918E10</v>
      </c>
      <c r="W7" s="32" t="n">
        <f>38439188443</f>
        <v>3.8439188443E10</v>
      </c>
      <c r="X7" s="36" t="n">
        <f>19</f>
        <v>19.0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2927</f>
        <v>2927.0</v>
      </c>
      <c r="L8" s="34" t="s">
        <v>48</v>
      </c>
      <c r="M8" s="33" t="n">
        <f>2937</f>
        <v>2937.0</v>
      </c>
      <c r="N8" s="34" t="s">
        <v>49</v>
      </c>
      <c r="O8" s="33" t="n">
        <f>2781</f>
        <v>2781.0</v>
      </c>
      <c r="P8" s="34" t="s">
        <v>50</v>
      </c>
      <c r="Q8" s="33" t="n">
        <f>2925</f>
        <v>2925.0</v>
      </c>
      <c r="R8" s="34" t="s">
        <v>51</v>
      </c>
      <c r="S8" s="35" t="n">
        <f>2873.87</f>
        <v>2873.87</v>
      </c>
      <c r="T8" s="32" t="n">
        <f>53586540</f>
        <v>5.358654E7</v>
      </c>
      <c r="U8" s="32" t="n">
        <f>20202250</f>
        <v>2.020225E7</v>
      </c>
      <c r="V8" s="32" t="n">
        <f>154566751376</f>
        <v>1.54566751376E11</v>
      </c>
      <c r="W8" s="32" t="n">
        <f>58329061146</f>
        <v>5.8329061146E10</v>
      </c>
      <c r="X8" s="36" t="n">
        <f>19</f>
        <v>19.0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2891</f>
        <v>2891.0</v>
      </c>
      <c r="L9" s="34" t="s">
        <v>48</v>
      </c>
      <c r="M9" s="33" t="n">
        <f>2902</f>
        <v>2902.0</v>
      </c>
      <c r="N9" s="34" t="s">
        <v>49</v>
      </c>
      <c r="O9" s="33" t="n">
        <f>2748</f>
        <v>2748.0</v>
      </c>
      <c r="P9" s="34" t="s">
        <v>50</v>
      </c>
      <c r="Q9" s="33" t="n">
        <f>2897</f>
        <v>2897.0</v>
      </c>
      <c r="R9" s="34" t="s">
        <v>51</v>
      </c>
      <c r="S9" s="35" t="n">
        <f>2841</f>
        <v>2841.0</v>
      </c>
      <c r="T9" s="32" t="n">
        <f>10825820</f>
        <v>1.082582E7</v>
      </c>
      <c r="U9" s="32" t="n">
        <f>5744143</f>
        <v>5744143.0</v>
      </c>
      <c r="V9" s="32" t="n">
        <f>30768936827</f>
        <v>3.0768936827E10</v>
      </c>
      <c r="W9" s="32" t="n">
        <f>16298773638</f>
        <v>1.6298773638E10</v>
      </c>
      <c r="X9" s="36" t="n">
        <f>19</f>
        <v>19.0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44020</f>
        <v>44020.0</v>
      </c>
      <c r="L10" s="34" t="s">
        <v>48</v>
      </c>
      <c r="M10" s="33" t="n">
        <f>46790</f>
        <v>46790.0</v>
      </c>
      <c r="N10" s="34" t="s">
        <v>61</v>
      </c>
      <c r="O10" s="33" t="n">
        <f>43040</f>
        <v>43040.0</v>
      </c>
      <c r="P10" s="34" t="s">
        <v>62</v>
      </c>
      <c r="Q10" s="33" t="n">
        <f>44640</f>
        <v>44640.0</v>
      </c>
      <c r="R10" s="34" t="s">
        <v>51</v>
      </c>
      <c r="S10" s="35" t="n">
        <f>44323.16</f>
        <v>44323.16</v>
      </c>
      <c r="T10" s="32" t="n">
        <f>6288</f>
        <v>6288.0</v>
      </c>
      <c r="U10" s="32" t="n">
        <f>1</f>
        <v>1.0</v>
      </c>
      <c r="V10" s="32" t="n">
        <f>280896590</f>
        <v>2.8089659E8</v>
      </c>
      <c r="W10" s="32" t="n">
        <f>43790</f>
        <v>43790.0</v>
      </c>
      <c r="X10" s="36" t="n">
        <f>19</f>
        <v>19.0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1501</f>
        <v>1501.0</v>
      </c>
      <c r="L11" s="34" t="s">
        <v>48</v>
      </c>
      <c r="M11" s="33" t="n">
        <f>1510</f>
        <v>1510.0</v>
      </c>
      <c r="N11" s="34" t="s">
        <v>49</v>
      </c>
      <c r="O11" s="33" t="n">
        <f>1416.5</f>
        <v>1416.5</v>
      </c>
      <c r="P11" s="34" t="s">
        <v>50</v>
      </c>
      <c r="Q11" s="33" t="n">
        <f>1493.5</f>
        <v>1493.5</v>
      </c>
      <c r="R11" s="34" t="s">
        <v>51</v>
      </c>
      <c r="S11" s="35" t="n">
        <f>1470.87</f>
        <v>1470.87</v>
      </c>
      <c r="T11" s="32" t="n">
        <f>404920</f>
        <v>404920.0</v>
      </c>
      <c r="U11" s="32" t="n">
        <f>265910</f>
        <v>265910.0</v>
      </c>
      <c r="V11" s="32" t="n">
        <f>593785275</f>
        <v>5.93785275E8</v>
      </c>
      <c r="W11" s="32" t="n">
        <f>389430790</f>
        <v>3.8943079E8</v>
      </c>
      <c r="X11" s="36" t="n">
        <f>19</f>
        <v>19.0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503</f>
        <v>503.0</v>
      </c>
      <c r="L12" s="34" t="s">
        <v>48</v>
      </c>
      <c r="M12" s="33" t="n">
        <f>530</f>
        <v>530.0</v>
      </c>
      <c r="N12" s="34" t="s">
        <v>69</v>
      </c>
      <c r="O12" s="33" t="n">
        <f>501.2</f>
        <v>501.2</v>
      </c>
      <c r="P12" s="34" t="s">
        <v>70</v>
      </c>
      <c r="Q12" s="33" t="n">
        <f>511.7</f>
        <v>511.7</v>
      </c>
      <c r="R12" s="34" t="s">
        <v>71</v>
      </c>
      <c r="S12" s="35" t="n">
        <f>508.64</f>
        <v>508.64</v>
      </c>
      <c r="T12" s="32" t="n">
        <f>41000</f>
        <v>41000.0</v>
      </c>
      <c r="U12" s="32" t="n">
        <f>1000</f>
        <v>1000.0</v>
      </c>
      <c r="V12" s="32" t="n">
        <f>20824700</f>
        <v>2.08247E7</v>
      </c>
      <c r="W12" s="32" t="n">
        <f>504100</f>
        <v>504100.0</v>
      </c>
      <c r="X12" s="36" t="n">
        <f>14</f>
        <v>14.0</v>
      </c>
    </row>
    <row r="13">
      <c r="A13" s="27" t="s">
        <v>42</v>
      </c>
      <c r="B13" s="27" t="s">
        <v>72</v>
      </c>
      <c r="C13" s="27" t="s">
        <v>73</v>
      </c>
      <c r="D13" s="27" t="s">
        <v>74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41260</f>
        <v>41260.0</v>
      </c>
      <c r="L13" s="34" t="s">
        <v>48</v>
      </c>
      <c r="M13" s="33" t="n">
        <f>41680</f>
        <v>41680.0</v>
      </c>
      <c r="N13" s="34" t="s">
        <v>49</v>
      </c>
      <c r="O13" s="33" t="n">
        <f>39390</f>
        <v>39390.0</v>
      </c>
      <c r="P13" s="34" t="s">
        <v>50</v>
      </c>
      <c r="Q13" s="33" t="n">
        <f>41000</f>
        <v>41000.0</v>
      </c>
      <c r="R13" s="34" t="s">
        <v>51</v>
      </c>
      <c r="S13" s="35" t="n">
        <f>40672.11</f>
        <v>40672.11</v>
      </c>
      <c r="T13" s="32" t="n">
        <f>1823740</f>
        <v>1823740.0</v>
      </c>
      <c r="U13" s="32" t="n">
        <f>1028777</f>
        <v>1028777.0</v>
      </c>
      <c r="V13" s="32" t="n">
        <f>74163320988</f>
        <v>7.4163320988E10</v>
      </c>
      <c r="W13" s="32" t="n">
        <f>41803178578</f>
        <v>4.1803178578E10</v>
      </c>
      <c r="X13" s="36" t="n">
        <f>19</f>
        <v>19.0</v>
      </c>
    </row>
    <row r="14">
      <c r="A14" s="27" t="s">
        <v>42</v>
      </c>
      <c r="B14" s="27" t="s">
        <v>75</v>
      </c>
      <c r="C14" s="27" t="s">
        <v>76</v>
      </c>
      <c r="D14" s="27" t="s">
        <v>77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41430</f>
        <v>41430.0</v>
      </c>
      <c r="L14" s="34" t="s">
        <v>48</v>
      </c>
      <c r="M14" s="33" t="n">
        <f>41830</f>
        <v>41830.0</v>
      </c>
      <c r="N14" s="34" t="s">
        <v>49</v>
      </c>
      <c r="O14" s="33" t="n">
        <f>39520</f>
        <v>39520.0</v>
      </c>
      <c r="P14" s="34" t="s">
        <v>50</v>
      </c>
      <c r="Q14" s="33" t="n">
        <f>41120</f>
        <v>41120.0</v>
      </c>
      <c r="R14" s="34" t="s">
        <v>51</v>
      </c>
      <c r="S14" s="35" t="n">
        <f>40811.58</f>
        <v>40811.58</v>
      </c>
      <c r="T14" s="32" t="n">
        <f>6955693</f>
        <v>6955693.0</v>
      </c>
      <c r="U14" s="32" t="n">
        <f>392581</f>
        <v>392581.0</v>
      </c>
      <c r="V14" s="32" t="n">
        <f>283519792828</f>
        <v>2.83519792828E11</v>
      </c>
      <c r="W14" s="32" t="n">
        <f>15909988308</f>
        <v>1.5909988308E10</v>
      </c>
      <c r="X14" s="36" t="n">
        <f>19</f>
        <v>19.0</v>
      </c>
    </row>
    <row r="15">
      <c r="A15" s="27" t="s">
        <v>42</v>
      </c>
      <c r="B15" s="27" t="s">
        <v>78</v>
      </c>
      <c r="C15" s="27" t="s">
        <v>79</v>
      </c>
      <c r="D15" s="27" t="s">
        <v>80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8519</f>
        <v>8519.0</v>
      </c>
      <c r="L15" s="34" t="s">
        <v>48</v>
      </c>
      <c r="M15" s="33" t="n">
        <f>9200</f>
        <v>9200.0</v>
      </c>
      <c r="N15" s="34" t="s">
        <v>61</v>
      </c>
      <c r="O15" s="33" t="n">
        <f>8349</f>
        <v>8349.0</v>
      </c>
      <c r="P15" s="34" t="s">
        <v>50</v>
      </c>
      <c r="Q15" s="33" t="n">
        <f>8810</f>
        <v>8810.0</v>
      </c>
      <c r="R15" s="34" t="s">
        <v>51</v>
      </c>
      <c r="S15" s="35" t="n">
        <f>8637.37</f>
        <v>8637.37</v>
      </c>
      <c r="T15" s="32" t="n">
        <f>34010</f>
        <v>34010.0</v>
      </c>
      <c r="U15" s="32" t="str">
        <f>"－"</f>
        <v>－</v>
      </c>
      <c r="V15" s="32" t="n">
        <f>296879790</f>
        <v>2.9687979E8</v>
      </c>
      <c r="W15" s="32" t="str">
        <f>"－"</f>
        <v>－</v>
      </c>
      <c r="X15" s="36" t="n">
        <f>19</f>
        <v>19.0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n">
        <f>187</f>
        <v>187.0</v>
      </c>
      <c r="L16" s="34" t="s">
        <v>48</v>
      </c>
      <c r="M16" s="33" t="n">
        <f>200</f>
        <v>200.0</v>
      </c>
      <c r="N16" s="34" t="s">
        <v>51</v>
      </c>
      <c r="O16" s="33" t="n">
        <f>185</f>
        <v>185.0</v>
      </c>
      <c r="P16" s="34" t="s">
        <v>48</v>
      </c>
      <c r="Q16" s="33" t="n">
        <f>199.7</f>
        <v>199.7</v>
      </c>
      <c r="R16" s="34" t="s">
        <v>51</v>
      </c>
      <c r="S16" s="35" t="n">
        <f>192.22</f>
        <v>192.22</v>
      </c>
      <c r="T16" s="32" t="n">
        <f>429100</f>
        <v>429100.0</v>
      </c>
      <c r="U16" s="32" t="n">
        <f>1300</f>
        <v>1300.0</v>
      </c>
      <c r="V16" s="32" t="n">
        <f>82111360</f>
        <v>8.211136E7</v>
      </c>
      <c r="W16" s="32" t="n">
        <f>251150</f>
        <v>251150.0</v>
      </c>
      <c r="X16" s="36" t="n">
        <f>19</f>
        <v>19.0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38530</f>
        <v>38530.0</v>
      </c>
      <c r="L17" s="34" t="s">
        <v>48</v>
      </c>
      <c r="M17" s="33" t="n">
        <f>39970</f>
        <v>39970.0</v>
      </c>
      <c r="N17" s="34" t="s">
        <v>51</v>
      </c>
      <c r="O17" s="33" t="n">
        <f>38310</f>
        <v>38310.0</v>
      </c>
      <c r="P17" s="34" t="s">
        <v>48</v>
      </c>
      <c r="Q17" s="33" t="n">
        <f>39920</f>
        <v>39920.0</v>
      </c>
      <c r="R17" s="34" t="s">
        <v>51</v>
      </c>
      <c r="S17" s="35" t="n">
        <f>39171.58</f>
        <v>39171.58</v>
      </c>
      <c r="T17" s="32" t="n">
        <f>165281</f>
        <v>165281.0</v>
      </c>
      <c r="U17" s="32" t="n">
        <f>1</f>
        <v>1.0</v>
      </c>
      <c r="V17" s="32" t="n">
        <f>6469999100</f>
        <v>6.4699991E9</v>
      </c>
      <c r="W17" s="32" t="n">
        <f>38530</f>
        <v>38530.0</v>
      </c>
      <c r="X17" s="36" t="n">
        <f>19</f>
        <v>19.0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10.0</v>
      </c>
      <c r="K18" s="33" t="n">
        <f>10030</f>
        <v>10030.0</v>
      </c>
      <c r="L18" s="34" t="s">
        <v>48</v>
      </c>
      <c r="M18" s="33" t="n">
        <f>10575</f>
        <v>10575.0</v>
      </c>
      <c r="N18" s="34" t="s">
        <v>51</v>
      </c>
      <c r="O18" s="33" t="n">
        <f>10015</f>
        <v>10015.0</v>
      </c>
      <c r="P18" s="34" t="s">
        <v>48</v>
      </c>
      <c r="Q18" s="33" t="n">
        <f>10575</f>
        <v>10575.0</v>
      </c>
      <c r="R18" s="34" t="s">
        <v>51</v>
      </c>
      <c r="S18" s="35" t="n">
        <f>10321.32</f>
        <v>10321.32</v>
      </c>
      <c r="T18" s="32" t="n">
        <f>317210</f>
        <v>317210.0</v>
      </c>
      <c r="U18" s="32" t="n">
        <f>10570</f>
        <v>10570.0</v>
      </c>
      <c r="V18" s="32" t="n">
        <f>3267284350</f>
        <v>3.26728435E9</v>
      </c>
      <c r="W18" s="32" t="n">
        <f>108531000</f>
        <v>1.08531E8</v>
      </c>
      <c r="X18" s="36" t="n">
        <f>19</f>
        <v>19.0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41510</f>
        <v>41510.0</v>
      </c>
      <c r="L19" s="34" t="s">
        <v>48</v>
      </c>
      <c r="M19" s="33" t="n">
        <f>41950</f>
        <v>41950.0</v>
      </c>
      <c r="N19" s="34" t="s">
        <v>49</v>
      </c>
      <c r="O19" s="33" t="n">
        <f>39640</f>
        <v>39640.0</v>
      </c>
      <c r="P19" s="34" t="s">
        <v>50</v>
      </c>
      <c r="Q19" s="33" t="n">
        <f>41200</f>
        <v>41200.0</v>
      </c>
      <c r="R19" s="34" t="s">
        <v>51</v>
      </c>
      <c r="S19" s="35" t="n">
        <f>40912.63</f>
        <v>40912.63</v>
      </c>
      <c r="T19" s="32" t="n">
        <f>956370</f>
        <v>956370.0</v>
      </c>
      <c r="U19" s="32" t="n">
        <f>156752</f>
        <v>156752.0</v>
      </c>
      <c r="V19" s="32" t="n">
        <f>39124803875</f>
        <v>3.9124803875E10</v>
      </c>
      <c r="W19" s="32" t="n">
        <f>6482058405</f>
        <v>6.482058405E9</v>
      </c>
      <c r="X19" s="36" t="n">
        <f>19</f>
        <v>19.0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41430</f>
        <v>41430.0</v>
      </c>
      <c r="L20" s="34" t="s">
        <v>48</v>
      </c>
      <c r="M20" s="33" t="n">
        <f>41880</f>
        <v>41880.0</v>
      </c>
      <c r="N20" s="34" t="s">
        <v>49</v>
      </c>
      <c r="O20" s="33" t="n">
        <f>39560</f>
        <v>39560.0</v>
      </c>
      <c r="P20" s="34" t="s">
        <v>50</v>
      </c>
      <c r="Q20" s="33" t="n">
        <f>41210</f>
        <v>41210.0</v>
      </c>
      <c r="R20" s="34" t="s">
        <v>51</v>
      </c>
      <c r="S20" s="35" t="n">
        <f>40862.11</f>
        <v>40862.11</v>
      </c>
      <c r="T20" s="32" t="n">
        <f>1314708</f>
        <v>1314708.0</v>
      </c>
      <c r="U20" s="32" t="n">
        <f>573501</f>
        <v>573501.0</v>
      </c>
      <c r="V20" s="32" t="n">
        <f>53834716228</f>
        <v>5.3834716228E10</v>
      </c>
      <c r="W20" s="32" t="n">
        <f>23519299338</f>
        <v>2.3519299338E10</v>
      </c>
      <c r="X20" s="36" t="n">
        <f>19</f>
        <v>19.0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1071</f>
        <v>1071.0</v>
      </c>
      <c r="L21" s="34" t="s">
        <v>48</v>
      </c>
      <c r="M21" s="33" t="n">
        <f>1079</f>
        <v>1079.0</v>
      </c>
      <c r="N21" s="34" t="s">
        <v>99</v>
      </c>
      <c r="O21" s="33" t="n">
        <f>1042</f>
        <v>1042.0</v>
      </c>
      <c r="P21" s="34" t="s">
        <v>51</v>
      </c>
      <c r="Q21" s="33" t="n">
        <f>1050</f>
        <v>1050.0</v>
      </c>
      <c r="R21" s="34" t="s">
        <v>51</v>
      </c>
      <c r="S21" s="35" t="n">
        <f>1063.32</f>
        <v>1063.32</v>
      </c>
      <c r="T21" s="32" t="n">
        <f>467821</f>
        <v>467821.0</v>
      </c>
      <c r="U21" s="32" t="n">
        <f>1</f>
        <v>1.0</v>
      </c>
      <c r="V21" s="32" t="n">
        <f>499511491</f>
        <v>4.99511491E8</v>
      </c>
      <c r="W21" s="32" t="n">
        <f>1072</f>
        <v>1072.0</v>
      </c>
      <c r="X21" s="36" t="n">
        <f>19</f>
        <v>19.0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1808</f>
        <v>1808.0</v>
      </c>
      <c r="L22" s="34" t="s">
        <v>48</v>
      </c>
      <c r="M22" s="33" t="n">
        <f>1866</f>
        <v>1866.0</v>
      </c>
      <c r="N22" s="34" t="s">
        <v>61</v>
      </c>
      <c r="O22" s="33" t="n">
        <f>1765.5</f>
        <v>1765.5</v>
      </c>
      <c r="P22" s="34" t="s">
        <v>103</v>
      </c>
      <c r="Q22" s="33" t="n">
        <f>1850</f>
        <v>1850.0</v>
      </c>
      <c r="R22" s="34" t="s">
        <v>51</v>
      </c>
      <c r="S22" s="35" t="n">
        <f>1800.08</f>
        <v>1800.08</v>
      </c>
      <c r="T22" s="32" t="n">
        <f>20166330</f>
        <v>2.016633E7</v>
      </c>
      <c r="U22" s="32" t="n">
        <f>8366760</f>
        <v>8366760.0</v>
      </c>
      <c r="V22" s="32" t="n">
        <f>36468478274</f>
        <v>3.6468478274E10</v>
      </c>
      <c r="W22" s="32" t="n">
        <f>15158027724</f>
        <v>1.5158027724E10</v>
      </c>
      <c r="X22" s="36" t="n">
        <f>19</f>
        <v>19.0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1705</f>
        <v>1705.0</v>
      </c>
      <c r="L23" s="34" t="s">
        <v>48</v>
      </c>
      <c r="M23" s="33" t="n">
        <f>1745</f>
        <v>1745.0</v>
      </c>
      <c r="N23" s="34" t="s">
        <v>61</v>
      </c>
      <c r="O23" s="33" t="n">
        <f>1651.5</f>
        <v>1651.5</v>
      </c>
      <c r="P23" s="34" t="s">
        <v>103</v>
      </c>
      <c r="Q23" s="33" t="n">
        <f>1733</f>
        <v>1733.0</v>
      </c>
      <c r="R23" s="34" t="s">
        <v>51</v>
      </c>
      <c r="S23" s="35" t="n">
        <f>1686.08</f>
        <v>1686.08</v>
      </c>
      <c r="T23" s="32" t="n">
        <f>4087200</f>
        <v>4087200.0</v>
      </c>
      <c r="U23" s="32" t="n">
        <f>3028800</f>
        <v>3028800.0</v>
      </c>
      <c r="V23" s="32" t="n">
        <f>6936535553</f>
        <v>6.936535553E9</v>
      </c>
      <c r="W23" s="32" t="n">
        <f>5147944253</f>
        <v>5.147944253E9</v>
      </c>
      <c r="X23" s="36" t="n">
        <f>19</f>
        <v>19.0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41520</f>
        <v>41520.0</v>
      </c>
      <c r="L24" s="34" t="s">
        <v>48</v>
      </c>
      <c r="M24" s="33" t="n">
        <f>41900</f>
        <v>41900.0</v>
      </c>
      <c r="N24" s="34" t="s">
        <v>49</v>
      </c>
      <c r="O24" s="33" t="n">
        <f>39260</f>
        <v>39260.0</v>
      </c>
      <c r="P24" s="34" t="s">
        <v>50</v>
      </c>
      <c r="Q24" s="33" t="n">
        <f>40500</f>
        <v>40500.0</v>
      </c>
      <c r="R24" s="34" t="s">
        <v>51</v>
      </c>
      <c r="S24" s="35" t="n">
        <f>40606.32</f>
        <v>40606.32</v>
      </c>
      <c r="T24" s="32" t="n">
        <f>556217</f>
        <v>556217.0</v>
      </c>
      <c r="U24" s="32" t="n">
        <f>94287</f>
        <v>94287.0</v>
      </c>
      <c r="V24" s="32" t="n">
        <f>22656976860</f>
        <v>2.265697686E10</v>
      </c>
      <c r="W24" s="32" t="n">
        <f>3893457870</f>
        <v>3.89345787E9</v>
      </c>
      <c r="X24" s="36" t="n">
        <f>19</f>
        <v>19.0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2917</f>
        <v>2917.0</v>
      </c>
      <c r="L25" s="34" t="s">
        <v>48</v>
      </c>
      <c r="M25" s="33" t="n">
        <f>2925.5</f>
        <v>2925.5</v>
      </c>
      <c r="N25" s="34" t="s">
        <v>49</v>
      </c>
      <c r="O25" s="33" t="n">
        <f>2743.5</f>
        <v>2743.5</v>
      </c>
      <c r="P25" s="34" t="s">
        <v>50</v>
      </c>
      <c r="Q25" s="33" t="n">
        <f>2890</f>
        <v>2890.0</v>
      </c>
      <c r="R25" s="34" t="s">
        <v>51</v>
      </c>
      <c r="S25" s="35" t="n">
        <f>2844.34</f>
        <v>2844.34</v>
      </c>
      <c r="T25" s="32" t="n">
        <f>6322090</f>
        <v>6322090.0</v>
      </c>
      <c r="U25" s="32" t="n">
        <f>3769480</f>
        <v>3769480.0</v>
      </c>
      <c r="V25" s="32" t="n">
        <f>17994531888</f>
        <v>1.7994531888E10</v>
      </c>
      <c r="W25" s="32" t="n">
        <f>10749203968</f>
        <v>1.0749203968E10</v>
      </c>
      <c r="X25" s="36" t="n">
        <f>19</f>
        <v>19.0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17150</f>
        <v>17150.0</v>
      </c>
      <c r="L26" s="34" t="s">
        <v>48</v>
      </c>
      <c r="M26" s="33" t="n">
        <f>18620</f>
        <v>18620.0</v>
      </c>
      <c r="N26" s="34" t="s">
        <v>62</v>
      </c>
      <c r="O26" s="33" t="n">
        <f>16485</f>
        <v>16485.0</v>
      </c>
      <c r="P26" s="34" t="s">
        <v>116</v>
      </c>
      <c r="Q26" s="33" t="n">
        <f>16760</f>
        <v>16760.0</v>
      </c>
      <c r="R26" s="34" t="s">
        <v>71</v>
      </c>
      <c r="S26" s="35" t="n">
        <f>16974.38</f>
        <v>16974.38</v>
      </c>
      <c r="T26" s="32" t="n">
        <f>716</f>
        <v>716.0</v>
      </c>
      <c r="U26" s="32" t="n">
        <f>1</f>
        <v>1.0</v>
      </c>
      <c r="V26" s="32" t="n">
        <f>12321220</f>
        <v>1.232122E7</v>
      </c>
      <c r="W26" s="32" t="n">
        <f>17140</f>
        <v>17140.0</v>
      </c>
      <c r="X26" s="36" t="n">
        <f>16</f>
        <v>16.0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307</f>
        <v>307.0</v>
      </c>
      <c r="L27" s="34" t="s">
        <v>48</v>
      </c>
      <c r="M27" s="33" t="n">
        <f>339.6</f>
        <v>339.6</v>
      </c>
      <c r="N27" s="34" t="s">
        <v>50</v>
      </c>
      <c r="O27" s="33" t="n">
        <f>304.8</f>
        <v>304.8</v>
      </c>
      <c r="P27" s="34" t="s">
        <v>51</v>
      </c>
      <c r="Q27" s="33" t="n">
        <f>305.7</f>
        <v>305.7</v>
      </c>
      <c r="R27" s="34" t="s">
        <v>51</v>
      </c>
      <c r="S27" s="35" t="n">
        <f>318.06</f>
        <v>318.06</v>
      </c>
      <c r="T27" s="32" t="n">
        <f>30388360</f>
        <v>3.038836E7</v>
      </c>
      <c r="U27" s="32" t="n">
        <f>2050</f>
        <v>2050.0</v>
      </c>
      <c r="V27" s="32" t="n">
        <f>9621900265</f>
        <v>9.621900265E9</v>
      </c>
      <c r="W27" s="32" t="n">
        <f>648628</f>
        <v>648628.0</v>
      </c>
      <c r="X27" s="36" t="n">
        <f>19</f>
        <v>19.0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11435</f>
        <v>11435.0</v>
      </c>
      <c r="L28" s="34" t="s">
        <v>48</v>
      </c>
      <c r="M28" s="33" t="n">
        <f>12520</f>
        <v>12520.0</v>
      </c>
      <c r="N28" s="34" t="s">
        <v>50</v>
      </c>
      <c r="O28" s="33" t="n">
        <f>11160</f>
        <v>11160.0</v>
      </c>
      <c r="P28" s="34" t="s">
        <v>70</v>
      </c>
      <c r="Q28" s="33" t="n">
        <f>11520</f>
        <v>11520.0</v>
      </c>
      <c r="R28" s="34" t="s">
        <v>51</v>
      </c>
      <c r="S28" s="35" t="n">
        <f>11746.58</f>
        <v>11746.58</v>
      </c>
      <c r="T28" s="32" t="n">
        <f>27035814</f>
        <v>2.7035814E7</v>
      </c>
      <c r="U28" s="32" t="n">
        <f>516689</f>
        <v>516689.0</v>
      </c>
      <c r="V28" s="32" t="n">
        <f>316037015979</f>
        <v>3.16037015979E11</v>
      </c>
      <c r="W28" s="32" t="n">
        <f>6032001159</f>
        <v>6.032001159E9</v>
      </c>
      <c r="X28" s="36" t="n">
        <f>19</f>
        <v>19.0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53000</f>
        <v>53000.0</v>
      </c>
      <c r="L29" s="34" t="s">
        <v>48</v>
      </c>
      <c r="M29" s="33" t="n">
        <f>53950</f>
        <v>53950.0</v>
      </c>
      <c r="N29" s="34" t="s">
        <v>49</v>
      </c>
      <c r="O29" s="33" t="n">
        <f>48100</f>
        <v>48100.0</v>
      </c>
      <c r="P29" s="34" t="s">
        <v>50</v>
      </c>
      <c r="Q29" s="33" t="n">
        <f>52100</f>
        <v>52100.0</v>
      </c>
      <c r="R29" s="34" t="s">
        <v>51</v>
      </c>
      <c r="S29" s="35" t="n">
        <f>51275.26</f>
        <v>51275.26</v>
      </c>
      <c r="T29" s="32" t="n">
        <f>324199</f>
        <v>324199.0</v>
      </c>
      <c r="U29" s="32" t="n">
        <f>11</f>
        <v>11.0</v>
      </c>
      <c r="V29" s="32" t="n">
        <f>16674973210</f>
        <v>1.667497321E10</v>
      </c>
      <c r="W29" s="32" t="n">
        <f>551750</f>
        <v>551750.0</v>
      </c>
      <c r="X29" s="36" t="n">
        <f>19</f>
        <v>19.0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280.2</f>
        <v>280.2</v>
      </c>
      <c r="L30" s="34" t="s">
        <v>48</v>
      </c>
      <c r="M30" s="33" t="n">
        <f>307.4</f>
        <v>307.4</v>
      </c>
      <c r="N30" s="34" t="s">
        <v>50</v>
      </c>
      <c r="O30" s="33" t="n">
        <f>274.2</f>
        <v>274.2</v>
      </c>
      <c r="P30" s="34" t="s">
        <v>70</v>
      </c>
      <c r="Q30" s="33" t="n">
        <f>282.9</f>
        <v>282.9</v>
      </c>
      <c r="R30" s="34" t="s">
        <v>51</v>
      </c>
      <c r="S30" s="35" t="n">
        <f>288.38</f>
        <v>288.38</v>
      </c>
      <c r="T30" s="32" t="n">
        <f>1086225050</f>
        <v>1.08622505E9</v>
      </c>
      <c r="U30" s="32" t="n">
        <f>1913360</f>
        <v>1913360.0</v>
      </c>
      <c r="V30" s="32" t="n">
        <f>311975225074</f>
        <v>3.11975225074E11</v>
      </c>
      <c r="W30" s="32" t="n">
        <f>548579318</f>
        <v>5.48579318E8</v>
      </c>
      <c r="X30" s="36" t="n">
        <f>19</f>
        <v>19.0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26150</f>
        <v>26150.0</v>
      </c>
      <c r="L31" s="34" t="s">
        <v>48</v>
      </c>
      <c r="M31" s="33" t="n">
        <f>26150</f>
        <v>26150.0</v>
      </c>
      <c r="N31" s="34" t="s">
        <v>48</v>
      </c>
      <c r="O31" s="33" t="n">
        <f>24740</f>
        <v>24740.0</v>
      </c>
      <c r="P31" s="34" t="s">
        <v>50</v>
      </c>
      <c r="Q31" s="33" t="n">
        <f>26020</f>
        <v>26020.0</v>
      </c>
      <c r="R31" s="34" t="s">
        <v>51</v>
      </c>
      <c r="S31" s="35" t="n">
        <f>25552.63</f>
        <v>25552.63</v>
      </c>
      <c r="T31" s="32" t="n">
        <f>17266</f>
        <v>17266.0</v>
      </c>
      <c r="U31" s="32" t="n">
        <f>782</f>
        <v>782.0</v>
      </c>
      <c r="V31" s="32" t="n">
        <f>439703343</f>
        <v>4.39703343E8</v>
      </c>
      <c r="W31" s="32" t="n">
        <f>19976923</f>
        <v>1.9976923E7</v>
      </c>
      <c r="X31" s="36" t="n">
        <f>19</f>
        <v>19.0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43250</f>
        <v>43250.0</v>
      </c>
      <c r="L32" s="34" t="s">
        <v>48</v>
      </c>
      <c r="M32" s="33" t="n">
        <f>44130</f>
        <v>44130.0</v>
      </c>
      <c r="N32" s="34" t="s">
        <v>49</v>
      </c>
      <c r="O32" s="33" t="n">
        <f>39310</f>
        <v>39310.0</v>
      </c>
      <c r="P32" s="34" t="s">
        <v>50</v>
      </c>
      <c r="Q32" s="33" t="n">
        <f>42480</f>
        <v>42480.0</v>
      </c>
      <c r="R32" s="34" t="s">
        <v>51</v>
      </c>
      <c r="S32" s="35" t="n">
        <f>41933.16</f>
        <v>41933.16</v>
      </c>
      <c r="T32" s="32" t="n">
        <f>946163</f>
        <v>946163.0</v>
      </c>
      <c r="U32" s="32" t="n">
        <f>17103</f>
        <v>17103.0</v>
      </c>
      <c r="V32" s="32" t="n">
        <f>39713256358</f>
        <v>3.9713256358E10</v>
      </c>
      <c r="W32" s="32" t="n">
        <f>713462448</f>
        <v>7.13462448E8</v>
      </c>
      <c r="X32" s="36" t="n">
        <f>19</f>
        <v>19.0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288</f>
        <v>288.0</v>
      </c>
      <c r="L33" s="34" t="s">
        <v>48</v>
      </c>
      <c r="M33" s="33" t="n">
        <f>315</f>
        <v>315.0</v>
      </c>
      <c r="N33" s="34" t="s">
        <v>50</v>
      </c>
      <c r="O33" s="33" t="n">
        <f>280</f>
        <v>280.0</v>
      </c>
      <c r="P33" s="34" t="s">
        <v>70</v>
      </c>
      <c r="Q33" s="33" t="n">
        <f>289</f>
        <v>289.0</v>
      </c>
      <c r="R33" s="34" t="s">
        <v>51</v>
      </c>
      <c r="S33" s="35" t="n">
        <f>295</f>
        <v>295.0</v>
      </c>
      <c r="T33" s="32" t="n">
        <f>41717895</f>
        <v>4.1717895E7</v>
      </c>
      <c r="U33" s="32" t="n">
        <f>814658</f>
        <v>814658.0</v>
      </c>
      <c r="V33" s="32" t="n">
        <f>12206661834</f>
        <v>1.2206661834E10</v>
      </c>
      <c r="W33" s="32" t="n">
        <f>237992897</f>
        <v>2.37992897E8</v>
      </c>
      <c r="X33" s="36" t="n">
        <f>19</f>
        <v>19.0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37600</f>
        <v>37600.0</v>
      </c>
      <c r="L34" s="34" t="s">
        <v>48</v>
      </c>
      <c r="M34" s="33" t="n">
        <f>37710</f>
        <v>37710.0</v>
      </c>
      <c r="N34" s="34" t="s">
        <v>48</v>
      </c>
      <c r="O34" s="33" t="n">
        <f>33800</f>
        <v>33800.0</v>
      </c>
      <c r="P34" s="34" t="s">
        <v>50</v>
      </c>
      <c r="Q34" s="33" t="n">
        <f>37350</f>
        <v>37350.0</v>
      </c>
      <c r="R34" s="34" t="s">
        <v>51</v>
      </c>
      <c r="S34" s="35" t="n">
        <f>36119.47</f>
        <v>36119.47</v>
      </c>
      <c r="T34" s="32" t="n">
        <f>144547</f>
        <v>144547.0</v>
      </c>
      <c r="U34" s="32" t="n">
        <f>2036</f>
        <v>2036.0</v>
      </c>
      <c r="V34" s="32" t="n">
        <f>5213659040</f>
        <v>5.21365904E9</v>
      </c>
      <c r="W34" s="32" t="n">
        <f>74065030</f>
        <v>7.406503E7</v>
      </c>
      <c r="X34" s="36" t="n">
        <f>19</f>
        <v>19.0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443</f>
        <v>443.0</v>
      </c>
      <c r="L35" s="34" t="s">
        <v>48</v>
      </c>
      <c r="M35" s="33" t="n">
        <f>490</f>
        <v>490.0</v>
      </c>
      <c r="N35" s="34" t="s">
        <v>50</v>
      </c>
      <c r="O35" s="33" t="n">
        <f>439</f>
        <v>439.0</v>
      </c>
      <c r="P35" s="34" t="s">
        <v>51</v>
      </c>
      <c r="Q35" s="33" t="n">
        <f>440</f>
        <v>440.0</v>
      </c>
      <c r="R35" s="34" t="s">
        <v>51</v>
      </c>
      <c r="S35" s="35" t="n">
        <f>458.84</f>
        <v>458.84</v>
      </c>
      <c r="T35" s="32" t="n">
        <f>2658795</f>
        <v>2658795.0</v>
      </c>
      <c r="U35" s="32" t="n">
        <f>173</f>
        <v>173.0</v>
      </c>
      <c r="V35" s="32" t="n">
        <f>1214072456</f>
        <v>1.214072456E9</v>
      </c>
      <c r="W35" s="32" t="n">
        <f>79317</f>
        <v>79317.0</v>
      </c>
      <c r="X35" s="36" t="n">
        <f>19</f>
        <v>19.0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40200</f>
        <v>40200.0</v>
      </c>
      <c r="L36" s="34" t="s">
        <v>48</v>
      </c>
      <c r="M36" s="33" t="n">
        <f>40390</f>
        <v>40390.0</v>
      </c>
      <c r="N36" s="34" t="s">
        <v>49</v>
      </c>
      <c r="O36" s="33" t="n">
        <f>38150</f>
        <v>38150.0</v>
      </c>
      <c r="P36" s="34" t="s">
        <v>50</v>
      </c>
      <c r="Q36" s="33" t="n">
        <f>39760</f>
        <v>39760.0</v>
      </c>
      <c r="R36" s="34" t="s">
        <v>51</v>
      </c>
      <c r="S36" s="35" t="n">
        <f>39398.42</f>
        <v>39398.42</v>
      </c>
      <c r="T36" s="32" t="n">
        <f>190644</f>
        <v>190644.0</v>
      </c>
      <c r="U36" s="32" t="n">
        <f>77935</f>
        <v>77935.0</v>
      </c>
      <c r="V36" s="32" t="n">
        <f>7507246766</f>
        <v>7.507246766E9</v>
      </c>
      <c r="W36" s="32" t="n">
        <f>3064605496</f>
        <v>3.064605496E9</v>
      </c>
      <c r="X36" s="36" t="n">
        <f>19</f>
        <v>19.0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40340</f>
        <v>40340.0</v>
      </c>
      <c r="L37" s="34" t="s">
        <v>48</v>
      </c>
      <c r="M37" s="33" t="n">
        <f>40700</f>
        <v>40700.0</v>
      </c>
      <c r="N37" s="34" t="s">
        <v>49</v>
      </c>
      <c r="O37" s="33" t="n">
        <f>38500</f>
        <v>38500.0</v>
      </c>
      <c r="P37" s="34" t="s">
        <v>50</v>
      </c>
      <c r="Q37" s="33" t="n">
        <f>40070</f>
        <v>40070.0</v>
      </c>
      <c r="R37" s="34" t="s">
        <v>51</v>
      </c>
      <c r="S37" s="35" t="n">
        <f>39757.37</f>
        <v>39757.37</v>
      </c>
      <c r="T37" s="32" t="n">
        <f>48549</f>
        <v>48549.0</v>
      </c>
      <c r="U37" s="32" t="n">
        <f>1379</f>
        <v>1379.0</v>
      </c>
      <c r="V37" s="32" t="n">
        <f>1928640720</f>
        <v>1.92864072E9</v>
      </c>
      <c r="W37" s="32" t="n">
        <f>54759820</f>
        <v>5.475982E7</v>
      </c>
      <c r="X37" s="36" t="n">
        <f>19</f>
        <v>19.0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1721.5</f>
        <v>1721.5</v>
      </c>
      <c r="L38" s="34" t="s">
        <v>48</v>
      </c>
      <c r="M38" s="33" t="n">
        <f>1775</f>
        <v>1775.0</v>
      </c>
      <c r="N38" s="34" t="s">
        <v>61</v>
      </c>
      <c r="O38" s="33" t="n">
        <f>1682.5</f>
        <v>1682.5</v>
      </c>
      <c r="P38" s="34" t="s">
        <v>103</v>
      </c>
      <c r="Q38" s="33" t="n">
        <f>1760</f>
        <v>1760.0</v>
      </c>
      <c r="R38" s="34" t="s">
        <v>51</v>
      </c>
      <c r="S38" s="35" t="n">
        <f>1713.63</f>
        <v>1713.63</v>
      </c>
      <c r="T38" s="32" t="n">
        <f>2141700</f>
        <v>2141700.0</v>
      </c>
      <c r="U38" s="32" t="n">
        <f>507440</f>
        <v>507440.0</v>
      </c>
      <c r="V38" s="32" t="n">
        <f>3690861360</f>
        <v>3.69086136E9</v>
      </c>
      <c r="W38" s="32" t="n">
        <f>870242540</f>
        <v>8.7024254E8</v>
      </c>
      <c r="X38" s="36" t="n">
        <f>19</f>
        <v>19.0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2242</f>
        <v>2242.0</v>
      </c>
      <c r="L39" s="34" t="s">
        <v>48</v>
      </c>
      <c r="M39" s="33" t="n">
        <f>2242</f>
        <v>2242.0</v>
      </c>
      <c r="N39" s="34" t="s">
        <v>48</v>
      </c>
      <c r="O39" s="33" t="n">
        <f>2146</f>
        <v>2146.0</v>
      </c>
      <c r="P39" s="34" t="s">
        <v>50</v>
      </c>
      <c r="Q39" s="33" t="n">
        <f>2213</f>
        <v>2213.0</v>
      </c>
      <c r="R39" s="34" t="s">
        <v>51</v>
      </c>
      <c r="S39" s="35" t="n">
        <f>2185.95</f>
        <v>2185.95</v>
      </c>
      <c r="T39" s="32" t="n">
        <f>156090</f>
        <v>156090.0</v>
      </c>
      <c r="U39" s="32" t="n">
        <f>145000</f>
        <v>145000.0</v>
      </c>
      <c r="V39" s="32" t="n">
        <f>338305875</f>
        <v>3.38305875E8</v>
      </c>
      <c r="W39" s="32" t="n">
        <f>314075000</f>
        <v>3.14075E8</v>
      </c>
      <c r="X39" s="36" t="n">
        <f>19</f>
        <v>19.0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2034</f>
        <v>2034.0</v>
      </c>
      <c r="L40" s="34" t="s">
        <v>48</v>
      </c>
      <c r="M40" s="33" t="n">
        <f>2059</f>
        <v>2059.0</v>
      </c>
      <c r="N40" s="34" t="s">
        <v>159</v>
      </c>
      <c r="O40" s="33" t="n">
        <f>2001</f>
        <v>2001.0</v>
      </c>
      <c r="P40" s="34" t="s">
        <v>51</v>
      </c>
      <c r="Q40" s="33" t="n">
        <f>2020</f>
        <v>2020.0</v>
      </c>
      <c r="R40" s="34" t="s">
        <v>51</v>
      </c>
      <c r="S40" s="35" t="n">
        <f>2033.63</f>
        <v>2033.63</v>
      </c>
      <c r="T40" s="32" t="n">
        <f>1056142</f>
        <v>1056142.0</v>
      </c>
      <c r="U40" s="32" t="n">
        <f>971800</f>
        <v>971800.0</v>
      </c>
      <c r="V40" s="32" t="n">
        <f>2157915920</f>
        <v>2.15791592E9</v>
      </c>
      <c r="W40" s="32" t="n">
        <f>1986810514</f>
        <v>1.986810514E9</v>
      </c>
      <c r="X40" s="36" t="n">
        <f>19</f>
        <v>19.0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2414</f>
        <v>2414.0</v>
      </c>
      <c r="L41" s="34" t="s">
        <v>48</v>
      </c>
      <c r="M41" s="33" t="n">
        <f>2526</f>
        <v>2526.0</v>
      </c>
      <c r="N41" s="34" t="s">
        <v>50</v>
      </c>
      <c r="O41" s="33" t="n">
        <f>2386</f>
        <v>2386.0</v>
      </c>
      <c r="P41" s="34" t="s">
        <v>70</v>
      </c>
      <c r="Q41" s="33" t="n">
        <f>2423</f>
        <v>2423.0</v>
      </c>
      <c r="R41" s="34" t="s">
        <v>51</v>
      </c>
      <c r="S41" s="35" t="n">
        <f>2446.47</f>
        <v>2446.47</v>
      </c>
      <c r="T41" s="32" t="n">
        <f>2176113</f>
        <v>2176113.0</v>
      </c>
      <c r="U41" s="32" t="n">
        <f>1066870</f>
        <v>1066870.0</v>
      </c>
      <c r="V41" s="32" t="n">
        <f>5304980919</f>
        <v>5.304980919E9</v>
      </c>
      <c r="W41" s="32" t="n">
        <f>2599653373</f>
        <v>2.599653373E9</v>
      </c>
      <c r="X41" s="36" t="n">
        <f>19</f>
        <v>19.0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2884</f>
        <v>2884.0</v>
      </c>
      <c r="L42" s="34" t="s">
        <v>48</v>
      </c>
      <c r="M42" s="33" t="n">
        <f>3030</f>
        <v>3030.0</v>
      </c>
      <c r="N42" s="34" t="s">
        <v>50</v>
      </c>
      <c r="O42" s="33" t="n">
        <f>2875</f>
        <v>2875.0</v>
      </c>
      <c r="P42" s="34" t="s">
        <v>51</v>
      </c>
      <c r="Q42" s="33" t="n">
        <f>2880</f>
        <v>2880.0</v>
      </c>
      <c r="R42" s="34" t="s">
        <v>51</v>
      </c>
      <c r="S42" s="35" t="n">
        <f>2936.26</f>
        <v>2936.26</v>
      </c>
      <c r="T42" s="32" t="n">
        <f>71405</f>
        <v>71405.0</v>
      </c>
      <c r="U42" s="32" t="n">
        <f>1</f>
        <v>1.0</v>
      </c>
      <c r="V42" s="32" t="n">
        <f>209340941</f>
        <v>2.09340941E8</v>
      </c>
      <c r="W42" s="32" t="n">
        <f>2903</f>
        <v>2903.0</v>
      </c>
      <c r="X42" s="36" t="n">
        <f>19</f>
        <v>19.0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33330</f>
        <v>33330.0</v>
      </c>
      <c r="L43" s="34" t="s">
        <v>48</v>
      </c>
      <c r="M43" s="33" t="n">
        <f>33930</f>
        <v>33930.0</v>
      </c>
      <c r="N43" s="34" t="s">
        <v>49</v>
      </c>
      <c r="O43" s="33" t="n">
        <f>30240</f>
        <v>30240.0</v>
      </c>
      <c r="P43" s="34" t="s">
        <v>50</v>
      </c>
      <c r="Q43" s="33" t="n">
        <f>32760</f>
        <v>32760.0</v>
      </c>
      <c r="R43" s="34" t="s">
        <v>51</v>
      </c>
      <c r="S43" s="35" t="n">
        <f>32261.58</f>
        <v>32261.58</v>
      </c>
      <c r="T43" s="32" t="n">
        <f>6970120</f>
        <v>6970120.0</v>
      </c>
      <c r="U43" s="32" t="n">
        <f>75905</f>
        <v>75905.0</v>
      </c>
      <c r="V43" s="32" t="n">
        <f>224944849940</f>
        <v>2.2494484994E11</v>
      </c>
      <c r="W43" s="32" t="n">
        <f>2450080480</f>
        <v>2.45008048E9</v>
      </c>
      <c r="X43" s="36" t="n">
        <f>19</f>
        <v>19.0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461</f>
        <v>461.0</v>
      </c>
      <c r="L44" s="34" t="s">
        <v>48</v>
      </c>
      <c r="M44" s="33" t="n">
        <f>505</f>
        <v>505.0</v>
      </c>
      <c r="N44" s="34" t="s">
        <v>50</v>
      </c>
      <c r="O44" s="33" t="n">
        <f>450</f>
        <v>450.0</v>
      </c>
      <c r="P44" s="34" t="s">
        <v>70</v>
      </c>
      <c r="Q44" s="33" t="n">
        <f>465</f>
        <v>465.0</v>
      </c>
      <c r="R44" s="34" t="s">
        <v>51</v>
      </c>
      <c r="S44" s="35" t="n">
        <f>473.84</f>
        <v>473.84</v>
      </c>
      <c r="T44" s="32" t="n">
        <f>289547769</f>
        <v>2.89547769E8</v>
      </c>
      <c r="U44" s="32" t="n">
        <f>1846049</f>
        <v>1846049.0</v>
      </c>
      <c r="V44" s="32" t="n">
        <f>136593045528</f>
        <v>1.36593045528E11</v>
      </c>
      <c r="W44" s="32" t="n">
        <f>878224813</f>
        <v>8.78224813E8</v>
      </c>
      <c r="X44" s="36" t="n">
        <f>19</f>
        <v>19.0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564</f>
        <v>564.0</v>
      </c>
      <c r="L45" s="34" t="s">
        <v>48</v>
      </c>
      <c r="M45" s="33" t="n">
        <f>620</f>
        <v>620.0</v>
      </c>
      <c r="N45" s="34" t="s">
        <v>50</v>
      </c>
      <c r="O45" s="33" t="n">
        <f>558</f>
        <v>558.0</v>
      </c>
      <c r="P45" s="34" t="s">
        <v>49</v>
      </c>
      <c r="Q45" s="33" t="n">
        <f>563</f>
        <v>563.0</v>
      </c>
      <c r="R45" s="34" t="s">
        <v>51</v>
      </c>
      <c r="S45" s="35" t="n">
        <f>585.11</f>
        <v>585.11</v>
      </c>
      <c r="T45" s="32" t="n">
        <f>91210</f>
        <v>91210.0</v>
      </c>
      <c r="U45" s="32" t="str">
        <f>"－"</f>
        <v>－</v>
      </c>
      <c r="V45" s="32" t="n">
        <f>54303974</f>
        <v>5.4303974E7</v>
      </c>
      <c r="W45" s="32" t="str">
        <f>"－"</f>
        <v>－</v>
      </c>
      <c r="X45" s="36" t="n">
        <f>19</f>
        <v>19.0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567.8</f>
        <v>567.8</v>
      </c>
      <c r="L46" s="34" t="s">
        <v>48</v>
      </c>
      <c r="M46" s="33" t="n">
        <f>612</f>
        <v>612.0</v>
      </c>
      <c r="N46" s="34" t="s">
        <v>50</v>
      </c>
      <c r="O46" s="33" t="n">
        <f>557</f>
        <v>557.0</v>
      </c>
      <c r="P46" s="34" t="s">
        <v>48</v>
      </c>
      <c r="Q46" s="33" t="n">
        <f>560</f>
        <v>560.0</v>
      </c>
      <c r="R46" s="34" t="s">
        <v>51</v>
      </c>
      <c r="S46" s="35" t="n">
        <f>577.1</f>
        <v>577.1</v>
      </c>
      <c r="T46" s="32" t="n">
        <f>81210</f>
        <v>81210.0</v>
      </c>
      <c r="U46" s="32" t="str">
        <f>"－"</f>
        <v>－</v>
      </c>
      <c r="V46" s="32" t="n">
        <f>47338883</f>
        <v>4.7338883E7</v>
      </c>
      <c r="W46" s="32" t="str">
        <f>"－"</f>
        <v>－</v>
      </c>
      <c r="X46" s="36" t="n">
        <f>19</f>
        <v>19.0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232</f>
        <v>232.0</v>
      </c>
      <c r="L47" s="34" t="s">
        <v>48</v>
      </c>
      <c r="M47" s="33" t="n">
        <f>244</f>
        <v>244.0</v>
      </c>
      <c r="N47" s="34" t="s">
        <v>50</v>
      </c>
      <c r="O47" s="33" t="n">
        <f>227</f>
        <v>227.0</v>
      </c>
      <c r="P47" s="34" t="s">
        <v>181</v>
      </c>
      <c r="Q47" s="33" t="n">
        <f>228</f>
        <v>228.0</v>
      </c>
      <c r="R47" s="34" t="s">
        <v>51</v>
      </c>
      <c r="S47" s="35" t="n">
        <f>234.32</f>
        <v>234.32</v>
      </c>
      <c r="T47" s="32" t="n">
        <f>110880</f>
        <v>110880.0</v>
      </c>
      <c r="U47" s="32" t="str">
        <f>"－"</f>
        <v>－</v>
      </c>
      <c r="V47" s="32" t="n">
        <f>26026261</f>
        <v>2.6026261E7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2870</f>
        <v>2870.0</v>
      </c>
      <c r="L48" s="34" t="s">
        <v>48</v>
      </c>
      <c r="M48" s="33" t="n">
        <f>2870</f>
        <v>2870.0</v>
      </c>
      <c r="N48" s="34" t="s">
        <v>48</v>
      </c>
      <c r="O48" s="33" t="n">
        <f>2693</f>
        <v>2693.0</v>
      </c>
      <c r="P48" s="34" t="s">
        <v>50</v>
      </c>
      <c r="Q48" s="33" t="n">
        <f>2838</f>
        <v>2838.0</v>
      </c>
      <c r="R48" s="34" t="s">
        <v>51</v>
      </c>
      <c r="S48" s="35" t="n">
        <f>2783.32</f>
        <v>2783.32</v>
      </c>
      <c r="T48" s="32" t="n">
        <f>649330</f>
        <v>649330.0</v>
      </c>
      <c r="U48" s="32" t="n">
        <f>195600</f>
        <v>195600.0</v>
      </c>
      <c r="V48" s="32" t="n">
        <f>1818710989</f>
        <v>1.818710989E9</v>
      </c>
      <c r="W48" s="32" t="n">
        <f>546070769</f>
        <v>5.46070769E8</v>
      </c>
      <c r="X48" s="36" t="n">
        <f>19</f>
        <v>19.0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25660</f>
        <v>25660.0</v>
      </c>
      <c r="L49" s="34" t="s">
        <v>48</v>
      </c>
      <c r="M49" s="33" t="n">
        <f>25775</f>
        <v>25775.0</v>
      </c>
      <c r="N49" s="34" t="s">
        <v>48</v>
      </c>
      <c r="O49" s="33" t="n">
        <f>24285</f>
        <v>24285.0</v>
      </c>
      <c r="P49" s="34" t="s">
        <v>50</v>
      </c>
      <c r="Q49" s="33" t="n">
        <f>25510</f>
        <v>25510.0</v>
      </c>
      <c r="R49" s="34" t="s">
        <v>51</v>
      </c>
      <c r="S49" s="35" t="n">
        <f>25027.37</f>
        <v>25027.37</v>
      </c>
      <c r="T49" s="32" t="n">
        <f>5593</f>
        <v>5593.0</v>
      </c>
      <c r="U49" s="32" t="str">
        <f>"－"</f>
        <v>－</v>
      </c>
      <c r="V49" s="32" t="n">
        <f>142699050</f>
        <v>1.4269905E8</v>
      </c>
      <c r="W49" s="32" t="str">
        <f>"－"</f>
        <v>－</v>
      </c>
      <c r="X49" s="36" t="n">
        <f>19</f>
        <v>19.0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288.3</f>
        <v>288.3</v>
      </c>
      <c r="L50" s="34" t="s">
        <v>48</v>
      </c>
      <c r="M50" s="33" t="n">
        <f>289.4</f>
        <v>289.4</v>
      </c>
      <c r="N50" s="34" t="s">
        <v>51</v>
      </c>
      <c r="O50" s="33" t="n">
        <f>273.8</f>
        <v>273.8</v>
      </c>
      <c r="P50" s="34" t="s">
        <v>50</v>
      </c>
      <c r="Q50" s="33" t="n">
        <f>289.4</f>
        <v>289.4</v>
      </c>
      <c r="R50" s="34" t="s">
        <v>51</v>
      </c>
      <c r="S50" s="35" t="n">
        <f>283.22</f>
        <v>283.22</v>
      </c>
      <c r="T50" s="32" t="n">
        <f>62714960</f>
        <v>6.271496E7</v>
      </c>
      <c r="U50" s="32" t="n">
        <f>22356630</f>
        <v>2.235663E7</v>
      </c>
      <c r="V50" s="32" t="n">
        <f>17767057542</f>
        <v>1.7767057542E10</v>
      </c>
      <c r="W50" s="32" t="n">
        <f>6342388049</f>
        <v>6.342388049E9</v>
      </c>
      <c r="X50" s="36" t="n">
        <f>19</f>
        <v>19.0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1733</f>
        <v>1733.0</v>
      </c>
      <c r="L51" s="34" t="s">
        <v>48</v>
      </c>
      <c r="M51" s="33" t="n">
        <f>1789</f>
        <v>1789.0</v>
      </c>
      <c r="N51" s="34" t="s">
        <v>61</v>
      </c>
      <c r="O51" s="33" t="n">
        <f>1693</f>
        <v>1693.0</v>
      </c>
      <c r="P51" s="34" t="s">
        <v>103</v>
      </c>
      <c r="Q51" s="33" t="n">
        <f>1777</f>
        <v>1777.0</v>
      </c>
      <c r="R51" s="34" t="s">
        <v>51</v>
      </c>
      <c r="S51" s="35" t="n">
        <f>1726.21</f>
        <v>1726.21</v>
      </c>
      <c r="T51" s="32" t="n">
        <f>7546771</f>
        <v>7546771.0</v>
      </c>
      <c r="U51" s="32" t="n">
        <f>4215562</f>
        <v>4215562.0</v>
      </c>
      <c r="V51" s="32" t="n">
        <f>13162642222</f>
        <v>1.3162642222E10</v>
      </c>
      <c r="W51" s="32" t="n">
        <f>7358275545</f>
        <v>7.358275545E9</v>
      </c>
      <c r="X51" s="36" t="n">
        <f>19</f>
        <v>19.0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2622</f>
        <v>2622.0</v>
      </c>
      <c r="L52" s="34" t="s">
        <v>48</v>
      </c>
      <c r="M52" s="33" t="n">
        <f>2622</f>
        <v>2622.0</v>
      </c>
      <c r="N52" s="34" t="s">
        <v>48</v>
      </c>
      <c r="O52" s="33" t="n">
        <f>2489</f>
        <v>2489.0</v>
      </c>
      <c r="P52" s="34" t="s">
        <v>50</v>
      </c>
      <c r="Q52" s="33" t="n">
        <f>2615</f>
        <v>2615.0</v>
      </c>
      <c r="R52" s="34" t="s">
        <v>51</v>
      </c>
      <c r="S52" s="35" t="n">
        <f>2560.16</f>
        <v>2560.16</v>
      </c>
      <c r="T52" s="32" t="n">
        <f>26834</f>
        <v>26834.0</v>
      </c>
      <c r="U52" s="32" t="n">
        <f>7777</f>
        <v>7777.0</v>
      </c>
      <c r="V52" s="32" t="n">
        <f>68364977</f>
        <v>6.8364977E7</v>
      </c>
      <c r="W52" s="32" t="n">
        <f>20306813</f>
        <v>2.0306813E7</v>
      </c>
      <c r="X52" s="36" t="n">
        <f>19</f>
        <v>19.0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3870</f>
        <v>3870.0</v>
      </c>
      <c r="L53" s="34" t="s">
        <v>48</v>
      </c>
      <c r="M53" s="33" t="n">
        <f>3875</f>
        <v>3875.0</v>
      </c>
      <c r="N53" s="34" t="s">
        <v>48</v>
      </c>
      <c r="O53" s="33" t="n">
        <f>3615</f>
        <v>3615.0</v>
      </c>
      <c r="P53" s="34" t="s">
        <v>50</v>
      </c>
      <c r="Q53" s="33" t="n">
        <f>3810</f>
        <v>3810.0</v>
      </c>
      <c r="R53" s="34" t="s">
        <v>51</v>
      </c>
      <c r="S53" s="35" t="n">
        <f>3738.95</f>
        <v>3738.95</v>
      </c>
      <c r="T53" s="32" t="n">
        <f>1722644</f>
        <v>1722644.0</v>
      </c>
      <c r="U53" s="32" t="n">
        <f>628277</f>
        <v>628277.0</v>
      </c>
      <c r="V53" s="32" t="n">
        <f>6420234973</f>
        <v>6.420234973E9</v>
      </c>
      <c r="W53" s="32" t="n">
        <f>2332995173</f>
        <v>2.332995173E9</v>
      </c>
      <c r="X53" s="36" t="n">
        <f>19</f>
        <v>19.0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37120</f>
        <v>37120.0</v>
      </c>
      <c r="L54" s="34" t="s">
        <v>48</v>
      </c>
      <c r="M54" s="33" t="n">
        <f>37120</f>
        <v>37120.0</v>
      </c>
      <c r="N54" s="34" t="s">
        <v>48</v>
      </c>
      <c r="O54" s="33" t="n">
        <f>35610</f>
        <v>35610.0</v>
      </c>
      <c r="P54" s="34" t="s">
        <v>203</v>
      </c>
      <c r="Q54" s="33" t="n">
        <f>35640</f>
        <v>35640.0</v>
      </c>
      <c r="R54" s="34" t="s">
        <v>203</v>
      </c>
      <c r="S54" s="35" t="n">
        <f>36230</f>
        <v>36230.0</v>
      </c>
      <c r="T54" s="32" t="n">
        <f>14</f>
        <v>14.0</v>
      </c>
      <c r="U54" s="32" t="str">
        <f>"－"</f>
        <v>－</v>
      </c>
      <c r="V54" s="32" t="n">
        <f>500400</f>
        <v>500400.0</v>
      </c>
      <c r="W54" s="32" t="str">
        <f>"－"</f>
        <v>－</v>
      </c>
      <c r="X54" s="36" t="n">
        <f>3</f>
        <v>3.0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27995</f>
        <v>27995.0</v>
      </c>
      <c r="L55" s="34" t="s">
        <v>49</v>
      </c>
      <c r="M55" s="33" t="n">
        <f>32980</f>
        <v>32980.0</v>
      </c>
      <c r="N55" s="34" t="s">
        <v>181</v>
      </c>
      <c r="O55" s="33" t="n">
        <f>27295</f>
        <v>27295.0</v>
      </c>
      <c r="P55" s="34" t="s">
        <v>99</v>
      </c>
      <c r="Q55" s="33" t="n">
        <f>27660</f>
        <v>27660.0</v>
      </c>
      <c r="R55" s="34" t="s">
        <v>51</v>
      </c>
      <c r="S55" s="35" t="n">
        <f>28864.44</f>
        <v>28864.44</v>
      </c>
      <c r="T55" s="32" t="n">
        <f>317</f>
        <v>317.0</v>
      </c>
      <c r="U55" s="32" t="n">
        <f>100</f>
        <v>100.0</v>
      </c>
      <c r="V55" s="32" t="n">
        <f>9345732</f>
        <v>9345732.0</v>
      </c>
      <c r="W55" s="32" t="n">
        <f>2750482</f>
        <v>2750482.0</v>
      </c>
      <c r="X55" s="36" t="n">
        <f>9</f>
        <v>9.0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2924</f>
        <v>2924.0</v>
      </c>
      <c r="L56" s="34" t="s">
        <v>48</v>
      </c>
      <c r="M56" s="33" t="n">
        <f>2924</f>
        <v>2924.0</v>
      </c>
      <c r="N56" s="34" t="s">
        <v>48</v>
      </c>
      <c r="O56" s="33" t="n">
        <f>2709</f>
        <v>2709.0</v>
      </c>
      <c r="P56" s="34" t="s">
        <v>50</v>
      </c>
      <c r="Q56" s="33" t="n">
        <f>2840</f>
        <v>2840.0</v>
      </c>
      <c r="R56" s="34" t="s">
        <v>51</v>
      </c>
      <c r="S56" s="35" t="n">
        <f>2799.37</f>
        <v>2799.37</v>
      </c>
      <c r="T56" s="32" t="n">
        <f>5212</f>
        <v>5212.0</v>
      </c>
      <c r="U56" s="32" t="n">
        <f>4</f>
        <v>4.0</v>
      </c>
      <c r="V56" s="32" t="n">
        <f>14610526</f>
        <v>1.4610526E7</v>
      </c>
      <c r="W56" s="32" t="n">
        <f>11289</f>
        <v>11289.0</v>
      </c>
      <c r="X56" s="36" t="n">
        <f>19</f>
        <v>19.0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1639</f>
        <v>1639.0</v>
      </c>
      <c r="L57" s="34" t="s">
        <v>48</v>
      </c>
      <c r="M57" s="33" t="n">
        <f>1643</f>
        <v>1643.0</v>
      </c>
      <c r="N57" s="34" t="s">
        <v>49</v>
      </c>
      <c r="O57" s="33" t="n">
        <f>1603</f>
        <v>1603.0</v>
      </c>
      <c r="P57" s="34" t="s">
        <v>69</v>
      </c>
      <c r="Q57" s="33" t="n">
        <f>1632</f>
        <v>1632.0</v>
      </c>
      <c r="R57" s="34" t="s">
        <v>51</v>
      </c>
      <c r="S57" s="35" t="n">
        <f>1626.05</f>
        <v>1626.05</v>
      </c>
      <c r="T57" s="32" t="n">
        <f>7223693</f>
        <v>7223693.0</v>
      </c>
      <c r="U57" s="32" t="n">
        <f>5557049</f>
        <v>5557049.0</v>
      </c>
      <c r="V57" s="32" t="n">
        <f>11727398505</f>
        <v>1.1727398505E10</v>
      </c>
      <c r="W57" s="32" t="n">
        <f>9019170269</f>
        <v>9.019170269E9</v>
      </c>
      <c r="X57" s="36" t="n">
        <f>19</f>
        <v>19.0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2883</f>
        <v>2883.0</v>
      </c>
      <c r="L58" s="34" t="s">
        <v>48</v>
      </c>
      <c r="M58" s="33" t="n">
        <f>2883</f>
        <v>2883.0</v>
      </c>
      <c r="N58" s="34" t="s">
        <v>48</v>
      </c>
      <c r="O58" s="33" t="n">
        <f>2747</f>
        <v>2747.0</v>
      </c>
      <c r="P58" s="34" t="s">
        <v>216</v>
      </c>
      <c r="Q58" s="33" t="n">
        <f>2837</f>
        <v>2837.0</v>
      </c>
      <c r="R58" s="34" t="s">
        <v>71</v>
      </c>
      <c r="S58" s="35" t="n">
        <f>2801.38</f>
        <v>2801.38</v>
      </c>
      <c r="T58" s="32" t="n">
        <f>223</f>
        <v>223.0</v>
      </c>
      <c r="U58" s="32" t="n">
        <f>2</f>
        <v>2.0</v>
      </c>
      <c r="V58" s="32" t="n">
        <f>623806</f>
        <v>623806.0</v>
      </c>
      <c r="W58" s="32" t="n">
        <f>5591</f>
        <v>5591.0</v>
      </c>
      <c r="X58" s="36" t="n">
        <f>16</f>
        <v>16.0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2827.5</f>
        <v>2827.5</v>
      </c>
      <c r="L59" s="34" t="s">
        <v>48</v>
      </c>
      <c r="M59" s="33" t="n">
        <f>2827.5</f>
        <v>2827.5</v>
      </c>
      <c r="N59" s="34" t="s">
        <v>48</v>
      </c>
      <c r="O59" s="33" t="n">
        <f>2685</f>
        <v>2685.0</v>
      </c>
      <c r="P59" s="34" t="s">
        <v>50</v>
      </c>
      <c r="Q59" s="33" t="n">
        <f>2820.5</f>
        <v>2820.5</v>
      </c>
      <c r="R59" s="34" t="s">
        <v>51</v>
      </c>
      <c r="S59" s="35" t="n">
        <f>2764.16</f>
        <v>2764.16</v>
      </c>
      <c r="T59" s="32" t="n">
        <f>2610</f>
        <v>2610.0</v>
      </c>
      <c r="U59" s="32" t="str">
        <f>"－"</f>
        <v>－</v>
      </c>
      <c r="V59" s="32" t="n">
        <f>7231065</f>
        <v>7231065.0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40520</f>
        <v>40520.0</v>
      </c>
      <c r="L60" s="34" t="s">
        <v>71</v>
      </c>
      <c r="M60" s="33" t="n">
        <f>40890</f>
        <v>40890.0</v>
      </c>
      <c r="N60" s="34" t="s">
        <v>71</v>
      </c>
      <c r="O60" s="33" t="n">
        <f>40190</f>
        <v>40190.0</v>
      </c>
      <c r="P60" s="34" t="s">
        <v>71</v>
      </c>
      <c r="Q60" s="33" t="n">
        <f>40190</f>
        <v>40190.0</v>
      </c>
      <c r="R60" s="34" t="s">
        <v>71</v>
      </c>
      <c r="S60" s="35" t="n">
        <f>40190</f>
        <v>40190.0</v>
      </c>
      <c r="T60" s="32" t="n">
        <f>23</f>
        <v>23.0</v>
      </c>
      <c r="U60" s="32" t="str">
        <f>"－"</f>
        <v>－</v>
      </c>
      <c r="V60" s="32" t="n">
        <f>934900</f>
        <v>934900.0</v>
      </c>
      <c r="W60" s="32" t="str">
        <f>"－"</f>
        <v>－</v>
      </c>
      <c r="X60" s="36" t="n">
        <f>1</f>
        <v>1.0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24265</f>
        <v>24265.0</v>
      </c>
      <c r="L61" s="34" t="s">
        <v>48</v>
      </c>
      <c r="M61" s="33" t="n">
        <f>26240</f>
        <v>26240.0</v>
      </c>
      <c r="N61" s="34" t="s">
        <v>226</v>
      </c>
      <c r="O61" s="33" t="n">
        <f>23290</f>
        <v>23290.0</v>
      </c>
      <c r="P61" s="34" t="s">
        <v>216</v>
      </c>
      <c r="Q61" s="33" t="n">
        <f>23415</f>
        <v>23415.0</v>
      </c>
      <c r="R61" s="34" t="s">
        <v>51</v>
      </c>
      <c r="S61" s="35" t="n">
        <f>23601.84</f>
        <v>23601.84</v>
      </c>
      <c r="T61" s="32" t="n">
        <f>22250</f>
        <v>22250.0</v>
      </c>
      <c r="U61" s="32" t="n">
        <f>1502</f>
        <v>1502.0</v>
      </c>
      <c r="V61" s="32" t="n">
        <f>530702325</f>
        <v>5.30702325E8</v>
      </c>
      <c r="W61" s="32" t="n">
        <f>35137725</f>
        <v>3.5137725E7</v>
      </c>
      <c r="X61" s="36" t="n">
        <f>19</f>
        <v>19.0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12695</f>
        <v>12695.0</v>
      </c>
      <c r="L62" s="34" t="s">
        <v>48</v>
      </c>
      <c r="M62" s="33" t="n">
        <f>12710</f>
        <v>12710.0</v>
      </c>
      <c r="N62" s="34" t="s">
        <v>48</v>
      </c>
      <c r="O62" s="33" t="n">
        <f>12315</f>
        <v>12315.0</v>
      </c>
      <c r="P62" s="34" t="s">
        <v>159</v>
      </c>
      <c r="Q62" s="33" t="n">
        <f>12535</f>
        <v>12535.0</v>
      </c>
      <c r="R62" s="34" t="s">
        <v>51</v>
      </c>
      <c r="S62" s="35" t="n">
        <f>12506.05</f>
        <v>12506.05</v>
      </c>
      <c r="T62" s="32" t="n">
        <f>117346</f>
        <v>117346.0</v>
      </c>
      <c r="U62" s="32" t="n">
        <f>47198</f>
        <v>47198.0</v>
      </c>
      <c r="V62" s="32" t="n">
        <f>1452290572</f>
        <v>1.452290572E9</v>
      </c>
      <c r="W62" s="32" t="n">
        <f>582835962</f>
        <v>5.82835962E8</v>
      </c>
      <c r="X62" s="36" t="n">
        <f>19</f>
        <v>19.0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1730</f>
        <v>1730.0</v>
      </c>
      <c r="L63" s="34" t="s">
        <v>48</v>
      </c>
      <c r="M63" s="33" t="n">
        <f>1786</f>
        <v>1786.0</v>
      </c>
      <c r="N63" s="34" t="s">
        <v>61</v>
      </c>
      <c r="O63" s="33" t="n">
        <f>1692</f>
        <v>1692.0</v>
      </c>
      <c r="P63" s="34" t="s">
        <v>159</v>
      </c>
      <c r="Q63" s="33" t="n">
        <f>1773</f>
        <v>1773.0</v>
      </c>
      <c r="R63" s="34" t="s">
        <v>51</v>
      </c>
      <c r="S63" s="35" t="n">
        <f>1724.58</f>
        <v>1724.58</v>
      </c>
      <c r="T63" s="32" t="n">
        <f>2669130</f>
        <v>2669130.0</v>
      </c>
      <c r="U63" s="32" t="n">
        <f>1056915</f>
        <v>1056915.0</v>
      </c>
      <c r="V63" s="32" t="n">
        <f>4653726736</f>
        <v>4.653726736E9</v>
      </c>
      <c r="W63" s="32" t="n">
        <f>1850575296</f>
        <v>1.850575296E9</v>
      </c>
      <c r="X63" s="36" t="n">
        <f>19</f>
        <v>19.0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2330</f>
        <v>2330.0</v>
      </c>
      <c r="L64" s="34" t="s">
        <v>48</v>
      </c>
      <c r="M64" s="33" t="n">
        <f>2331</f>
        <v>2331.0</v>
      </c>
      <c r="N64" s="34" t="s">
        <v>48</v>
      </c>
      <c r="O64" s="33" t="n">
        <f>2204</f>
        <v>2204.0</v>
      </c>
      <c r="P64" s="34" t="s">
        <v>50</v>
      </c>
      <c r="Q64" s="33" t="n">
        <f>2304</f>
        <v>2304.0</v>
      </c>
      <c r="R64" s="34" t="s">
        <v>51</v>
      </c>
      <c r="S64" s="35" t="n">
        <f>2269.68</f>
        <v>2269.68</v>
      </c>
      <c r="T64" s="32" t="n">
        <f>10239966</f>
        <v>1.0239966E7</v>
      </c>
      <c r="U64" s="32" t="n">
        <f>400554</f>
        <v>400554.0</v>
      </c>
      <c r="V64" s="32" t="n">
        <f>23228824125</f>
        <v>2.3228824125E10</v>
      </c>
      <c r="W64" s="32" t="n">
        <f>905642437</f>
        <v>9.05642437E8</v>
      </c>
      <c r="X64" s="36" t="n">
        <f>19</f>
        <v>19.0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7380</f>
        <v>7380.0</v>
      </c>
      <c r="L65" s="34" t="s">
        <v>203</v>
      </c>
      <c r="M65" s="33" t="n">
        <f>7680</f>
        <v>7680.0</v>
      </c>
      <c r="N65" s="34" t="s">
        <v>239</v>
      </c>
      <c r="O65" s="33" t="n">
        <f>7380</f>
        <v>7380.0</v>
      </c>
      <c r="P65" s="34" t="s">
        <v>203</v>
      </c>
      <c r="Q65" s="33" t="n">
        <f>7680</f>
        <v>7680.0</v>
      </c>
      <c r="R65" s="34" t="s">
        <v>239</v>
      </c>
      <c r="S65" s="35" t="n">
        <f>7530</f>
        <v>7530.0</v>
      </c>
      <c r="T65" s="32" t="n">
        <f>20</f>
        <v>20.0</v>
      </c>
      <c r="U65" s="32" t="str">
        <f>"－"</f>
        <v>－</v>
      </c>
      <c r="V65" s="32" t="n">
        <f>150600</f>
        <v>150600.0</v>
      </c>
      <c r="W65" s="32" t="str">
        <f>"－"</f>
        <v>－</v>
      </c>
      <c r="X65" s="36" t="n">
        <f>2</f>
        <v>2.0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20455</f>
        <v>20455.0</v>
      </c>
      <c r="L66" s="34" t="s">
        <v>48</v>
      </c>
      <c r="M66" s="33" t="n">
        <f>20455</f>
        <v>20455.0</v>
      </c>
      <c r="N66" s="34" t="s">
        <v>48</v>
      </c>
      <c r="O66" s="33" t="n">
        <f>19000</f>
        <v>19000.0</v>
      </c>
      <c r="P66" s="34" t="s">
        <v>50</v>
      </c>
      <c r="Q66" s="33" t="n">
        <f>19985</f>
        <v>19985.0</v>
      </c>
      <c r="R66" s="34" t="s">
        <v>51</v>
      </c>
      <c r="S66" s="35" t="n">
        <f>19617.63</f>
        <v>19617.63</v>
      </c>
      <c r="T66" s="32" t="n">
        <f>837</f>
        <v>837.0</v>
      </c>
      <c r="U66" s="32" t="n">
        <f>2</f>
        <v>2.0</v>
      </c>
      <c r="V66" s="32" t="n">
        <f>16498000</f>
        <v>1.6498E7</v>
      </c>
      <c r="W66" s="32" t="n">
        <f>38315</f>
        <v>38315.0</v>
      </c>
      <c r="X66" s="36" t="n">
        <f>19</f>
        <v>19.0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31770</f>
        <v>31770.0</v>
      </c>
      <c r="L67" s="34" t="s">
        <v>48</v>
      </c>
      <c r="M67" s="33" t="n">
        <f>32060</f>
        <v>32060.0</v>
      </c>
      <c r="N67" s="34" t="s">
        <v>49</v>
      </c>
      <c r="O67" s="33" t="n">
        <f>30020</f>
        <v>30020.0</v>
      </c>
      <c r="P67" s="34" t="s">
        <v>50</v>
      </c>
      <c r="Q67" s="33" t="n">
        <f>31390</f>
        <v>31390.0</v>
      </c>
      <c r="R67" s="34" t="s">
        <v>51</v>
      </c>
      <c r="S67" s="35" t="n">
        <f>30834.21</f>
        <v>30834.21</v>
      </c>
      <c r="T67" s="32" t="n">
        <f>55596</f>
        <v>55596.0</v>
      </c>
      <c r="U67" s="32" t="n">
        <f>32282</f>
        <v>32282.0</v>
      </c>
      <c r="V67" s="32" t="n">
        <f>1703496600</f>
        <v>1.7034966E9</v>
      </c>
      <c r="W67" s="32" t="n">
        <f>985397620</f>
        <v>9.8539762E8</v>
      </c>
      <c r="X67" s="36" t="n">
        <f>19</f>
        <v>19.0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10500</f>
        <v>10500.0</v>
      </c>
      <c r="L68" s="34" t="s">
        <v>48</v>
      </c>
      <c r="M68" s="33" t="n">
        <f>10595</f>
        <v>10595.0</v>
      </c>
      <c r="N68" s="34" t="s">
        <v>226</v>
      </c>
      <c r="O68" s="33" t="n">
        <f>10045</f>
        <v>10045.0</v>
      </c>
      <c r="P68" s="34" t="s">
        <v>50</v>
      </c>
      <c r="Q68" s="33" t="n">
        <f>10070</f>
        <v>10070.0</v>
      </c>
      <c r="R68" s="34" t="s">
        <v>51</v>
      </c>
      <c r="S68" s="35" t="n">
        <f>10190.26</f>
        <v>10190.26</v>
      </c>
      <c r="T68" s="32" t="n">
        <f>11880</f>
        <v>11880.0</v>
      </c>
      <c r="U68" s="32" t="n">
        <f>80</f>
        <v>80.0</v>
      </c>
      <c r="V68" s="32" t="n">
        <f>121963150</f>
        <v>1.2196315E8</v>
      </c>
      <c r="W68" s="32" t="n">
        <f>814800</f>
        <v>814800.0</v>
      </c>
      <c r="X68" s="36" t="n">
        <f>19</f>
        <v>19.0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1767</f>
        <v>1767.0</v>
      </c>
      <c r="L69" s="34" t="s">
        <v>48</v>
      </c>
      <c r="M69" s="33" t="n">
        <f>1774</f>
        <v>1774.0</v>
      </c>
      <c r="N69" s="34" t="s">
        <v>48</v>
      </c>
      <c r="O69" s="33" t="n">
        <f>1712</f>
        <v>1712.0</v>
      </c>
      <c r="P69" s="34" t="s">
        <v>69</v>
      </c>
      <c r="Q69" s="33" t="n">
        <f>1751</f>
        <v>1751.0</v>
      </c>
      <c r="R69" s="34" t="s">
        <v>51</v>
      </c>
      <c r="S69" s="35" t="n">
        <f>1741.89</f>
        <v>1741.89</v>
      </c>
      <c r="T69" s="32" t="n">
        <f>1438988</f>
        <v>1438988.0</v>
      </c>
      <c r="U69" s="32" t="n">
        <f>984646</f>
        <v>984646.0</v>
      </c>
      <c r="V69" s="32" t="n">
        <f>2509407385</f>
        <v>2.509407385E9</v>
      </c>
      <c r="W69" s="32" t="n">
        <f>1717278183</f>
        <v>1.717278183E9</v>
      </c>
      <c r="X69" s="36" t="n">
        <f>19</f>
        <v>19.0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1855</f>
        <v>1855.0</v>
      </c>
      <c r="L70" s="34" t="s">
        <v>48</v>
      </c>
      <c r="M70" s="33" t="n">
        <f>1860</f>
        <v>1860.0</v>
      </c>
      <c r="N70" s="34" t="s">
        <v>48</v>
      </c>
      <c r="O70" s="33" t="n">
        <f>1812</f>
        <v>1812.0</v>
      </c>
      <c r="P70" s="34" t="s">
        <v>159</v>
      </c>
      <c r="Q70" s="33" t="n">
        <f>1843</f>
        <v>1843.0</v>
      </c>
      <c r="R70" s="34" t="s">
        <v>51</v>
      </c>
      <c r="S70" s="35" t="n">
        <f>1837.21</f>
        <v>1837.21</v>
      </c>
      <c r="T70" s="32" t="n">
        <f>574619</f>
        <v>574619.0</v>
      </c>
      <c r="U70" s="32" t="n">
        <f>22</f>
        <v>22.0</v>
      </c>
      <c r="V70" s="32" t="n">
        <f>1055135736</f>
        <v>1.055135736E9</v>
      </c>
      <c r="W70" s="32" t="n">
        <f>37765</f>
        <v>37765.0</v>
      </c>
      <c r="X70" s="36" t="n">
        <f>19</f>
        <v>19.0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22515</f>
        <v>22515.0</v>
      </c>
      <c r="L71" s="34" t="s">
        <v>48</v>
      </c>
      <c r="M71" s="33" t="n">
        <f>22515</f>
        <v>22515.0</v>
      </c>
      <c r="N71" s="34" t="s">
        <v>48</v>
      </c>
      <c r="O71" s="33" t="n">
        <f>21075</f>
        <v>21075.0</v>
      </c>
      <c r="P71" s="34" t="s">
        <v>50</v>
      </c>
      <c r="Q71" s="33" t="n">
        <f>22145</f>
        <v>22145.0</v>
      </c>
      <c r="R71" s="34" t="s">
        <v>51</v>
      </c>
      <c r="S71" s="35" t="n">
        <f>21755.53</f>
        <v>21755.53</v>
      </c>
      <c r="T71" s="32" t="n">
        <f>3212</f>
        <v>3212.0</v>
      </c>
      <c r="U71" s="32" t="str">
        <f>"－"</f>
        <v>－</v>
      </c>
      <c r="V71" s="32" t="n">
        <f>70269435</f>
        <v>7.0269435E7</v>
      </c>
      <c r="W71" s="32" t="str">
        <f>"－"</f>
        <v>－</v>
      </c>
      <c r="X71" s="36" t="n">
        <f>19</f>
        <v>19.0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9293</f>
        <v>9293.0</v>
      </c>
      <c r="L72" s="34" t="s">
        <v>48</v>
      </c>
      <c r="M72" s="33" t="n">
        <f>9294</f>
        <v>9294.0</v>
      </c>
      <c r="N72" s="34" t="s">
        <v>48</v>
      </c>
      <c r="O72" s="33" t="n">
        <f>8961</f>
        <v>8961.0</v>
      </c>
      <c r="P72" s="34" t="s">
        <v>103</v>
      </c>
      <c r="Q72" s="33" t="n">
        <f>9090</f>
        <v>9090.0</v>
      </c>
      <c r="R72" s="34" t="s">
        <v>51</v>
      </c>
      <c r="S72" s="35" t="n">
        <f>9113.37</f>
        <v>9113.37</v>
      </c>
      <c r="T72" s="32" t="n">
        <f>4706</f>
        <v>4706.0</v>
      </c>
      <c r="U72" s="32" t="n">
        <f>649</f>
        <v>649.0</v>
      </c>
      <c r="V72" s="32" t="n">
        <f>42631625</f>
        <v>4.2631625E7</v>
      </c>
      <c r="W72" s="32" t="n">
        <f>5856256</f>
        <v>5856256.0</v>
      </c>
      <c r="X72" s="36" t="n">
        <f>19</f>
        <v>19.0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12555</f>
        <v>12555.0</v>
      </c>
      <c r="L73" s="34" t="s">
        <v>48</v>
      </c>
      <c r="M73" s="33" t="n">
        <f>13075</f>
        <v>13075.0</v>
      </c>
      <c r="N73" s="34" t="s">
        <v>70</v>
      </c>
      <c r="O73" s="33" t="n">
        <f>12550</f>
        <v>12550.0</v>
      </c>
      <c r="P73" s="34" t="s">
        <v>48</v>
      </c>
      <c r="Q73" s="33" t="n">
        <f>13060</f>
        <v>13060.0</v>
      </c>
      <c r="R73" s="34" t="s">
        <v>51</v>
      </c>
      <c r="S73" s="35" t="n">
        <f>12837.63</f>
        <v>12837.63</v>
      </c>
      <c r="T73" s="32" t="n">
        <f>4598036</f>
        <v>4598036.0</v>
      </c>
      <c r="U73" s="32" t="n">
        <f>864244</f>
        <v>864244.0</v>
      </c>
      <c r="V73" s="32" t="n">
        <f>59049649467</f>
        <v>5.9049649467E10</v>
      </c>
      <c r="W73" s="32" t="n">
        <f>11143783937</f>
        <v>1.1143783937E10</v>
      </c>
      <c r="X73" s="36" t="n">
        <f>19</f>
        <v>19.0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4300</f>
        <v>4300.0</v>
      </c>
      <c r="L74" s="34" t="s">
        <v>48</v>
      </c>
      <c r="M74" s="33" t="n">
        <f>4500</f>
        <v>4500.0</v>
      </c>
      <c r="N74" s="34" t="s">
        <v>51</v>
      </c>
      <c r="O74" s="33" t="n">
        <f>4290</f>
        <v>4290.0</v>
      </c>
      <c r="P74" s="34" t="s">
        <v>48</v>
      </c>
      <c r="Q74" s="33" t="n">
        <f>4460</f>
        <v>4460.0</v>
      </c>
      <c r="R74" s="34" t="s">
        <v>51</v>
      </c>
      <c r="S74" s="35" t="n">
        <f>4376.32</f>
        <v>4376.32</v>
      </c>
      <c r="T74" s="32" t="n">
        <f>347311</f>
        <v>347311.0</v>
      </c>
      <c r="U74" s="32" t="n">
        <f>83</f>
        <v>83.0</v>
      </c>
      <c r="V74" s="32" t="n">
        <f>1520897410</f>
        <v>1.52089741E9</v>
      </c>
      <c r="W74" s="32" t="n">
        <f>360660</f>
        <v>360660.0</v>
      </c>
      <c r="X74" s="36" t="n">
        <f>19</f>
        <v>19.0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13850</f>
        <v>13850.0</v>
      </c>
      <c r="L75" s="34" t="s">
        <v>48</v>
      </c>
      <c r="M75" s="33" t="n">
        <f>14490</f>
        <v>14490.0</v>
      </c>
      <c r="N75" s="34" t="s">
        <v>51</v>
      </c>
      <c r="O75" s="33" t="n">
        <f>13785</f>
        <v>13785.0</v>
      </c>
      <c r="P75" s="34" t="s">
        <v>48</v>
      </c>
      <c r="Q75" s="33" t="n">
        <f>14435</f>
        <v>14435.0</v>
      </c>
      <c r="R75" s="34" t="s">
        <v>51</v>
      </c>
      <c r="S75" s="35" t="n">
        <f>14104.21</f>
        <v>14104.21</v>
      </c>
      <c r="T75" s="32" t="n">
        <f>330189</f>
        <v>330189.0</v>
      </c>
      <c r="U75" s="32" t="n">
        <f>1368</f>
        <v>1368.0</v>
      </c>
      <c r="V75" s="32" t="n">
        <f>4668669160</f>
        <v>4.66866916E9</v>
      </c>
      <c r="W75" s="32" t="n">
        <f>18335480</f>
        <v>1.833548E7</v>
      </c>
      <c r="X75" s="36" t="n">
        <f>19</f>
        <v>19.0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42280</f>
        <v>42280.0</v>
      </c>
      <c r="L76" s="34" t="s">
        <v>48</v>
      </c>
      <c r="M76" s="33" t="n">
        <f>46690</f>
        <v>46690.0</v>
      </c>
      <c r="N76" s="34" t="s">
        <v>70</v>
      </c>
      <c r="O76" s="33" t="n">
        <f>42100</f>
        <v>42100.0</v>
      </c>
      <c r="P76" s="34" t="s">
        <v>48</v>
      </c>
      <c r="Q76" s="33" t="n">
        <f>45660</f>
        <v>45660.0</v>
      </c>
      <c r="R76" s="34" t="s">
        <v>51</v>
      </c>
      <c r="S76" s="35" t="n">
        <f>43989.47</f>
        <v>43989.47</v>
      </c>
      <c r="T76" s="32" t="n">
        <f>22686</f>
        <v>22686.0</v>
      </c>
      <c r="U76" s="32" t="n">
        <f>8</f>
        <v>8.0</v>
      </c>
      <c r="V76" s="32" t="n">
        <f>1011315320</f>
        <v>1.01131532E9</v>
      </c>
      <c r="W76" s="32" t="n">
        <f>351460</f>
        <v>351460.0</v>
      </c>
      <c r="X76" s="36" t="n">
        <f>19</f>
        <v>19.0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33950</f>
        <v>33950.0</v>
      </c>
      <c r="L77" s="34" t="s">
        <v>48</v>
      </c>
      <c r="M77" s="33" t="n">
        <f>34600</f>
        <v>34600.0</v>
      </c>
      <c r="N77" s="34" t="s">
        <v>70</v>
      </c>
      <c r="O77" s="33" t="n">
        <f>33030</f>
        <v>33030.0</v>
      </c>
      <c r="P77" s="34" t="s">
        <v>159</v>
      </c>
      <c r="Q77" s="33" t="n">
        <f>33820</f>
        <v>33820.0</v>
      </c>
      <c r="R77" s="34" t="s">
        <v>51</v>
      </c>
      <c r="S77" s="35" t="n">
        <f>33795.79</f>
        <v>33795.79</v>
      </c>
      <c r="T77" s="32" t="n">
        <f>725132</f>
        <v>725132.0</v>
      </c>
      <c r="U77" s="32" t="n">
        <f>6991</f>
        <v>6991.0</v>
      </c>
      <c r="V77" s="32" t="n">
        <f>24450565255</f>
        <v>2.4450565255E10</v>
      </c>
      <c r="W77" s="32" t="n">
        <f>233029975</f>
        <v>2.33029975E8</v>
      </c>
      <c r="X77" s="36" t="n">
        <f>19</f>
        <v>19.0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65670</f>
        <v>65670.0</v>
      </c>
      <c r="L78" s="34" t="s">
        <v>48</v>
      </c>
      <c r="M78" s="33" t="n">
        <f>68060</f>
        <v>68060.0</v>
      </c>
      <c r="N78" s="34" t="s">
        <v>61</v>
      </c>
      <c r="O78" s="33" t="n">
        <f>64880</f>
        <v>64880.0</v>
      </c>
      <c r="P78" s="34" t="s">
        <v>69</v>
      </c>
      <c r="Q78" s="33" t="n">
        <f>67710</f>
        <v>67710.0</v>
      </c>
      <c r="R78" s="34" t="s">
        <v>51</v>
      </c>
      <c r="S78" s="35" t="n">
        <f>66446.32</f>
        <v>66446.32</v>
      </c>
      <c r="T78" s="32" t="n">
        <f>39283</f>
        <v>39283.0</v>
      </c>
      <c r="U78" s="32" t="n">
        <f>4004</f>
        <v>4004.0</v>
      </c>
      <c r="V78" s="32" t="n">
        <f>2619449400</f>
        <v>2.6194494E9</v>
      </c>
      <c r="W78" s="32" t="n">
        <f>269547590</f>
        <v>2.6954759E8</v>
      </c>
      <c r="X78" s="36" t="n">
        <f>19</f>
        <v>19.0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10240</f>
        <v>10240.0</v>
      </c>
      <c r="L79" s="34" t="s">
        <v>48</v>
      </c>
      <c r="M79" s="33" t="n">
        <f>10360</f>
        <v>10360.0</v>
      </c>
      <c r="N79" s="34" t="s">
        <v>70</v>
      </c>
      <c r="O79" s="33" t="n">
        <f>9970</f>
        <v>9970.0</v>
      </c>
      <c r="P79" s="34" t="s">
        <v>50</v>
      </c>
      <c r="Q79" s="33" t="n">
        <f>10240</f>
        <v>10240.0</v>
      </c>
      <c r="R79" s="34" t="s">
        <v>51</v>
      </c>
      <c r="S79" s="35" t="n">
        <f>10197.89</f>
        <v>10197.89</v>
      </c>
      <c r="T79" s="32" t="n">
        <f>1251450</f>
        <v>1251450.0</v>
      </c>
      <c r="U79" s="32" t="n">
        <f>424480</f>
        <v>424480.0</v>
      </c>
      <c r="V79" s="32" t="n">
        <f>12759624935</f>
        <v>1.2759624935E10</v>
      </c>
      <c r="W79" s="32" t="n">
        <f>4335674745</f>
        <v>4.335674745E9</v>
      </c>
      <c r="X79" s="36" t="n">
        <f>19</f>
        <v>19.0</v>
      </c>
    </row>
    <row r="80">
      <c r="A80" s="27" t="s">
        <v>42</v>
      </c>
      <c r="B80" s="27" t="s">
        <v>282</v>
      </c>
      <c r="C80" s="27" t="s">
        <v>283</v>
      </c>
      <c r="D80" s="27" t="s">
        <v>284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6103</f>
        <v>6103.0</v>
      </c>
      <c r="L80" s="34" t="s">
        <v>48</v>
      </c>
      <c r="M80" s="33" t="n">
        <f>6299</f>
        <v>6299.0</v>
      </c>
      <c r="N80" s="34" t="s">
        <v>70</v>
      </c>
      <c r="O80" s="33" t="n">
        <f>6042</f>
        <v>6042.0</v>
      </c>
      <c r="P80" s="34" t="s">
        <v>69</v>
      </c>
      <c r="Q80" s="33" t="n">
        <f>6229</f>
        <v>6229.0</v>
      </c>
      <c r="R80" s="34" t="s">
        <v>51</v>
      </c>
      <c r="S80" s="35" t="n">
        <f>6158.32</f>
        <v>6158.32</v>
      </c>
      <c r="T80" s="32" t="n">
        <f>122870</f>
        <v>122870.0</v>
      </c>
      <c r="U80" s="32" t="n">
        <f>4640</f>
        <v>4640.0</v>
      </c>
      <c r="V80" s="32" t="n">
        <f>755181580</f>
        <v>7.5518158E8</v>
      </c>
      <c r="W80" s="32" t="n">
        <f>28472760</f>
        <v>2.847276E7</v>
      </c>
      <c r="X80" s="36" t="n">
        <f>19</f>
        <v>19.0</v>
      </c>
    </row>
    <row r="81">
      <c r="A81" s="27" t="s">
        <v>42</v>
      </c>
      <c r="B81" s="27" t="s">
        <v>285</v>
      </c>
      <c r="C81" s="27" t="s">
        <v>286</v>
      </c>
      <c r="D81" s="27" t="s">
        <v>287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5300</f>
        <v>5300.0</v>
      </c>
      <c r="L81" s="34" t="s">
        <v>48</v>
      </c>
      <c r="M81" s="33" t="n">
        <f>5401</f>
        <v>5401.0</v>
      </c>
      <c r="N81" s="34" t="s">
        <v>239</v>
      </c>
      <c r="O81" s="33" t="n">
        <f>5100</f>
        <v>5100.0</v>
      </c>
      <c r="P81" s="34" t="s">
        <v>69</v>
      </c>
      <c r="Q81" s="33" t="n">
        <f>5341</f>
        <v>5341.0</v>
      </c>
      <c r="R81" s="34" t="s">
        <v>51</v>
      </c>
      <c r="S81" s="35" t="n">
        <f>5281.63</f>
        <v>5281.63</v>
      </c>
      <c r="T81" s="32" t="n">
        <f>8240</f>
        <v>8240.0</v>
      </c>
      <c r="U81" s="32" t="n">
        <f>260</f>
        <v>260.0</v>
      </c>
      <c r="V81" s="32" t="n">
        <f>43462980</f>
        <v>4.346298E7</v>
      </c>
      <c r="W81" s="32" t="n">
        <f>1371750</f>
        <v>1371750.0</v>
      </c>
      <c r="X81" s="36" t="n">
        <f>19</f>
        <v>19.0</v>
      </c>
    </row>
    <row r="82">
      <c r="A82" s="27" t="s">
        <v>42</v>
      </c>
      <c r="B82" s="27" t="s">
        <v>288</v>
      </c>
      <c r="C82" s="27" t="s">
        <v>289</v>
      </c>
      <c r="D82" s="27" t="s">
        <v>290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5076</f>
        <v>5076.0</v>
      </c>
      <c r="L82" s="34" t="s">
        <v>48</v>
      </c>
      <c r="M82" s="33" t="n">
        <f>5125</f>
        <v>5125.0</v>
      </c>
      <c r="N82" s="34" t="s">
        <v>49</v>
      </c>
      <c r="O82" s="33" t="n">
        <f>4934</f>
        <v>4934.0</v>
      </c>
      <c r="P82" s="34" t="s">
        <v>50</v>
      </c>
      <c r="Q82" s="33" t="n">
        <f>5067</f>
        <v>5067.0</v>
      </c>
      <c r="R82" s="34" t="s">
        <v>51</v>
      </c>
      <c r="S82" s="35" t="n">
        <f>5046.32</f>
        <v>5046.32</v>
      </c>
      <c r="T82" s="32" t="n">
        <f>166470</f>
        <v>166470.0</v>
      </c>
      <c r="U82" s="32" t="n">
        <f>10</f>
        <v>10.0</v>
      </c>
      <c r="V82" s="32" t="n">
        <f>841003190</f>
        <v>8.4100319E8</v>
      </c>
      <c r="W82" s="32" t="n">
        <f>50100</f>
        <v>50100.0</v>
      </c>
      <c r="X82" s="36" t="n">
        <f>19</f>
        <v>19.0</v>
      </c>
    </row>
    <row r="83">
      <c r="A83" s="27" t="s">
        <v>42</v>
      </c>
      <c r="B83" s="27" t="s">
        <v>291</v>
      </c>
      <c r="C83" s="27" t="s">
        <v>292</v>
      </c>
      <c r="D83" s="27" t="s">
        <v>293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2311</f>
        <v>2311.0</v>
      </c>
      <c r="L83" s="34" t="s">
        <v>48</v>
      </c>
      <c r="M83" s="33" t="n">
        <f>2360</f>
        <v>2360.0</v>
      </c>
      <c r="N83" s="34" t="s">
        <v>62</v>
      </c>
      <c r="O83" s="33" t="n">
        <f>2250</f>
        <v>2250.0</v>
      </c>
      <c r="P83" s="34" t="s">
        <v>239</v>
      </c>
      <c r="Q83" s="33" t="n">
        <f>2299.5</f>
        <v>2299.5</v>
      </c>
      <c r="R83" s="34" t="s">
        <v>51</v>
      </c>
      <c r="S83" s="35" t="n">
        <f>2303.32</f>
        <v>2303.32</v>
      </c>
      <c r="T83" s="32" t="n">
        <f>55290</f>
        <v>55290.0</v>
      </c>
      <c r="U83" s="32" t="n">
        <f>50</f>
        <v>50.0</v>
      </c>
      <c r="V83" s="32" t="n">
        <f>127540585</f>
        <v>1.27540585E8</v>
      </c>
      <c r="W83" s="32" t="n">
        <f>111850</f>
        <v>111850.0</v>
      </c>
      <c r="X83" s="36" t="n">
        <f>19</f>
        <v>19.0</v>
      </c>
    </row>
    <row r="84">
      <c r="A84" s="27" t="s">
        <v>42</v>
      </c>
      <c r="B84" s="27" t="s">
        <v>294</v>
      </c>
      <c r="C84" s="27" t="s">
        <v>295</v>
      </c>
      <c r="D84" s="27" t="s">
        <v>296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93340</f>
        <v>93340.0</v>
      </c>
      <c r="L84" s="34" t="s">
        <v>48</v>
      </c>
      <c r="M84" s="33" t="n">
        <f>95340</f>
        <v>95340.0</v>
      </c>
      <c r="N84" s="34" t="s">
        <v>70</v>
      </c>
      <c r="O84" s="33" t="n">
        <f>91590</f>
        <v>91590.0</v>
      </c>
      <c r="P84" s="34" t="s">
        <v>159</v>
      </c>
      <c r="Q84" s="33" t="n">
        <f>93970</f>
        <v>93970.0</v>
      </c>
      <c r="R84" s="34" t="s">
        <v>51</v>
      </c>
      <c r="S84" s="35" t="n">
        <f>93376.32</f>
        <v>93376.32</v>
      </c>
      <c r="T84" s="32" t="n">
        <f>59594</f>
        <v>59594.0</v>
      </c>
      <c r="U84" s="32" t="n">
        <f>91</f>
        <v>91.0</v>
      </c>
      <c r="V84" s="32" t="n">
        <f>5570242084</f>
        <v>5.570242084E9</v>
      </c>
      <c r="W84" s="32" t="n">
        <f>8420594</f>
        <v>8420594.0</v>
      </c>
      <c r="X84" s="36" t="n">
        <f>19</f>
        <v>19.0</v>
      </c>
    </row>
    <row r="85">
      <c r="A85" s="27" t="s">
        <v>42</v>
      </c>
      <c r="B85" s="27" t="s">
        <v>297</v>
      </c>
      <c r="C85" s="27" t="s">
        <v>298</v>
      </c>
      <c r="D85" s="27" t="s">
        <v>299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3725</f>
        <v>3725.0</v>
      </c>
      <c r="L85" s="34" t="s">
        <v>48</v>
      </c>
      <c r="M85" s="33" t="n">
        <f>3735</f>
        <v>3735.0</v>
      </c>
      <c r="N85" s="34" t="s">
        <v>48</v>
      </c>
      <c r="O85" s="33" t="n">
        <f>3500</f>
        <v>3500.0</v>
      </c>
      <c r="P85" s="34" t="s">
        <v>116</v>
      </c>
      <c r="Q85" s="33" t="n">
        <f>3650</f>
        <v>3650.0</v>
      </c>
      <c r="R85" s="34" t="s">
        <v>51</v>
      </c>
      <c r="S85" s="35" t="n">
        <f>3647.63</f>
        <v>3647.63</v>
      </c>
      <c r="T85" s="32" t="n">
        <f>4922</f>
        <v>4922.0</v>
      </c>
      <c r="U85" s="32" t="str">
        <f>"－"</f>
        <v>－</v>
      </c>
      <c r="V85" s="32" t="n">
        <f>17959900</f>
        <v>1.79599E7</v>
      </c>
      <c r="W85" s="32" t="str">
        <f>"－"</f>
        <v>－</v>
      </c>
      <c r="X85" s="36" t="n">
        <f>19</f>
        <v>19.0</v>
      </c>
    </row>
    <row r="86">
      <c r="A86" s="27" t="s">
        <v>42</v>
      </c>
      <c r="B86" s="27" t="s">
        <v>300</v>
      </c>
      <c r="C86" s="27" t="s">
        <v>301</v>
      </c>
      <c r="D86" s="27" t="s">
        <v>302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5380</f>
        <v>5380.0</v>
      </c>
      <c r="L86" s="34" t="s">
        <v>48</v>
      </c>
      <c r="M86" s="33" t="n">
        <f>5460</f>
        <v>5460.0</v>
      </c>
      <c r="N86" s="34" t="s">
        <v>226</v>
      </c>
      <c r="O86" s="33" t="n">
        <f>5220</f>
        <v>5220.0</v>
      </c>
      <c r="P86" s="34" t="s">
        <v>71</v>
      </c>
      <c r="Q86" s="33" t="n">
        <f>5330</f>
        <v>5330.0</v>
      </c>
      <c r="R86" s="34" t="s">
        <v>51</v>
      </c>
      <c r="S86" s="35" t="n">
        <f>5338.42</f>
        <v>5338.42</v>
      </c>
      <c r="T86" s="32" t="n">
        <f>4729</f>
        <v>4729.0</v>
      </c>
      <c r="U86" s="32" t="str">
        <f>"－"</f>
        <v>－</v>
      </c>
      <c r="V86" s="32" t="n">
        <f>25315310</f>
        <v>2.531531E7</v>
      </c>
      <c r="W86" s="32" t="str">
        <f>"－"</f>
        <v>－</v>
      </c>
      <c r="X86" s="36" t="n">
        <f>19</f>
        <v>19.0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2455</f>
        <v>2455.0</v>
      </c>
      <c r="L87" s="34" t="s">
        <v>48</v>
      </c>
      <c r="M87" s="33" t="n">
        <f>2520</f>
        <v>2520.0</v>
      </c>
      <c r="N87" s="34" t="s">
        <v>71</v>
      </c>
      <c r="O87" s="33" t="n">
        <f>2336</f>
        <v>2336.0</v>
      </c>
      <c r="P87" s="34" t="s">
        <v>50</v>
      </c>
      <c r="Q87" s="33" t="n">
        <f>2495</f>
        <v>2495.0</v>
      </c>
      <c r="R87" s="34" t="s">
        <v>51</v>
      </c>
      <c r="S87" s="35" t="n">
        <f>2423.42</f>
        <v>2423.42</v>
      </c>
      <c r="T87" s="32" t="n">
        <f>328629</f>
        <v>328629.0</v>
      </c>
      <c r="U87" s="32" t="n">
        <f>1</f>
        <v>1.0</v>
      </c>
      <c r="V87" s="32" t="n">
        <f>795639293</f>
        <v>7.95639293E8</v>
      </c>
      <c r="W87" s="32" t="n">
        <f>2385</f>
        <v>2385.0</v>
      </c>
      <c r="X87" s="36" t="n">
        <f>19</f>
        <v>19.0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49900</f>
        <v>49900.0</v>
      </c>
      <c r="L88" s="34" t="s">
        <v>48</v>
      </c>
      <c r="M88" s="33" t="n">
        <f>50070</f>
        <v>50070.0</v>
      </c>
      <c r="N88" s="34" t="s">
        <v>226</v>
      </c>
      <c r="O88" s="33" t="n">
        <f>48720</f>
        <v>48720.0</v>
      </c>
      <c r="P88" s="34" t="s">
        <v>50</v>
      </c>
      <c r="Q88" s="33" t="n">
        <f>49500</f>
        <v>49500.0</v>
      </c>
      <c r="R88" s="34" t="s">
        <v>51</v>
      </c>
      <c r="S88" s="35" t="n">
        <f>49430.53</f>
        <v>49430.53</v>
      </c>
      <c r="T88" s="32" t="n">
        <f>8976</f>
        <v>8976.0</v>
      </c>
      <c r="U88" s="32" t="n">
        <f>262</f>
        <v>262.0</v>
      </c>
      <c r="V88" s="32" t="n">
        <f>444142670</f>
        <v>4.4414267E8</v>
      </c>
      <c r="W88" s="32" t="n">
        <f>12876870</f>
        <v>1.287687E7</v>
      </c>
      <c r="X88" s="36" t="n">
        <f>19</f>
        <v>19.0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484.6</f>
        <v>484.6</v>
      </c>
      <c r="L89" s="34" t="s">
        <v>48</v>
      </c>
      <c r="M89" s="33" t="n">
        <f>488.3</f>
        <v>488.3</v>
      </c>
      <c r="N89" s="34" t="s">
        <v>48</v>
      </c>
      <c r="O89" s="33" t="n">
        <f>436.7</f>
        <v>436.7</v>
      </c>
      <c r="P89" s="34" t="s">
        <v>50</v>
      </c>
      <c r="Q89" s="33" t="n">
        <f>486.3</f>
        <v>486.3</v>
      </c>
      <c r="R89" s="34" t="s">
        <v>51</v>
      </c>
      <c r="S89" s="35" t="n">
        <f>467.03</f>
        <v>467.03</v>
      </c>
      <c r="T89" s="32" t="n">
        <f>119548600</f>
        <v>1.195486E8</v>
      </c>
      <c r="U89" s="32" t="n">
        <f>5260</f>
        <v>5260.0</v>
      </c>
      <c r="V89" s="32" t="n">
        <f>55850617138</f>
        <v>5.5850617138E10</v>
      </c>
      <c r="W89" s="32" t="n">
        <f>2450364</f>
        <v>2450364.0</v>
      </c>
      <c r="X89" s="36" t="n">
        <f>19</f>
        <v>19.0</v>
      </c>
    </row>
    <row r="90">
      <c r="A90" s="27" t="s">
        <v>42</v>
      </c>
      <c r="B90" s="27" t="s">
        <v>312</v>
      </c>
      <c r="C90" s="27" t="s">
        <v>313</v>
      </c>
      <c r="D90" s="27" t="s">
        <v>314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1208.5</f>
        <v>1208.5</v>
      </c>
      <c r="L90" s="34" t="s">
        <v>48</v>
      </c>
      <c r="M90" s="33" t="n">
        <f>1273</f>
        <v>1273.0</v>
      </c>
      <c r="N90" s="34" t="s">
        <v>50</v>
      </c>
      <c r="O90" s="33" t="n">
        <f>1206</f>
        <v>1206.0</v>
      </c>
      <c r="P90" s="34" t="s">
        <v>51</v>
      </c>
      <c r="Q90" s="33" t="n">
        <f>1209</f>
        <v>1209.0</v>
      </c>
      <c r="R90" s="34" t="s">
        <v>51</v>
      </c>
      <c r="S90" s="35" t="n">
        <f>1232.13</f>
        <v>1232.13</v>
      </c>
      <c r="T90" s="32" t="n">
        <f>764560</f>
        <v>764560.0</v>
      </c>
      <c r="U90" s="32" t="n">
        <f>2560</f>
        <v>2560.0</v>
      </c>
      <c r="V90" s="32" t="n">
        <f>940458935</f>
        <v>9.40458935E8</v>
      </c>
      <c r="W90" s="32" t="n">
        <f>3131325</f>
        <v>3131325.0</v>
      </c>
      <c r="X90" s="36" t="n">
        <f>19</f>
        <v>19.0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28070</f>
        <v>28070.0</v>
      </c>
      <c r="L91" s="34" t="s">
        <v>48</v>
      </c>
      <c r="M91" s="33" t="n">
        <f>28665</f>
        <v>28665.0</v>
      </c>
      <c r="N91" s="34" t="s">
        <v>49</v>
      </c>
      <c r="O91" s="33" t="n">
        <f>25545</f>
        <v>25545.0</v>
      </c>
      <c r="P91" s="34" t="s">
        <v>50</v>
      </c>
      <c r="Q91" s="33" t="n">
        <f>27650</f>
        <v>27650.0</v>
      </c>
      <c r="R91" s="34" t="s">
        <v>51</v>
      </c>
      <c r="S91" s="35" t="n">
        <f>27247.63</f>
        <v>27247.63</v>
      </c>
      <c r="T91" s="32" t="n">
        <f>102537165</f>
        <v>1.02537165E8</v>
      </c>
      <c r="U91" s="32" t="n">
        <f>478187</f>
        <v>478187.0</v>
      </c>
      <c r="V91" s="32" t="n">
        <f>2796575517617</f>
        <v>2.796575517617E12</v>
      </c>
      <c r="W91" s="32" t="n">
        <f>13073986812</f>
        <v>1.3073986812E10</v>
      </c>
      <c r="X91" s="36" t="n">
        <f>19</f>
        <v>19.0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568</f>
        <v>568.0</v>
      </c>
      <c r="L92" s="34" t="s">
        <v>48</v>
      </c>
      <c r="M92" s="33" t="n">
        <f>594</f>
        <v>594.0</v>
      </c>
      <c r="N92" s="34" t="s">
        <v>50</v>
      </c>
      <c r="O92" s="33" t="n">
        <f>560</f>
        <v>560.0</v>
      </c>
      <c r="P92" s="34" t="s">
        <v>70</v>
      </c>
      <c r="Q92" s="33" t="n">
        <f>571</f>
        <v>571.0</v>
      </c>
      <c r="R92" s="34" t="s">
        <v>51</v>
      </c>
      <c r="S92" s="35" t="n">
        <f>575.26</f>
        <v>575.26</v>
      </c>
      <c r="T92" s="32" t="n">
        <f>29338675</f>
        <v>2.9338675E7</v>
      </c>
      <c r="U92" s="32" t="n">
        <f>3173977</f>
        <v>3173977.0</v>
      </c>
      <c r="V92" s="32" t="n">
        <f>16893205692</f>
        <v>1.6893205692E10</v>
      </c>
      <c r="W92" s="32" t="n">
        <f>1805302887</f>
        <v>1.805302887E9</v>
      </c>
      <c r="X92" s="36" t="n">
        <f>19</f>
        <v>19.0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5490</f>
        <v>5490.0</v>
      </c>
      <c r="L93" s="34" t="s">
        <v>48</v>
      </c>
      <c r="M93" s="33" t="n">
        <f>6100</f>
        <v>6100.0</v>
      </c>
      <c r="N93" s="34" t="s">
        <v>51</v>
      </c>
      <c r="O93" s="33" t="n">
        <f>5007</f>
        <v>5007.0</v>
      </c>
      <c r="P93" s="34" t="s">
        <v>69</v>
      </c>
      <c r="Q93" s="33" t="n">
        <f>6030</f>
        <v>6030.0</v>
      </c>
      <c r="R93" s="34" t="s">
        <v>51</v>
      </c>
      <c r="S93" s="35" t="n">
        <f>5467.53</f>
        <v>5467.53</v>
      </c>
      <c r="T93" s="32" t="n">
        <f>355060</f>
        <v>355060.0</v>
      </c>
      <c r="U93" s="32" t="str">
        <f>"－"</f>
        <v>－</v>
      </c>
      <c r="V93" s="32" t="n">
        <f>1966477710</f>
        <v>1.96647771E9</v>
      </c>
      <c r="W93" s="32" t="str">
        <f>"－"</f>
        <v>－</v>
      </c>
      <c r="X93" s="36" t="n">
        <f>19</f>
        <v>19.0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10495</f>
        <v>10495.0</v>
      </c>
      <c r="L94" s="34" t="s">
        <v>48</v>
      </c>
      <c r="M94" s="33" t="n">
        <f>11085</f>
        <v>11085.0</v>
      </c>
      <c r="N94" s="34" t="s">
        <v>69</v>
      </c>
      <c r="O94" s="33" t="n">
        <f>9731</f>
        <v>9731.0</v>
      </c>
      <c r="P94" s="34" t="s">
        <v>51</v>
      </c>
      <c r="Q94" s="33" t="n">
        <f>9812</f>
        <v>9812.0</v>
      </c>
      <c r="R94" s="34" t="s">
        <v>51</v>
      </c>
      <c r="S94" s="35" t="n">
        <f>10408.26</f>
        <v>10408.26</v>
      </c>
      <c r="T94" s="32" t="n">
        <f>44140</f>
        <v>44140.0</v>
      </c>
      <c r="U94" s="32" t="n">
        <f>10</f>
        <v>10.0</v>
      </c>
      <c r="V94" s="32" t="n">
        <f>459166510</f>
        <v>4.5916651E8</v>
      </c>
      <c r="W94" s="32" t="n">
        <f>99710</f>
        <v>99710.0</v>
      </c>
      <c r="X94" s="36" t="n">
        <f>19</f>
        <v>19.0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38760</f>
        <v>38760.0</v>
      </c>
      <c r="L95" s="34" t="s">
        <v>48</v>
      </c>
      <c r="M95" s="33" t="n">
        <f>38850</f>
        <v>38850.0</v>
      </c>
      <c r="N95" s="34" t="s">
        <v>49</v>
      </c>
      <c r="O95" s="33" t="n">
        <f>36870</f>
        <v>36870.0</v>
      </c>
      <c r="P95" s="34" t="s">
        <v>50</v>
      </c>
      <c r="Q95" s="33" t="n">
        <f>38700</f>
        <v>38700.0</v>
      </c>
      <c r="R95" s="34" t="s">
        <v>51</v>
      </c>
      <c r="S95" s="35" t="n">
        <f>37965.26</f>
        <v>37965.26</v>
      </c>
      <c r="T95" s="32" t="n">
        <f>68196</f>
        <v>68196.0</v>
      </c>
      <c r="U95" s="32" t="n">
        <f>28406</f>
        <v>28406.0</v>
      </c>
      <c r="V95" s="32" t="n">
        <f>2590691441</f>
        <v>2.590691441E9</v>
      </c>
      <c r="W95" s="32" t="n">
        <f>1080315131</f>
        <v>1.080315131E9</v>
      </c>
      <c r="X95" s="36" t="n">
        <f>19</f>
        <v>19.0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3195</f>
        <v>3195.0</v>
      </c>
      <c r="L96" s="34" t="s">
        <v>48</v>
      </c>
      <c r="M96" s="33" t="n">
        <f>3215</f>
        <v>3215.0</v>
      </c>
      <c r="N96" s="34" t="s">
        <v>48</v>
      </c>
      <c r="O96" s="33" t="n">
        <f>3030</f>
        <v>3030.0</v>
      </c>
      <c r="P96" s="34" t="s">
        <v>50</v>
      </c>
      <c r="Q96" s="33" t="n">
        <f>3145</f>
        <v>3145.0</v>
      </c>
      <c r="R96" s="34" t="s">
        <v>51</v>
      </c>
      <c r="S96" s="35" t="n">
        <f>3131.84</f>
        <v>3131.84</v>
      </c>
      <c r="T96" s="32" t="n">
        <f>95501</f>
        <v>95501.0</v>
      </c>
      <c r="U96" s="32" t="n">
        <f>72</f>
        <v>72.0</v>
      </c>
      <c r="V96" s="32" t="n">
        <f>299538150</f>
        <v>2.9953815E8</v>
      </c>
      <c r="W96" s="32" t="n">
        <f>226870</f>
        <v>226870.0</v>
      </c>
      <c r="X96" s="36" t="n">
        <f>19</f>
        <v>19.0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302.7</f>
        <v>302.7</v>
      </c>
      <c r="L97" s="34" t="s">
        <v>48</v>
      </c>
      <c r="M97" s="33" t="n">
        <f>308.2</f>
        <v>308.2</v>
      </c>
      <c r="N97" s="34" t="s">
        <v>49</v>
      </c>
      <c r="O97" s="33" t="n">
        <f>274.6</f>
        <v>274.6</v>
      </c>
      <c r="P97" s="34" t="s">
        <v>50</v>
      </c>
      <c r="Q97" s="33" t="n">
        <f>297.4</f>
        <v>297.4</v>
      </c>
      <c r="R97" s="34" t="s">
        <v>51</v>
      </c>
      <c r="S97" s="35" t="n">
        <f>292.96</f>
        <v>292.96</v>
      </c>
      <c r="T97" s="32" t="n">
        <f>727417720</f>
        <v>7.2741772E8</v>
      </c>
      <c r="U97" s="32" t="n">
        <f>16633720</f>
        <v>1.663372E7</v>
      </c>
      <c r="V97" s="32" t="n">
        <f>213012410798</f>
        <v>2.13012410798E11</v>
      </c>
      <c r="W97" s="32" t="n">
        <f>4870347790</f>
        <v>4.87034779E9</v>
      </c>
      <c r="X97" s="36" t="n">
        <f>19</f>
        <v>19.0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1508</f>
        <v>1508.0</v>
      </c>
      <c r="L98" s="34" t="s">
        <v>48</v>
      </c>
      <c r="M98" s="33" t="n">
        <f>1576</f>
        <v>1576.0</v>
      </c>
      <c r="N98" s="34" t="s">
        <v>50</v>
      </c>
      <c r="O98" s="33" t="n">
        <f>1488.5</f>
        <v>1488.5</v>
      </c>
      <c r="P98" s="34" t="s">
        <v>70</v>
      </c>
      <c r="Q98" s="33" t="n">
        <f>1512</f>
        <v>1512.0</v>
      </c>
      <c r="R98" s="34" t="s">
        <v>51</v>
      </c>
      <c r="S98" s="35" t="n">
        <f>1526.68</f>
        <v>1526.68</v>
      </c>
      <c r="T98" s="32" t="n">
        <f>11485610</f>
        <v>1.148561E7</v>
      </c>
      <c r="U98" s="32" t="n">
        <f>4140640</f>
        <v>4140640.0</v>
      </c>
      <c r="V98" s="32" t="n">
        <f>17455842035</f>
        <v>1.7455842035E10</v>
      </c>
      <c r="W98" s="32" t="n">
        <f>6236208570</f>
        <v>6.23620857E9</v>
      </c>
      <c r="X98" s="36" t="n">
        <f>19</f>
        <v>19.0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1854.5</f>
        <v>1854.5</v>
      </c>
      <c r="L99" s="34" t="s">
        <v>48</v>
      </c>
      <c r="M99" s="33" t="n">
        <f>1930</f>
        <v>1930.0</v>
      </c>
      <c r="N99" s="34" t="s">
        <v>48</v>
      </c>
      <c r="O99" s="33" t="n">
        <f>1787.5</f>
        <v>1787.5</v>
      </c>
      <c r="P99" s="34" t="s">
        <v>50</v>
      </c>
      <c r="Q99" s="33" t="n">
        <f>1880</f>
        <v>1880.0</v>
      </c>
      <c r="R99" s="34" t="s">
        <v>51</v>
      </c>
      <c r="S99" s="35" t="n">
        <f>1850.15</f>
        <v>1850.15</v>
      </c>
      <c r="T99" s="32" t="n">
        <f>6180</f>
        <v>6180.0</v>
      </c>
      <c r="U99" s="32" t="n">
        <f>20</f>
        <v>20.0</v>
      </c>
      <c r="V99" s="32" t="n">
        <f>11349865</f>
        <v>1.1349865E7</v>
      </c>
      <c r="W99" s="32" t="n">
        <f>37395</f>
        <v>37395.0</v>
      </c>
      <c r="X99" s="36" t="n">
        <f>17</f>
        <v>17.0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2212</f>
        <v>2212.0</v>
      </c>
      <c r="L100" s="34" t="s">
        <v>48</v>
      </c>
      <c r="M100" s="33" t="n">
        <f>2221</f>
        <v>2221.0</v>
      </c>
      <c r="N100" s="34" t="s">
        <v>48</v>
      </c>
      <c r="O100" s="33" t="n">
        <f>2088</f>
        <v>2088.0</v>
      </c>
      <c r="P100" s="34" t="s">
        <v>50</v>
      </c>
      <c r="Q100" s="33" t="n">
        <f>2200</f>
        <v>2200.0</v>
      </c>
      <c r="R100" s="34" t="s">
        <v>51</v>
      </c>
      <c r="S100" s="35" t="n">
        <f>2156.58</f>
        <v>2156.58</v>
      </c>
      <c r="T100" s="32" t="n">
        <f>1926</f>
        <v>1926.0</v>
      </c>
      <c r="U100" s="32" t="n">
        <f>3</f>
        <v>3.0</v>
      </c>
      <c r="V100" s="32" t="n">
        <f>4132241</f>
        <v>4132241.0</v>
      </c>
      <c r="W100" s="32" t="n">
        <f>6065</f>
        <v>6065.0</v>
      </c>
      <c r="X100" s="36" t="n">
        <f>19</f>
        <v>19.0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25465</f>
        <v>25465.0</v>
      </c>
      <c r="L101" s="34" t="s">
        <v>48</v>
      </c>
      <c r="M101" s="33" t="n">
        <f>25465</f>
        <v>25465.0</v>
      </c>
      <c r="N101" s="34" t="s">
        <v>48</v>
      </c>
      <c r="O101" s="33" t="n">
        <f>24130</f>
        <v>24130.0</v>
      </c>
      <c r="P101" s="34" t="s">
        <v>50</v>
      </c>
      <c r="Q101" s="33" t="n">
        <f>25115</f>
        <v>25115.0</v>
      </c>
      <c r="R101" s="34" t="s">
        <v>51</v>
      </c>
      <c r="S101" s="35" t="n">
        <f>24879.47</f>
        <v>24879.47</v>
      </c>
      <c r="T101" s="32" t="n">
        <f>77013</f>
        <v>77013.0</v>
      </c>
      <c r="U101" s="32" t="n">
        <f>50007</f>
        <v>50007.0</v>
      </c>
      <c r="V101" s="32" t="n">
        <f>1898129737</f>
        <v>1.898129737E9</v>
      </c>
      <c r="W101" s="32" t="n">
        <f>1223517337</f>
        <v>1.223517337E9</v>
      </c>
      <c r="X101" s="36" t="n">
        <f>19</f>
        <v>19.0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2346</f>
        <v>2346.0</v>
      </c>
      <c r="L102" s="34" t="s">
        <v>48</v>
      </c>
      <c r="M102" s="33" t="n">
        <f>2346</f>
        <v>2346.0</v>
      </c>
      <c r="N102" s="34" t="s">
        <v>48</v>
      </c>
      <c r="O102" s="33" t="n">
        <f>2177</f>
        <v>2177.0</v>
      </c>
      <c r="P102" s="34" t="s">
        <v>50</v>
      </c>
      <c r="Q102" s="33" t="n">
        <f>2318</f>
        <v>2318.0</v>
      </c>
      <c r="R102" s="34" t="s">
        <v>51</v>
      </c>
      <c r="S102" s="35" t="n">
        <f>2272.42</f>
        <v>2272.42</v>
      </c>
      <c r="T102" s="32" t="n">
        <f>54801</f>
        <v>54801.0</v>
      </c>
      <c r="U102" s="32" t="n">
        <f>12</f>
        <v>12.0</v>
      </c>
      <c r="V102" s="32" t="n">
        <f>124252126</f>
        <v>1.24252126E8</v>
      </c>
      <c r="W102" s="32" t="n">
        <f>27333</f>
        <v>27333.0</v>
      </c>
      <c r="X102" s="36" t="n">
        <f>19</f>
        <v>19.0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26290</f>
        <v>26290.0</v>
      </c>
      <c r="L103" s="34" t="s">
        <v>48</v>
      </c>
      <c r="M103" s="33" t="n">
        <f>26290</f>
        <v>26290.0</v>
      </c>
      <c r="N103" s="34" t="s">
        <v>48</v>
      </c>
      <c r="O103" s="33" t="n">
        <f>24650</f>
        <v>24650.0</v>
      </c>
      <c r="P103" s="34" t="s">
        <v>50</v>
      </c>
      <c r="Q103" s="33" t="n">
        <f>25900</f>
        <v>25900.0</v>
      </c>
      <c r="R103" s="34" t="s">
        <v>51</v>
      </c>
      <c r="S103" s="35" t="n">
        <f>25569.21</f>
        <v>25569.21</v>
      </c>
      <c r="T103" s="32" t="n">
        <f>90193</f>
        <v>90193.0</v>
      </c>
      <c r="U103" s="32" t="n">
        <f>66225</f>
        <v>66225.0</v>
      </c>
      <c r="V103" s="32" t="n">
        <f>2262419656</f>
        <v>2.262419656E9</v>
      </c>
      <c r="W103" s="32" t="n">
        <f>1655829656</f>
        <v>1.655829656E9</v>
      </c>
      <c r="X103" s="36" t="n">
        <f>19</f>
        <v>19.0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1710</f>
        <v>1710.0</v>
      </c>
      <c r="L104" s="34" t="s">
        <v>48</v>
      </c>
      <c r="M104" s="33" t="n">
        <f>1752.5</f>
        <v>1752.5</v>
      </c>
      <c r="N104" s="34" t="s">
        <v>61</v>
      </c>
      <c r="O104" s="33" t="n">
        <f>1660.5</f>
        <v>1660.5</v>
      </c>
      <c r="P104" s="34" t="s">
        <v>103</v>
      </c>
      <c r="Q104" s="33" t="n">
        <f>1738</f>
        <v>1738.0</v>
      </c>
      <c r="R104" s="34" t="s">
        <v>51</v>
      </c>
      <c r="S104" s="35" t="n">
        <f>1701.79</f>
        <v>1701.79</v>
      </c>
      <c r="T104" s="32" t="n">
        <f>1891730</f>
        <v>1891730.0</v>
      </c>
      <c r="U104" s="32" t="n">
        <f>590830</f>
        <v>590830.0</v>
      </c>
      <c r="V104" s="32" t="n">
        <f>3218627404</f>
        <v>3.218627404E9</v>
      </c>
      <c r="W104" s="32" t="n">
        <f>1000755519</f>
        <v>1.000755519E9</v>
      </c>
      <c r="X104" s="36" t="n">
        <f>19</f>
        <v>19.0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2260</f>
        <v>2260.0</v>
      </c>
      <c r="L105" s="34" t="s">
        <v>99</v>
      </c>
      <c r="M105" s="33" t="n">
        <f>2260</f>
        <v>2260.0</v>
      </c>
      <c r="N105" s="34" t="s">
        <v>99</v>
      </c>
      <c r="O105" s="33" t="n">
        <f>2204.5</f>
        <v>2204.5</v>
      </c>
      <c r="P105" s="34" t="s">
        <v>69</v>
      </c>
      <c r="Q105" s="33" t="n">
        <f>2204.5</f>
        <v>2204.5</v>
      </c>
      <c r="R105" s="34" t="s">
        <v>69</v>
      </c>
      <c r="S105" s="35" t="n">
        <f>2232.25</f>
        <v>2232.25</v>
      </c>
      <c r="T105" s="32" t="n">
        <f>220</f>
        <v>220.0</v>
      </c>
      <c r="U105" s="32" t="str">
        <f>"－"</f>
        <v>－</v>
      </c>
      <c r="V105" s="32" t="n">
        <f>491650</f>
        <v>491650.0</v>
      </c>
      <c r="W105" s="32" t="str">
        <f>"－"</f>
        <v>－</v>
      </c>
      <c r="X105" s="36" t="n">
        <f>2</f>
        <v>2.0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1723</f>
        <v>1723.0</v>
      </c>
      <c r="L106" s="34" t="s">
        <v>48</v>
      </c>
      <c r="M106" s="33" t="n">
        <f>1773.5</f>
        <v>1773.5</v>
      </c>
      <c r="N106" s="34" t="s">
        <v>61</v>
      </c>
      <c r="O106" s="33" t="n">
        <f>1682.5</f>
        <v>1682.5</v>
      </c>
      <c r="P106" s="34" t="s">
        <v>103</v>
      </c>
      <c r="Q106" s="33" t="n">
        <f>1760.5</f>
        <v>1760.5</v>
      </c>
      <c r="R106" s="34" t="s">
        <v>51</v>
      </c>
      <c r="S106" s="35" t="n">
        <f>1718.34</f>
        <v>1718.34</v>
      </c>
      <c r="T106" s="32" t="n">
        <f>10695030</f>
        <v>1.069503E7</v>
      </c>
      <c r="U106" s="32" t="n">
        <f>3942010</f>
        <v>3942010.0</v>
      </c>
      <c r="V106" s="32" t="n">
        <f>18666331415</f>
        <v>1.8666331415E10</v>
      </c>
      <c r="W106" s="32" t="n">
        <f>6793359765</f>
        <v>6.793359765E9</v>
      </c>
      <c r="X106" s="36" t="n">
        <f>19</f>
        <v>19.0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26015</f>
        <v>26015.0</v>
      </c>
      <c r="L107" s="34" t="s">
        <v>48</v>
      </c>
      <c r="M107" s="33" t="n">
        <f>26050</f>
        <v>26050.0</v>
      </c>
      <c r="N107" s="34" t="s">
        <v>49</v>
      </c>
      <c r="O107" s="33" t="n">
        <f>24490</f>
        <v>24490.0</v>
      </c>
      <c r="P107" s="34" t="s">
        <v>50</v>
      </c>
      <c r="Q107" s="33" t="n">
        <f>25660</f>
        <v>25660.0</v>
      </c>
      <c r="R107" s="34" t="s">
        <v>51</v>
      </c>
      <c r="S107" s="35" t="n">
        <f>25317.78</f>
        <v>25317.78</v>
      </c>
      <c r="T107" s="32" t="n">
        <f>1503</f>
        <v>1503.0</v>
      </c>
      <c r="U107" s="32" t="n">
        <f>4</f>
        <v>4.0</v>
      </c>
      <c r="V107" s="32" t="n">
        <f>38265085</f>
        <v>3.8265085E7</v>
      </c>
      <c r="W107" s="32" t="n">
        <f>101150</f>
        <v>101150.0</v>
      </c>
      <c r="X107" s="36" t="n">
        <f>18</f>
        <v>18.0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535.3</f>
        <v>535.3</v>
      </c>
      <c r="L108" s="34" t="s">
        <v>48</v>
      </c>
      <c r="M108" s="33" t="n">
        <f>535.3</f>
        <v>535.3</v>
      </c>
      <c r="N108" s="34" t="s">
        <v>48</v>
      </c>
      <c r="O108" s="33" t="n">
        <f>504</f>
        <v>504.0</v>
      </c>
      <c r="P108" s="34" t="s">
        <v>50</v>
      </c>
      <c r="Q108" s="33" t="n">
        <f>531.2</f>
        <v>531.2</v>
      </c>
      <c r="R108" s="34" t="s">
        <v>51</v>
      </c>
      <c r="S108" s="35" t="n">
        <f>521.81</f>
        <v>521.81</v>
      </c>
      <c r="T108" s="32" t="n">
        <f>798030</f>
        <v>798030.0</v>
      </c>
      <c r="U108" s="32" t="n">
        <f>492730</f>
        <v>492730.0</v>
      </c>
      <c r="V108" s="32" t="n">
        <f>411031651</f>
        <v>4.11031651E8</v>
      </c>
      <c r="W108" s="32" t="n">
        <f>252752728</f>
        <v>2.52752728E8</v>
      </c>
      <c r="X108" s="36" t="n">
        <f>19</f>
        <v>19.0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100.0</v>
      </c>
      <c r="K109" s="33" t="n">
        <f>384.8</f>
        <v>384.8</v>
      </c>
      <c r="L109" s="34" t="s">
        <v>48</v>
      </c>
      <c r="M109" s="33" t="n">
        <f>406.6</f>
        <v>406.6</v>
      </c>
      <c r="N109" s="34" t="s">
        <v>51</v>
      </c>
      <c r="O109" s="33" t="n">
        <f>376.7</f>
        <v>376.7</v>
      </c>
      <c r="P109" s="34" t="s">
        <v>69</v>
      </c>
      <c r="Q109" s="33" t="n">
        <f>405.5</f>
        <v>405.5</v>
      </c>
      <c r="R109" s="34" t="s">
        <v>51</v>
      </c>
      <c r="S109" s="35" t="n">
        <f>391.45</f>
        <v>391.45</v>
      </c>
      <c r="T109" s="32" t="n">
        <f>108006800</f>
        <v>1.080068E8</v>
      </c>
      <c r="U109" s="32" t="n">
        <f>41360400</f>
        <v>4.13604E7</v>
      </c>
      <c r="V109" s="32" t="n">
        <f>42437660362</f>
        <v>4.2437660362E10</v>
      </c>
      <c r="W109" s="32" t="n">
        <f>16416504142</f>
        <v>1.6416504142E10</v>
      </c>
      <c r="X109" s="36" t="n">
        <f>19</f>
        <v>19.0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38250</f>
        <v>38250.0</v>
      </c>
      <c r="L110" s="34" t="s">
        <v>48</v>
      </c>
      <c r="M110" s="33" t="n">
        <f>38250</f>
        <v>38250.0</v>
      </c>
      <c r="N110" s="34" t="s">
        <v>48</v>
      </c>
      <c r="O110" s="33" t="n">
        <f>35750</f>
        <v>35750.0</v>
      </c>
      <c r="P110" s="34" t="s">
        <v>50</v>
      </c>
      <c r="Q110" s="33" t="n">
        <f>36820</f>
        <v>36820.0</v>
      </c>
      <c r="R110" s="34" t="s">
        <v>51</v>
      </c>
      <c r="S110" s="35" t="n">
        <f>36593.68</f>
        <v>36593.68</v>
      </c>
      <c r="T110" s="32" t="n">
        <f>10621</f>
        <v>10621.0</v>
      </c>
      <c r="U110" s="32" t="n">
        <f>8077</f>
        <v>8077.0</v>
      </c>
      <c r="V110" s="32" t="n">
        <f>385559577</f>
        <v>3.85559577E8</v>
      </c>
      <c r="W110" s="32" t="n">
        <f>292105767</f>
        <v>2.92105767E8</v>
      </c>
      <c r="X110" s="36" t="n">
        <f>19</f>
        <v>19.0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21800</f>
        <v>21800.0</v>
      </c>
      <c r="L111" s="34" t="s">
        <v>48</v>
      </c>
      <c r="M111" s="33" t="n">
        <f>21995</f>
        <v>21995.0</v>
      </c>
      <c r="N111" s="34" t="s">
        <v>48</v>
      </c>
      <c r="O111" s="33" t="n">
        <f>20585</f>
        <v>20585.0</v>
      </c>
      <c r="P111" s="34" t="s">
        <v>61</v>
      </c>
      <c r="Q111" s="33" t="n">
        <f>20995</f>
        <v>20995.0</v>
      </c>
      <c r="R111" s="34" t="s">
        <v>51</v>
      </c>
      <c r="S111" s="35" t="n">
        <f>21250.53</f>
        <v>21250.53</v>
      </c>
      <c r="T111" s="32" t="n">
        <f>5572</f>
        <v>5572.0</v>
      </c>
      <c r="U111" s="32" t="n">
        <f>6</f>
        <v>6.0</v>
      </c>
      <c r="V111" s="32" t="n">
        <f>118014850</f>
        <v>1.1801485E8</v>
      </c>
      <c r="W111" s="32" t="n">
        <f>123765</f>
        <v>123765.0</v>
      </c>
      <c r="X111" s="36" t="n">
        <f>19</f>
        <v>19.0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31400</f>
        <v>31400.0</v>
      </c>
      <c r="L112" s="34" t="s">
        <v>48</v>
      </c>
      <c r="M112" s="33" t="n">
        <f>31750</f>
        <v>31750.0</v>
      </c>
      <c r="N112" s="34" t="s">
        <v>49</v>
      </c>
      <c r="O112" s="33" t="n">
        <f>29785</f>
        <v>29785.0</v>
      </c>
      <c r="P112" s="34" t="s">
        <v>50</v>
      </c>
      <c r="Q112" s="33" t="n">
        <f>31300</f>
        <v>31300.0</v>
      </c>
      <c r="R112" s="34" t="s">
        <v>51</v>
      </c>
      <c r="S112" s="35" t="n">
        <f>30675.79</f>
        <v>30675.79</v>
      </c>
      <c r="T112" s="32" t="n">
        <f>3203</f>
        <v>3203.0</v>
      </c>
      <c r="U112" s="32" t="n">
        <f>3</f>
        <v>3.0</v>
      </c>
      <c r="V112" s="32" t="n">
        <f>97876035</f>
        <v>9.7876035E7</v>
      </c>
      <c r="W112" s="32" t="n">
        <f>89600</f>
        <v>89600.0</v>
      </c>
      <c r="X112" s="36" t="n">
        <f>19</f>
        <v>19.0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29570</f>
        <v>29570.0</v>
      </c>
      <c r="L113" s="34" t="s">
        <v>48</v>
      </c>
      <c r="M113" s="33" t="n">
        <f>29570</f>
        <v>29570.0</v>
      </c>
      <c r="N113" s="34" t="s">
        <v>48</v>
      </c>
      <c r="O113" s="33" t="n">
        <f>28140</f>
        <v>28140.0</v>
      </c>
      <c r="P113" s="34" t="s">
        <v>50</v>
      </c>
      <c r="Q113" s="33" t="n">
        <f>28785</f>
        <v>28785.0</v>
      </c>
      <c r="R113" s="34" t="s">
        <v>51</v>
      </c>
      <c r="S113" s="35" t="n">
        <f>28787.37</f>
        <v>28787.37</v>
      </c>
      <c r="T113" s="32" t="n">
        <f>37648</f>
        <v>37648.0</v>
      </c>
      <c r="U113" s="32" t="n">
        <f>33000</f>
        <v>33000.0</v>
      </c>
      <c r="V113" s="32" t="n">
        <f>1070265137</f>
        <v>1.070265137E9</v>
      </c>
      <c r="W113" s="32" t="n">
        <f>937319542</f>
        <v>9.37319542E8</v>
      </c>
      <c r="X113" s="36" t="n">
        <f>19</f>
        <v>19.0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27685</f>
        <v>27685.0</v>
      </c>
      <c r="L114" s="34" t="s">
        <v>48</v>
      </c>
      <c r="M114" s="33" t="n">
        <f>27685</f>
        <v>27685.0</v>
      </c>
      <c r="N114" s="34" t="s">
        <v>48</v>
      </c>
      <c r="O114" s="33" t="n">
        <f>26120</f>
        <v>26120.0</v>
      </c>
      <c r="P114" s="34" t="s">
        <v>50</v>
      </c>
      <c r="Q114" s="33" t="n">
        <f>27060</f>
        <v>27060.0</v>
      </c>
      <c r="R114" s="34" t="s">
        <v>51</v>
      </c>
      <c r="S114" s="35" t="n">
        <f>26899.74</f>
        <v>26899.74</v>
      </c>
      <c r="T114" s="32" t="n">
        <f>39929</f>
        <v>39929.0</v>
      </c>
      <c r="U114" s="32" t="n">
        <f>34012</f>
        <v>34012.0</v>
      </c>
      <c r="V114" s="32" t="n">
        <f>1090126069</f>
        <v>1.090126069E9</v>
      </c>
      <c r="W114" s="32" t="n">
        <f>930072714</f>
        <v>9.30072714E8</v>
      </c>
      <c r="X114" s="36" t="n">
        <f>19</f>
        <v>19.0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32540</f>
        <v>32540.0</v>
      </c>
      <c r="L115" s="34" t="s">
        <v>48</v>
      </c>
      <c r="M115" s="33" t="n">
        <f>33050</f>
        <v>33050.0</v>
      </c>
      <c r="N115" s="34" t="s">
        <v>48</v>
      </c>
      <c r="O115" s="33" t="n">
        <f>30010</f>
        <v>30010.0</v>
      </c>
      <c r="P115" s="34" t="s">
        <v>50</v>
      </c>
      <c r="Q115" s="33" t="n">
        <f>31910</f>
        <v>31910.0</v>
      </c>
      <c r="R115" s="34" t="s">
        <v>51</v>
      </c>
      <c r="S115" s="35" t="n">
        <f>31351.05</f>
        <v>31351.05</v>
      </c>
      <c r="T115" s="32" t="n">
        <f>12531</f>
        <v>12531.0</v>
      </c>
      <c r="U115" s="32" t="n">
        <f>105</f>
        <v>105.0</v>
      </c>
      <c r="V115" s="32" t="n">
        <f>397782310</f>
        <v>3.9778231E8</v>
      </c>
      <c r="W115" s="32" t="n">
        <f>3241210</f>
        <v>3241210.0</v>
      </c>
      <c r="X115" s="36" t="n">
        <f>19</f>
        <v>19.0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27245</f>
        <v>27245.0</v>
      </c>
      <c r="L116" s="34" t="s">
        <v>48</v>
      </c>
      <c r="M116" s="33" t="n">
        <f>28225</f>
        <v>28225.0</v>
      </c>
      <c r="N116" s="34" t="s">
        <v>181</v>
      </c>
      <c r="O116" s="33" t="n">
        <f>26000</f>
        <v>26000.0</v>
      </c>
      <c r="P116" s="34" t="s">
        <v>50</v>
      </c>
      <c r="Q116" s="33" t="n">
        <f>27690</f>
        <v>27690.0</v>
      </c>
      <c r="R116" s="34" t="s">
        <v>51</v>
      </c>
      <c r="S116" s="35" t="n">
        <f>27055.53</f>
        <v>27055.53</v>
      </c>
      <c r="T116" s="32" t="n">
        <f>3478</f>
        <v>3478.0</v>
      </c>
      <c r="U116" s="32" t="n">
        <f>1</f>
        <v>1.0</v>
      </c>
      <c r="V116" s="32" t="n">
        <f>93839130</f>
        <v>9.383913E7</v>
      </c>
      <c r="W116" s="32" t="n">
        <f>27285</f>
        <v>27285.0</v>
      </c>
      <c r="X116" s="36" t="n">
        <f>19</f>
        <v>19.0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58940</f>
        <v>58940.0</v>
      </c>
      <c r="L117" s="34" t="s">
        <v>48</v>
      </c>
      <c r="M117" s="33" t="n">
        <f>60140</f>
        <v>60140.0</v>
      </c>
      <c r="N117" s="34" t="s">
        <v>181</v>
      </c>
      <c r="O117" s="33" t="n">
        <f>55920</f>
        <v>55920.0</v>
      </c>
      <c r="P117" s="34" t="s">
        <v>50</v>
      </c>
      <c r="Q117" s="33" t="n">
        <f>59800</f>
        <v>59800.0</v>
      </c>
      <c r="R117" s="34" t="s">
        <v>51</v>
      </c>
      <c r="S117" s="35" t="n">
        <f>58153.68</f>
        <v>58153.68</v>
      </c>
      <c r="T117" s="32" t="n">
        <f>7416</f>
        <v>7416.0</v>
      </c>
      <c r="U117" s="32" t="n">
        <f>2038</f>
        <v>2038.0</v>
      </c>
      <c r="V117" s="32" t="n">
        <f>431863530</f>
        <v>4.3186353E8</v>
      </c>
      <c r="W117" s="32" t="n">
        <f>119832320</f>
        <v>1.1983232E8</v>
      </c>
      <c r="X117" s="36" t="n">
        <f>19</f>
        <v>19.0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38990</f>
        <v>38990.0</v>
      </c>
      <c r="L118" s="34" t="s">
        <v>48</v>
      </c>
      <c r="M118" s="33" t="n">
        <f>39990</f>
        <v>39990.0</v>
      </c>
      <c r="N118" s="34" t="s">
        <v>181</v>
      </c>
      <c r="O118" s="33" t="n">
        <f>37400</f>
        <v>37400.0</v>
      </c>
      <c r="P118" s="34" t="s">
        <v>50</v>
      </c>
      <c r="Q118" s="33" t="n">
        <f>39530</f>
        <v>39530.0</v>
      </c>
      <c r="R118" s="34" t="s">
        <v>51</v>
      </c>
      <c r="S118" s="35" t="n">
        <f>38700</f>
        <v>38700.0</v>
      </c>
      <c r="T118" s="32" t="n">
        <f>78514</f>
        <v>78514.0</v>
      </c>
      <c r="U118" s="32" t="n">
        <f>64590</f>
        <v>64590.0</v>
      </c>
      <c r="V118" s="32" t="n">
        <f>3054297412</f>
        <v>3.054297412E9</v>
      </c>
      <c r="W118" s="32" t="n">
        <f>2518039692</f>
        <v>2.518039692E9</v>
      </c>
      <c r="X118" s="36" t="n">
        <f>19</f>
        <v>19.0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37800</f>
        <v>37800.0</v>
      </c>
      <c r="L119" s="34" t="s">
        <v>48</v>
      </c>
      <c r="M119" s="33" t="n">
        <f>38700</f>
        <v>38700.0</v>
      </c>
      <c r="N119" s="34" t="s">
        <v>71</v>
      </c>
      <c r="O119" s="33" t="n">
        <f>36090</f>
        <v>36090.0</v>
      </c>
      <c r="P119" s="34" t="s">
        <v>50</v>
      </c>
      <c r="Q119" s="33" t="n">
        <f>38620</f>
        <v>38620.0</v>
      </c>
      <c r="R119" s="34" t="s">
        <v>51</v>
      </c>
      <c r="S119" s="35" t="n">
        <f>37432.63</f>
        <v>37432.63</v>
      </c>
      <c r="T119" s="32" t="n">
        <f>6939</f>
        <v>6939.0</v>
      </c>
      <c r="U119" s="32" t="n">
        <f>4037</f>
        <v>4037.0</v>
      </c>
      <c r="V119" s="32" t="n">
        <f>256113049</f>
        <v>2.56113049E8</v>
      </c>
      <c r="W119" s="32" t="n">
        <f>147462529</f>
        <v>1.47462529E8</v>
      </c>
      <c r="X119" s="36" t="n">
        <f>19</f>
        <v>19.0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8403</f>
        <v>8403.0</v>
      </c>
      <c r="L120" s="34" t="s">
        <v>48</v>
      </c>
      <c r="M120" s="33" t="n">
        <f>8498</f>
        <v>8498.0</v>
      </c>
      <c r="N120" s="34" t="s">
        <v>48</v>
      </c>
      <c r="O120" s="33" t="n">
        <f>7797</f>
        <v>7797.0</v>
      </c>
      <c r="P120" s="34" t="s">
        <v>103</v>
      </c>
      <c r="Q120" s="33" t="n">
        <f>8040</f>
        <v>8040.0</v>
      </c>
      <c r="R120" s="34" t="s">
        <v>51</v>
      </c>
      <c r="S120" s="35" t="n">
        <f>8004.11</f>
        <v>8004.11</v>
      </c>
      <c r="T120" s="32" t="n">
        <f>29661</f>
        <v>29661.0</v>
      </c>
      <c r="U120" s="32" t="str">
        <f>"－"</f>
        <v>－</v>
      </c>
      <c r="V120" s="32" t="n">
        <f>237539155</f>
        <v>2.37539155E8</v>
      </c>
      <c r="W120" s="32" t="str">
        <f>"－"</f>
        <v>－</v>
      </c>
      <c r="X120" s="36" t="n">
        <f>19</f>
        <v>19.0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18415</f>
        <v>18415.0</v>
      </c>
      <c r="L121" s="34" t="s">
        <v>48</v>
      </c>
      <c r="M121" s="33" t="n">
        <f>18455</f>
        <v>18455.0</v>
      </c>
      <c r="N121" s="34" t="s">
        <v>48</v>
      </c>
      <c r="O121" s="33" t="n">
        <f>17365</f>
        <v>17365.0</v>
      </c>
      <c r="P121" s="34" t="s">
        <v>50</v>
      </c>
      <c r="Q121" s="33" t="n">
        <f>18300</f>
        <v>18300.0</v>
      </c>
      <c r="R121" s="34" t="s">
        <v>51</v>
      </c>
      <c r="S121" s="35" t="n">
        <f>17895.79</f>
        <v>17895.79</v>
      </c>
      <c r="T121" s="32" t="n">
        <f>23517</f>
        <v>23517.0</v>
      </c>
      <c r="U121" s="32" t="n">
        <f>22</f>
        <v>22.0</v>
      </c>
      <c r="V121" s="32" t="n">
        <f>423824694</f>
        <v>4.23824694E8</v>
      </c>
      <c r="W121" s="32" t="n">
        <f>387089</f>
        <v>387089.0</v>
      </c>
      <c r="X121" s="36" t="n">
        <f>19</f>
        <v>19.0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83800</f>
        <v>83800.0</v>
      </c>
      <c r="L122" s="34" t="s">
        <v>48</v>
      </c>
      <c r="M122" s="33" t="n">
        <f>84320</f>
        <v>84320.0</v>
      </c>
      <c r="N122" s="34" t="s">
        <v>48</v>
      </c>
      <c r="O122" s="33" t="n">
        <f>77180</f>
        <v>77180.0</v>
      </c>
      <c r="P122" s="34" t="s">
        <v>50</v>
      </c>
      <c r="Q122" s="33" t="n">
        <f>80530</f>
        <v>80530.0</v>
      </c>
      <c r="R122" s="34" t="s">
        <v>51</v>
      </c>
      <c r="S122" s="35" t="n">
        <f>79575.26</f>
        <v>79575.26</v>
      </c>
      <c r="T122" s="32" t="n">
        <f>13157</f>
        <v>13157.0</v>
      </c>
      <c r="U122" s="32" t="n">
        <f>13</f>
        <v>13.0</v>
      </c>
      <c r="V122" s="32" t="n">
        <f>1041483070</f>
        <v>1.04148307E9</v>
      </c>
      <c r="W122" s="32" t="n">
        <f>1031980</f>
        <v>1031980.0</v>
      </c>
      <c r="X122" s="36" t="n">
        <f>19</f>
        <v>19.0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414</v>
      </c>
      <c r="J123" s="32" t="n">
        <v>1.0</v>
      </c>
      <c r="K123" s="33" t="n">
        <f>10330</f>
        <v>10330.0</v>
      </c>
      <c r="L123" s="34" t="s">
        <v>48</v>
      </c>
      <c r="M123" s="33" t="n">
        <f>10330</f>
        <v>10330.0</v>
      </c>
      <c r="N123" s="34" t="s">
        <v>48</v>
      </c>
      <c r="O123" s="33" t="n">
        <f>9800</f>
        <v>9800.0</v>
      </c>
      <c r="P123" s="34" t="s">
        <v>50</v>
      </c>
      <c r="Q123" s="33" t="n">
        <f>10210</f>
        <v>10210.0</v>
      </c>
      <c r="R123" s="34" t="s">
        <v>51</v>
      </c>
      <c r="S123" s="35" t="n">
        <f>10095.11</f>
        <v>10095.11</v>
      </c>
      <c r="T123" s="32" t="n">
        <f>5840</f>
        <v>5840.0</v>
      </c>
      <c r="U123" s="32" t="n">
        <f>1</f>
        <v>1.0</v>
      </c>
      <c r="V123" s="32" t="n">
        <f>59379732</f>
        <v>5.9379732E7</v>
      </c>
      <c r="W123" s="32" t="n">
        <f>10110</f>
        <v>10110.0</v>
      </c>
      <c r="X123" s="36" t="n">
        <f>18</f>
        <v>18.0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32590</f>
        <v>32590.0</v>
      </c>
      <c r="L124" s="34" t="s">
        <v>48</v>
      </c>
      <c r="M124" s="33" t="n">
        <f>32680</f>
        <v>32680.0</v>
      </c>
      <c r="N124" s="34" t="s">
        <v>71</v>
      </c>
      <c r="O124" s="33" t="n">
        <f>30660</f>
        <v>30660.0</v>
      </c>
      <c r="P124" s="34" t="s">
        <v>69</v>
      </c>
      <c r="Q124" s="33" t="n">
        <f>32520</f>
        <v>32520.0</v>
      </c>
      <c r="R124" s="34" t="s">
        <v>51</v>
      </c>
      <c r="S124" s="35" t="n">
        <f>31700.53</f>
        <v>31700.53</v>
      </c>
      <c r="T124" s="32" t="n">
        <f>7933</f>
        <v>7933.0</v>
      </c>
      <c r="U124" s="32" t="n">
        <f>38</f>
        <v>38.0</v>
      </c>
      <c r="V124" s="32" t="n">
        <f>249762490</f>
        <v>2.4976249E8</v>
      </c>
      <c r="W124" s="32" t="n">
        <f>1202370</f>
        <v>1202370.0</v>
      </c>
      <c r="X124" s="36" t="n">
        <f>19</f>
        <v>19.0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20455</f>
        <v>20455.0</v>
      </c>
      <c r="L125" s="34" t="s">
        <v>48</v>
      </c>
      <c r="M125" s="33" t="n">
        <f>21635</f>
        <v>21635.0</v>
      </c>
      <c r="N125" s="34" t="s">
        <v>51</v>
      </c>
      <c r="O125" s="33" t="n">
        <f>20040</f>
        <v>20040.0</v>
      </c>
      <c r="P125" s="34" t="s">
        <v>50</v>
      </c>
      <c r="Q125" s="33" t="n">
        <f>21585</f>
        <v>21585.0</v>
      </c>
      <c r="R125" s="34" t="s">
        <v>51</v>
      </c>
      <c r="S125" s="35" t="n">
        <f>20853.42</f>
        <v>20853.42</v>
      </c>
      <c r="T125" s="32" t="n">
        <f>68324</f>
        <v>68324.0</v>
      </c>
      <c r="U125" s="32" t="n">
        <f>7842</f>
        <v>7842.0</v>
      </c>
      <c r="V125" s="32" t="n">
        <f>1427756207</f>
        <v>1.427756207E9</v>
      </c>
      <c r="W125" s="32" t="n">
        <f>164789407</f>
        <v>1.64789407E8</v>
      </c>
      <c r="X125" s="36" t="n">
        <f>19</f>
        <v>19.0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28720</f>
        <v>28720.0</v>
      </c>
      <c r="L126" s="34" t="s">
        <v>48</v>
      </c>
      <c r="M126" s="33" t="n">
        <f>28720</f>
        <v>28720.0</v>
      </c>
      <c r="N126" s="34" t="s">
        <v>48</v>
      </c>
      <c r="O126" s="33" t="n">
        <f>26785</f>
        <v>26785.0</v>
      </c>
      <c r="P126" s="34" t="s">
        <v>50</v>
      </c>
      <c r="Q126" s="33" t="n">
        <f>28100</f>
        <v>28100.0</v>
      </c>
      <c r="R126" s="34" t="s">
        <v>51</v>
      </c>
      <c r="S126" s="35" t="n">
        <f>27664.21</f>
        <v>27664.21</v>
      </c>
      <c r="T126" s="32" t="n">
        <f>47729</f>
        <v>47729.0</v>
      </c>
      <c r="U126" s="32" t="n">
        <f>6012</f>
        <v>6012.0</v>
      </c>
      <c r="V126" s="32" t="n">
        <f>1312276996</f>
        <v>1.312276996E9</v>
      </c>
      <c r="W126" s="32" t="n">
        <f>165706541</f>
        <v>1.65706541E8</v>
      </c>
      <c r="X126" s="36" t="n">
        <f>19</f>
        <v>19.0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38690</f>
        <v>38690.0</v>
      </c>
      <c r="L127" s="34" t="s">
        <v>48</v>
      </c>
      <c r="M127" s="33" t="n">
        <f>40600</f>
        <v>40600.0</v>
      </c>
      <c r="N127" s="34" t="s">
        <v>61</v>
      </c>
      <c r="O127" s="33" t="n">
        <f>36740</f>
        <v>36740.0</v>
      </c>
      <c r="P127" s="34" t="s">
        <v>50</v>
      </c>
      <c r="Q127" s="33" t="n">
        <f>39790</f>
        <v>39790.0</v>
      </c>
      <c r="R127" s="34" t="s">
        <v>51</v>
      </c>
      <c r="S127" s="35" t="n">
        <f>38302.11</f>
        <v>38302.11</v>
      </c>
      <c r="T127" s="32" t="n">
        <f>5424</f>
        <v>5424.0</v>
      </c>
      <c r="U127" s="32" t="n">
        <f>289</f>
        <v>289.0</v>
      </c>
      <c r="V127" s="32" t="n">
        <f>210721581</f>
        <v>2.10721581E8</v>
      </c>
      <c r="W127" s="32" t="n">
        <f>11596211</f>
        <v>1.1596211E7</v>
      </c>
      <c r="X127" s="36" t="n">
        <f>19</f>
        <v>19.0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414</v>
      </c>
      <c r="J128" s="32" t="n">
        <v>1.0</v>
      </c>
      <c r="K128" s="33" t="n">
        <f>8412</f>
        <v>8412.0</v>
      </c>
      <c r="L128" s="34" t="s">
        <v>48</v>
      </c>
      <c r="M128" s="33" t="n">
        <f>8948</f>
        <v>8948.0</v>
      </c>
      <c r="N128" s="34" t="s">
        <v>103</v>
      </c>
      <c r="O128" s="33" t="n">
        <f>8150</f>
        <v>8150.0</v>
      </c>
      <c r="P128" s="34" t="s">
        <v>159</v>
      </c>
      <c r="Q128" s="33" t="n">
        <f>8553</f>
        <v>8553.0</v>
      </c>
      <c r="R128" s="34" t="s">
        <v>51</v>
      </c>
      <c r="S128" s="35" t="n">
        <f>8504.32</f>
        <v>8504.32</v>
      </c>
      <c r="T128" s="32" t="n">
        <f>42450</f>
        <v>42450.0</v>
      </c>
      <c r="U128" s="32" t="n">
        <f>2</f>
        <v>2.0</v>
      </c>
      <c r="V128" s="32" t="n">
        <f>361847603</f>
        <v>3.61847603E8</v>
      </c>
      <c r="W128" s="32" t="n">
        <f>17162</f>
        <v>17162.0</v>
      </c>
      <c r="X128" s="36" t="n">
        <f>19</f>
        <v>19.0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2099</f>
        <v>2099.0</v>
      </c>
      <c r="L129" s="34" t="s">
        <v>48</v>
      </c>
      <c r="M129" s="33" t="n">
        <f>2099</f>
        <v>2099.0</v>
      </c>
      <c r="N129" s="34" t="s">
        <v>48</v>
      </c>
      <c r="O129" s="33" t="n">
        <f>1975</f>
        <v>1975.0</v>
      </c>
      <c r="P129" s="34" t="s">
        <v>50</v>
      </c>
      <c r="Q129" s="33" t="n">
        <f>2086</f>
        <v>2086.0</v>
      </c>
      <c r="R129" s="34" t="s">
        <v>51</v>
      </c>
      <c r="S129" s="35" t="n">
        <f>2044.26</f>
        <v>2044.26</v>
      </c>
      <c r="T129" s="32" t="n">
        <f>2087593</f>
        <v>2087593.0</v>
      </c>
      <c r="U129" s="32" t="n">
        <f>1749561</f>
        <v>1749561.0</v>
      </c>
      <c r="V129" s="32" t="n">
        <f>4246935219</f>
        <v>4.246935219E9</v>
      </c>
      <c r="W129" s="32" t="n">
        <f>3558093633</f>
        <v>3.558093633E9</v>
      </c>
      <c r="X129" s="36" t="n">
        <f>19</f>
        <v>19.0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3353</f>
        <v>3353.0</v>
      </c>
      <c r="L130" s="34" t="s">
        <v>48</v>
      </c>
      <c r="M130" s="33" t="n">
        <f>3507</f>
        <v>3507.0</v>
      </c>
      <c r="N130" s="34" t="s">
        <v>226</v>
      </c>
      <c r="O130" s="33" t="n">
        <f>3069</f>
        <v>3069.0</v>
      </c>
      <c r="P130" s="34" t="s">
        <v>69</v>
      </c>
      <c r="Q130" s="33" t="n">
        <f>3316</f>
        <v>3316.0</v>
      </c>
      <c r="R130" s="34" t="s">
        <v>71</v>
      </c>
      <c r="S130" s="35" t="n">
        <f>3284</f>
        <v>3284.0</v>
      </c>
      <c r="T130" s="32" t="n">
        <f>14520</f>
        <v>14520.0</v>
      </c>
      <c r="U130" s="32" t="n">
        <f>10</f>
        <v>10.0</v>
      </c>
      <c r="V130" s="32" t="n">
        <f>48500060</f>
        <v>4.850006E7</v>
      </c>
      <c r="W130" s="32" t="n">
        <f>32170</f>
        <v>32170.0</v>
      </c>
      <c r="X130" s="36" t="n">
        <f>11</f>
        <v>11.0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3655</f>
        <v>3655.0</v>
      </c>
      <c r="L131" s="34" t="s">
        <v>48</v>
      </c>
      <c r="M131" s="33" t="n">
        <f>3671</f>
        <v>3671.0</v>
      </c>
      <c r="N131" s="34" t="s">
        <v>49</v>
      </c>
      <c r="O131" s="33" t="n">
        <f>3432</f>
        <v>3432.0</v>
      </c>
      <c r="P131" s="34" t="s">
        <v>50</v>
      </c>
      <c r="Q131" s="33" t="n">
        <f>3625</f>
        <v>3625.0</v>
      </c>
      <c r="R131" s="34" t="s">
        <v>51</v>
      </c>
      <c r="S131" s="35" t="n">
        <f>3558.43</f>
        <v>3558.43</v>
      </c>
      <c r="T131" s="32" t="n">
        <f>12240</f>
        <v>12240.0</v>
      </c>
      <c r="U131" s="32" t="n">
        <f>2760</f>
        <v>2760.0</v>
      </c>
      <c r="V131" s="32" t="n">
        <f>43664628</f>
        <v>4.3664628E7</v>
      </c>
      <c r="W131" s="32" t="n">
        <f>9986508</f>
        <v>9986508.0</v>
      </c>
      <c r="X131" s="36" t="n">
        <f>14</f>
        <v>14.0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2243</f>
        <v>2243.0</v>
      </c>
      <c r="L132" s="34" t="s">
        <v>48</v>
      </c>
      <c r="M132" s="33" t="n">
        <f>2291</f>
        <v>2291.0</v>
      </c>
      <c r="N132" s="34" t="s">
        <v>49</v>
      </c>
      <c r="O132" s="33" t="n">
        <f>2180</f>
        <v>2180.0</v>
      </c>
      <c r="P132" s="34" t="s">
        <v>216</v>
      </c>
      <c r="Q132" s="33" t="n">
        <f>2236</f>
        <v>2236.0</v>
      </c>
      <c r="R132" s="34" t="s">
        <v>51</v>
      </c>
      <c r="S132" s="35" t="n">
        <f>2238.3</f>
        <v>2238.3</v>
      </c>
      <c r="T132" s="32" t="n">
        <f>7280</f>
        <v>7280.0</v>
      </c>
      <c r="U132" s="32" t="str">
        <f>"－"</f>
        <v>－</v>
      </c>
      <c r="V132" s="32" t="n">
        <f>16533080</f>
        <v>1.653308E7</v>
      </c>
      <c r="W132" s="32" t="str">
        <f>"－"</f>
        <v>－</v>
      </c>
      <c r="X132" s="36" t="n">
        <f>5</f>
        <v>5.0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676.5</f>
        <v>676.5</v>
      </c>
      <c r="L133" s="34" t="s">
        <v>48</v>
      </c>
      <c r="M133" s="33" t="n">
        <f>691.2</f>
        <v>691.2</v>
      </c>
      <c r="N133" s="34" t="s">
        <v>70</v>
      </c>
      <c r="O133" s="33" t="n">
        <f>664</f>
        <v>664.0</v>
      </c>
      <c r="P133" s="34" t="s">
        <v>69</v>
      </c>
      <c r="Q133" s="33" t="n">
        <f>681.3</f>
        <v>681.3</v>
      </c>
      <c r="R133" s="34" t="s">
        <v>51</v>
      </c>
      <c r="S133" s="35" t="n">
        <f>677.19</f>
        <v>677.19</v>
      </c>
      <c r="T133" s="32" t="n">
        <f>52404090</f>
        <v>5.240409E7</v>
      </c>
      <c r="U133" s="32" t="n">
        <f>958610</f>
        <v>958610.0</v>
      </c>
      <c r="V133" s="32" t="n">
        <f>35542429561</f>
        <v>3.5542429561E10</v>
      </c>
      <c r="W133" s="32" t="n">
        <f>651332952</f>
        <v>6.51332952E8</v>
      </c>
      <c r="X133" s="36" t="n">
        <f>19</f>
        <v>19.0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306</f>
        <v>306.0</v>
      </c>
      <c r="L134" s="34" t="s">
        <v>48</v>
      </c>
      <c r="M134" s="33" t="n">
        <f>307.6</f>
        <v>307.6</v>
      </c>
      <c r="N134" s="34" t="s">
        <v>49</v>
      </c>
      <c r="O134" s="33" t="n">
        <f>298</f>
        <v>298.0</v>
      </c>
      <c r="P134" s="34" t="s">
        <v>216</v>
      </c>
      <c r="Q134" s="33" t="n">
        <f>299.8</f>
        <v>299.8</v>
      </c>
      <c r="R134" s="34" t="s">
        <v>51</v>
      </c>
      <c r="S134" s="35" t="n">
        <f>301.74</f>
        <v>301.74</v>
      </c>
      <c r="T134" s="32" t="n">
        <f>7304390</f>
        <v>7304390.0</v>
      </c>
      <c r="U134" s="32" t="n">
        <f>3586900</f>
        <v>3586900.0</v>
      </c>
      <c r="V134" s="32" t="n">
        <f>2203822029</f>
        <v>2.203822029E9</v>
      </c>
      <c r="W134" s="32" t="n">
        <f>1085334665</f>
        <v>1.085334665E9</v>
      </c>
      <c r="X134" s="36" t="n">
        <f>19</f>
        <v>19.0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5490</f>
        <v>5490.0</v>
      </c>
      <c r="L135" s="34" t="s">
        <v>48</v>
      </c>
      <c r="M135" s="33" t="n">
        <f>5640</f>
        <v>5640.0</v>
      </c>
      <c r="N135" s="34" t="s">
        <v>70</v>
      </c>
      <c r="O135" s="33" t="n">
        <f>5400</f>
        <v>5400.0</v>
      </c>
      <c r="P135" s="34" t="s">
        <v>69</v>
      </c>
      <c r="Q135" s="33" t="n">
        <f>5580</f>
        <v>5580.0</v>
      </c>
      <c r="R135" s="34" t="s">
        <v>51</v>
      </c>
      <c r="S135" s="35" t="n">
        <f>5517.89</f>
        <v>5517.89</v>
      </c>
      <c r="T135" s="32" t="n">
        <f>107839</f>
        <v>107839.0</v>
      </c>
      <c r="U135" s="32" t="n">
        <f>4821</f>
        <v>4821.0</v>
      </c>
      <c r="V135" s="32" t="n">
        <f>596680531</f>
        <v>5.96680531E8</v>
      </c>
      <c r="W135" s="32" t="n">
        <f>26754541</f>
        <v>2.6754541E7</v>
      </c>
      <c r="X135" s="36" t="n">
        <f>19</f>
        <v>19.0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2844</f>
        <v>2844.0</v>
      </c>
      <c r="L136" s="34" t="s">
        <v>48</v>
      </c>
      <c r="M136" s="33" t="n">
        <f>2871</f>
        <v>2871.0</v>
      </c>
      <c r="N136" s="34" t="s">
        <v>48</v>
      </c>
      <c r="O136" s="33" t="n">
        <f>2751</f>
        <v>2751.0</v>
      </c>
      <c r="P136" s="34" t="s">
        <v>239</v>
      </c>
      <c r="Q136" s="33" t="n">
        <f>2840</f>
        <v>2840.0</v>
      </c>
      <c r="R136" s="34" t="s">
        <v>51</v>
      </c>
      <c r="S136" s="35" t="n">
        <f>2820</f>
        <v>2820.0</v>
      </c>
      <c r="T136" s="32" t="n">
        <f>142257</f>
        <v>142257.0</v>
      </c>
      <c r="U136" s="32" t="n">
        <f>50460</f>
        <v>50460.0</v>
      </c>
      <c r="V136" s="32" t="n">
        <f>399765753</f>
        <v>3.99765753E8</v>
      </c>
      <c r="W136" s="32" t="n">
        <f>141251159</f>
        <v>1.41251159E8</v>
      </c>
      <c r="X136" s="36" t="n">
        <f>19</f>
        <v>19.0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3370</f>
        <v>3370.0</v>
      </c>
      <c r="L137" s="34" t="s">
        <v>48</v>
      </c>
      <c r="M137" s="33" t="n">
        <f>3400</f>
        <v>3400.0</v>
      </c>
      <c r="N137" s="34" t="s">
        <v>239</v>
      </c>
      <c r="O137" s="33" t="n">
        <f>3270</f>
        <v>3270.0</v>
      </c>
      <c r="P137" s="34" t="s">
        <v>69</v>
      </c>
      <c r="Q137" s="33" t="n">
        <f>3335</f>
        <v>3335.0</v>
      </c>
      <c r="R137" s="34" t="s">
        <v>51</v>
      </c>
      <c r="S137" s="35" t="n">
        <f>3339.74</f>
        <v>3339.74</v>
      </c>
      <c r="T137" s="32" t="n">
        <f>449395</f>
        <v>449395.0</v>
      </c>
      <c r="U137" s="32" t="n">
        <f>53822</f>
        <v>53822.0</v>
      </c>
      <c r="V137" s="32" t="n">
        <f>1500225901</f>
        <v>1.500225901E9</v>
      </c>
      <c r="W137" s="32" t="n">
        <f>178680831</f>
        <v>1.78680831E8</v>
      </c>
      <c r="X137" s="36" t="n">
        <f>19</f>
        <v>19.0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9706</f>
        <v>9706.0</v>
      </c>
      <c r="L138" s="34" t="s">
        <v>48</v>
      </c>
      <c r="M138" s="33" t="n">
        <f>9940</f>
        <v>9940.0</v>
      </c>
      <c r="N138" s="34" t="s">
        <v>61</v>
      </c>
      <c r="O138" s="33" t="n">
        <f>9391</f>
        <v>9391.0</v>
      </c>
      <c r="P138" s="34" t="s">
        <v>159</v>
      </c>
      <c r="Q138" s="33" t="n">
        <f>9874</f>
        <v>9874.0</v>
      </c>
      <c r="R138" s="34" t="s">
        <v>51</v>
      </c>
      <c r="S138" s="35" t="n">
        <f>9594.63</f>
        <v>9594.63</v>
      </c>
      <c r="T138" s="32" t="n">
        <f>101440</f>
        <v>101440.0</v>
      </c>
      <c r="U138" s="32" t="n">
        <f>16125</f>
        <v>16125.0</v>
      </c>
      <c r="V138" s="32" t="n">
        <f>978041755</f>
        <v>9.78041755E8</v>
      </c>
      <c r="W138" s="32" t="n">
        <f>156258215</f>
        <v>1.56258215E8</v>
      </c>
      <c r="X138" s="36" t="n">
        <f>19</f>
        <v>19.0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3360</f>
        <v>3360.0</v>
      </c>
      <c r="L139" s="34" t="s">
        <v>48</v>
      </c>
      <c r="M139" s="33" t="n">
        <f>3610</f>
        <v>3610.0</v>
      </c>
      <c r="N139" s="34" t="s">
        <v>216</v>
      </c>
      <c r="O139" s="33" t="n">
        <f>3275</f>
        <v>3275.0</v>
      </c>
      <c r="P139" s="34" t="s">
        <v>71</v>
      </c>
      <c r="Q139" s="33" t="n">
        <f>3320</f>
        <v>3320.0</v>
      </c>
      <c r="R139" s="34" t="s">
        <v>51</v>
      </c>
      <c r="S139" s="35" t="n">
        <f>3415.53</f>
        <v>3415.53</v>
      </c>
      <c r="T139" s="32" t="n">
        <f>3321363</f>
        <v>3321363.0</v>
      </c>
      <c r="U139" s="32" t="n">
        <f>30781</f>
        <v>30781.0</v>
      </c>
      <c r="V139" s="32" t="n">
        <f>11390545997</f>
        <v>1.1390545997E10</v>
      </c>
      <c r="W139" s="32" t="n">
        <f>105961102</f>
        <v>1.05961102E8</v>
      </c>
      <c r="X139" s="36" t="n">
        <f>19</f>
        <v>19.0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39320</f>
        <v>39320.0</v>
      </c>
      <c r="L140" s="34" t="s">
        <v>48</v>
      </c>
      <c r="M140" s="33" t="n">
        <f>40400</f>
        <v>40400.0</v>
      </c>
      <c r="N140" s="34" t="s">
        <v>51</v>
      </c>
      <c r="O140" s="33" t="n">
        <f>38780</f>
        <v>38780.0</v>
      </c>
      <c r="P140" s="34" t="s">
        <v>48</v>
      </c>
      <c r="Q140" s="33" t="n">
        <f>40400</f>
        <v>40400.0</v>
      </c>
      <c r="R140" s="34" t="s">
        <v>51</v>
      </c>
      <c r="S140" s="35" t="n">
        <f>39582.63</f>
        <v>39582.63</v>
      </c>
      <c r="T140" s="32" t="n">
        <f>14394</f>
        <v>14394.0</v>
      </c>
      <c r="U140" s="32" t="n">
        <f>2</f>
        <v>2.0</v>
      </c>
      <c r="V140" s="32" t="n">
        <f>569817590</f>
        <v>5.6981759E8</v>
      </c>
      <c r="W140" s="32" t="n">
        <f>77710</f>
        <v>77710.0</v>
      </c>
      <c r="X140" s="36" t="n">
        <f>19</f>
        <v>19.0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4340</f>
        <v>4340.0</v>
      </c>
      <c r="L141" s="34" t="s">
        <v>48</v>
      </c>
      <c r="M141" s="33" t="n">
        <f>4520</f>
        <v>4520.0</v>
      </c>
      <c r="N141" s="34" t="s">
        <v>203</v>
      </c>
      <c r="O141" s="33" t="n">
        <f>4259</f>
        <v>4259.0</v>
      </c>
      <c r="P141" s="34" t="s">
        <v>48</v>
      </c>
      <c r="Q141" s="33" t="n">
        <f>4472</f>
        <v>4472.0</v>
      </c>
      <c r="R141" s="34" t="s">
        <v>51</v>
      </c>
      <c r="S141" s="35" t="n">
        <f>4361</f>
        <v>4361.0</v>
      </c>
      <c r="T141" s="32" t="n">
        <f>84610</f>
        <v>84610.0</v>
      </c>
      <c r="U141" s="32" t="str">
        <f>"－"</f>
        <v>－</v>
      </c>
      <c r="V141" s="32" t="n">
        <f>371069850</f>
        <v>3.7106985E8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13595</f>
        <v>13595.0</v>
      </c>
      <c r="L142" s="34" t="s">
        <v>48</v>
      </c>
      <c r="M142" s="33" t="n">
        <f>13990</f>
        <v>13990.0</v>
      </c>
      <c r="N142" s="34" t="s">
        <v>99</v>
      </c>
      <c r="O142" s="33" t="n">
        <f>13300</f>
        <v>13300.0</v>
      </c>
      <c r="P142" s="34" t="s">
        <v>50</v>
      </c>
      <c r="Q142" s="33" t="n">
        <f>13835</f>
        <v>13835.0</v>
      </c>
      <c r="R142" s="34" t="s">
        <v>51</v>
      </c>
      <c r="S142" s="35" t="n">
        <f>13620.79</f>
        <v>13620.79</v>
      </c>
      <c r="T142" s="32" t="n">
        <f>11019</f>
        <v>11019.0</v>
      </c>
      <c r="U142" s="32" t="n">
        <f>1</f>
        <v>1.0</v>
      </c>
      <c r="V142" s="32" t="n">
        <f>150641045</f>
        <v>1.50641045E8</v>
      </c>
      <c r="W142" s="32" t="n">
        <f>13545</f>
        <v>13545.0</v>
      </c>
      <c r="X142" s="36" t="n">
        <f>19</f>
        <v>19.0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13605</f>
        <v>13605.0</v>
      </c>
      <c r="L143" s="34" t="s">
        <v>48</v>
      </c>
      <c r="M143" s="33" t="n">
        <f>14385</f>
        <v>14385.0</v>
      </c>
      <c r="N143" s="34" t="s">
        <v>70</v>
      </c>
      <c r="O143" s="33" t="n">
        <f>13250</f>
        <v>13250.0</v>
      </c>
      <c r="P143" s="34" t="s">
        <v>203</v>
      </c>
      <c r="Q143" s="33" t="n">
        <f>14085</f>
        <v>14085.0</v>
      </c>
      <c r="R143" s="34" t="s">
        <v>51</v>
      </c>
      <c r="S143" s="35" t="n">
        <f>13722.89</f>
        <v>13722.89</v>
      </c>
      <c r="T143" s="32" t="n">
        <f>19442</f>
        <v>19442.0</v>
      </c>
      <c r="U143" s="32" t="n">
        <f>1</f>
        <v>1.0</v>
      </c>
      <c r="V143" s="32" t="n">
        <f>268737280</f>
        <v>2.6873728E8</v>
      </c>
      <c r="W143" s="32" t="n">
        <f>13450</f>
        <v>13450.0</v>
      </c>
      <c r="X143" s="36" t="n">
        <f>19</f>
        <v>19.0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24335</f>
        <v>24335.0</v>
      </c>
      <c r="L144" s="34" t="s">
        <v>49</v>
      </c>
      <c r="M144" s="33" t="n">
        <f>25995</f>
        <v>25995.0</v>
      </c>
      <c r="N144" s="34" t="s">
        <v>103</v>
      </c>
      <c r="O144" s="33" t="n">
        <f>24335</f>
        <v>24335.0</v>
      </c>
      <c r="P144" s="34" t="s">
        <v>49</v>
      </c>
      <c r="Q144" s="33" t="n">
        <f>25785</f>
        <v>25785.0</v>
      </c>
      <c r="R144" s="34" t="s">
        <v>51</v>
      </c>
      <c r="S144" s="35" t="n">
        <f>25340</f>
        <v>25340.0</v>
      </c>
      <c r="T144" s="32" t="n">
        <f>575</f>
        <v>575.0</v>
      </c>
      <c r="U144" s="32" t="str">
        <f>"－"</f>
        <v>－</v>
      </c>
      <c r="V144" s="32" t="n">
        <f>14563715</f>
        <v>1.4563715E7</v>
      </c>
      <c r="W144" s="32" t="str">
        <f>"－"</f>
        <v>－</v>
      </c>
      <c r="X144" s="36" t="n">
        <f>16</f>
        <v>16.0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57000</f>
        <v>57000.0</v>
      </c>
      <c r="L145" s="34" t="s">
        <v>48</v>
      </c>
      <c r="M145" s="33" t="n">
        <f>57200</f>
        <v>57200.0</v>
      </c>
      <c r="N145" s="34" t="s">
        <v>49</v>
      </c>
      <c r="O145" s="33" t="n">
        <f>55610</f>
        <v>55610.0</v>
      </c>
      <c r="P145" s="34" t="s">
        <v>116</v>
      </c>
      <c r="Q145" s="33" t="n">
        <f>55920</f>
        <v>55920.0</v>
      </c>
      <c r="R145" s="34" t="s">
        <v>51</v>
      </c>
      <c r="S145" s="35" t="n">
        <f>56337.65</f>
        <v>56337.65</v>
      </c>
      <c r="T145" s="32" t="n">
        <f>2020</f>
        <v>2020.0</v>
      </c>
      <c r="U145" s="32" t="n">
        <f>10</f>
        <v>10.0</v>
      </c>
      <c r="V145" s="32" t="n">
        <f>114166400</f>
        <v>1.141664E8</v>
      </c>
      <c r="W145" s="32" t="n">
        <f>562300</f>
        <v>562300.0</v>
      </c>
      <c r="X145" s="36" t="n">
        <f>17</f>
        <v>17.0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365.8</f>
        <v>365.8</v>
      </c>
      <c r="L146" s="34" t="s">
        <v>48</v>
      </c>
      <c r="M146" s="33" t="n">
        <f>367.1</f>
        <v>367.1</v>
      </c>
      <c r="N146" s="34" t="s">
        <v>48</v>
      </c>
      <c r="O146" s="33" t="n">
        <f>341.2</f>
        <v>341.2</v>
      </c>
      <c r="P146" s="34" t="s">
        <v>239</v>
      </c>
      <c r="Q146" s="33" t="n">
        <f>348.3</f>
        <v>348.3</v>
      </c>
      <c r="R146" s="34" t="s">
        <v>51</v>
      </c>
      <c r="S146" s="35" t="n">
        <f>351.41</f>
        <v>351.41</v>
      </c>
      <c r="T146" s="32" t="n">
        <f>31897050</f>
        <v>3.189705E7</v>
      </c>
      <c r="U146" s="32" t="n">
        <f>128530</f>
        <v>128530.0</v>
      </c>
      <c r="V146" s="32" t="n">
        <f>11200020428</f>
        <v>1.1200020428E10</v>
      </c>
      <c r="W146" s="32" t="n">
        <f>45305581</f>
        <v>4.5305581E7</v>
      </c>
      <c r="X146" s="36" t="n">
        <f>19</f>
        <v>19.0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55380</f>
        <v>55380.0</v>
      </c>
      <c r="L147" s="34" t="s">
        <v>48</v>
      </c>
      <c r="M147" s="33" t="n">
        <f>57980</f>
        <v>57980.0</v>
      </c>
      <c r="N147" s="34" t="s">
        <v>71</v>
      </c>
      <c r="O147" s="33" t="n">
        <f>54790</f>
        <v>54790.0</v>
      </c>
      <c r="P147" s="34" t="s">
        <v>69</v>
      </c>
      <c r="Q147" s="33" t="n">
        <f>56910</f>
        <v>56910.0</v>
      </c>
      <c r="R147" s="34" t="s">
        <v>51</v>
      </c>
      <c r="S147" s="35" t="n">
        <f>55991.76</f>
        <v>55991.76</v>
      </c>
      <c r="T147" s="32" t="n">
        <f>2350</f>
        <v>2350.0</v>
      </c>
      <c r="U147" s="32" t="n">
        <f>10</f>
        <v>10.0</v>
      </c>
      <c r="V147" s="32" t="n">
        <f>131524100</f>
        <v>1.315241E8</v>
      </c>
      <c r="W147" s="32" t="n">
        <f>554400</f>
        <v>554400.0</v>
      </c>
      <c r="X147" s="36" t="n">
        <f>17</f>
        <v>17.0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6318</f>
        <v>6318.0</v>
      </c>
      <c r="L148" s="34" t="s">
        <v>48</v>
      </c>
      <c r="M148" s="33" t="n">
        <f>6422</f>
        <v>6422.0</v>
      </c>
      <c r="N148" s="34" t="s">
        <v>70</v>
      </c>
      <c r="O148" s="33" t="n">
        <f>6184</f>
        <v>6184.0</v>
      </c>
      <c r="P148" s="34" t="s">
        <v>50</v>
      </c>
      <c r="Q148" s="33" t="n">
        <f>6358</f>
        <v>6358.0</v>
      </c>
      <c r="R148" s="34" t="s">
        <v>51</v>
      </c>
      <c r="S148" s="35" t="n">
        <f>6320.11</f>
        <v>6320.11</v>
      </c>
      <c r="T148" s="32" t="n">
        <f>94380</f>
        <v>94380.0</v>
      </c>
      <c r="U148" s="32" t="n">
        <f>40</f>
        <v>40.0</v>
      </c>
      <c r="V148" s="32" t="n">
        <f>596494810</f>
        <v>5.9649481E8</v>
      </c>
      <c r="W148" s="32" t="n">
        <f>253390</f>
        <v>253390.0</v>
      </c>
      <c r="X148" s="36" t="n">
        <f>19</f>
        <v>19.0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2125.5</f>
        <v>2125.5</v>
      </c>
      <c r="L149" s="34" t="s">
        <v>48</v>
      </c>
      <c r="M149" s="33" t="n">
        <f>2170</f>
        <v>2170.0</v>
      </c>
      <c r="N149" s="34" t="s">
        <v>48</v>
      </c>
      <c r="O149" s="33" t="n">
        <f>2038</f>
        <v>2038.0</v>
      </c>
      <c r="P149" s="34" t="s">
        <v>50</v>
      </c>
      <c r="Q149" s="33" t="n">
        <f>2110</f>
        <v>2110.0</v>
      </c>
      <c r="R149" s="34" t="s">
        <v>51</v>
      </c>
      <c r="S149" s="35" t="n">
        <f>2102.18</f>
        <v>2102.18</v>
      </c>
      <c r="T149" s="32" t="n">
        <f>118720</f>
        <v>118720.0</v>
      </c>
      <c r="U149" s="32" t="n">
        <f>24020</f>
        <v>24020.0</v>
      </c>
      <c r="V149" s="32" t="n">
        <f>250771400</f>
        <v>2.507714E8</v>
      </c>
      <c r="W149" s="32" t="n">
        <f>51840870</f>
        <v>5.184087E7</v>
      </c>
      <c r="X149" s="36" t="n">
        <f>19</f>
        <v>19.0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1789</f>
        <v>1789.0</v>
      </c>
      <c r="L150" s="34" t="s">
        <v>48</v>
      </c>
      <c r="M150" s="33" t="n">
        <f>1899.5</f>
        <v>1899.5</v>
      </c>
      <c r="N150" s="34" t="s">
        <v>181</v>
      </c>
      <c r="O150" s="33" t="n">
        <f>1747</f>
        <v>1747.0</v>
      </c>
      <c r="P150" s="34" t="s">
        <v>181</v>
      </c>
      <c r="Q150" s="33" t="n">
        <f>1772.5</f>
        <v>1772.5</v>
      </c>
      <c r="R150" s="34" t="s">
        <v>239</v>
      </c>
      <c r="S150" s="35" t="n">
        <f>1803.21</f>
        <v>1803.21</v>
      </c>
      <c r="T150" s="32" t="n">
        <f>2860</f>
        <v>2860.0</v>
      </c>
      <c r="U150" s="32" t="str">
        <f>"－"</f>
        <v>－</v>
      </c>
      <c r="V150" s="32" t="n">
        <f>5162600</f>
        <v>5162600.0</v>
      </c>
      <c r="W150" s="32" t="str">
        <f>"－"</f>
        <v>－</v>
      </c>
      <c r="X150" s="36" t="n">
        <f>14</f>
        <v>14.0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559.5</f>
        <v>559.5</v>
      </c>
      <c r="L151" s="34" t="s">
        <v>48</v>
      </c>
      <c r="M151" s="33" t="n">
        <f>614.9</f>
        <v>614.9</v>
      </c>
      <c r="N151" s="34" t="s">
        <v>216</v>
      </c>
      <c r="O151" s="33" t="n">
        <f>553.2</f>
        <v>553.2</v>
      </c>
      <c r="P151" s="34" t="s">
        <v>51</v>
      </c>
      <c r="Q151" s="33" t="n">
        <f>560.5</f>
        <v>560.5</v>
      </c>
      <c r="R151" s="34" t="s">
        <v>51</v>
      </c>
      <c r="S151" s="35" t="n">
        <f>583.29</f>
        <v>583.29</v>
      </c>
      <c r="T151" s="32" t="n">
        <f>53770</f>
        <v>53770.0</v>
      </c>
      <c r="U151" s="32" t="n">
        <f>10</f>
        <v>10.0</v>
      </c>
      <c r="V151" s="32" t="n">
        <f>31722318</f>
        <v>3.1722318E7</v>
      </c>
      <c r="W151" s="32" t="n">
        <f>5698</f>
        <v>5698.0</v>
      </c>
      <c r="X151" s="36" t="n">
        <f>19</f>
        <v>19.0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2365.5</f>
        <v>2365.5</v>
      </c>
      <c r="L152" s="34" t="s">
        <v>48</v>
      </c>
      <c r="M152" s="33" t="n">
        <f>2423.5</f>
        <v>2423.5</v>
      </c>
      <c r="N152" s="34" t="s">
        <v>203</v>
      </c>
      <c r="O152" s="33" t="n">
        <f>2299</f>
        <v>2299.0</v>
      </c>
      <c r="P152" s="34" t="s">
        <v>48</v>
      </c>
      <c r="Q152" s="33" t="n">
        <f>2340</f>
        <v>2340.0</v>
      </c>
      <c r="R152" s="34" t="s">
        <v>51</v>
      </c>
      <c r="S152" s="35" t="n">
        <f>2370.13</f>
        <v>2370.13</v>
      </c>
      <c r="T152" s="32" t="n">
        <f>3030</f>
        <v>3030.0</v>
      </c>
      <c r="U152" s="32" t="n">
        <f>10</f>
        <v>10.0</v>
      </c>
      <c r="V152" s="32" t="n">
        <f>7171150</f>
        <v>7171150.0</v>
      </c>
      <c r="W152" s="32" t="n">
        <f>24090</f>
        <v>24090.0</v>
      </c>
      <c r="X152" s="36" t="n">
        <f>19</f>
        <v>19.0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950</f>
        <v>950.0</v>
      </c>
      <c r="L153" s="34" t="s">
        <v>48</v>
      </c>
      <c r="M153" s="33" t="n">
        <f>989</f>
        <v>989.0</v>
      </c>
      <c r="N153" s="34" t="s">
        <v>71</v>
      </c>
      <c r="O153" s="33" t="n">
        <f>941.1</f>
        <v>941.1</v>
      </c>
      <c r="P153" s="34" t="s">
        <v>48</v>
      </c>
      <c r="Q153" s="33" t="n">
        <f>982.3</f>
        <v>982.3</v>
      </c>
      <c r="R153" s="34" t="s">
        <v>51</v>
      </c>
      <c r="S153" s="35" t="n">
        <f>964.42</f>
        <v>964.42</v>
      </c>
      <c r="T153" s="32" t="n">
        <f>46340</f>
        <v>46340.0</v>
      </c>
      <c r="U153" s="32" t="n">
        <f>10</f>
        <v>10.0</v>
      </c>
      <c r="V153" s="32" t="n">
        <f>44758672</f>
        <v>4.4758672E7</v>
      </c>
      <c r="W153" s="32" t="n">
        <f>9431</f>
        <v>9431.0</v>
      </c>
      <c r="X153" s="36" t="n">
        <f>19</f>
        <v>19.0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550.9</f>
        <v>550.9</v>
      </c>
      <c r="L154" s="34" t="s">
        <v>48</v>
      </c>
      <c r="M154" s="33" t="n">
        <f>577.4</f>
        <v>577.4</v>
      </c>
      <c r="N154" s="34" t="s">
        <v>62</v>
      </c>
      <c r="O154" s="33" t="n">
        <f>540.9</f>
        <v>540.9</v>
      </c>
      <c r="P154" s="34" t="s">
        <v>48</v>
      </c>
      <c r="Q154" s="33" t="n">
        <f>567.1</f>
        <v>567.1</v>
      </c>
      <c r="R154" s="34" t="s">
        <v>51</v>
      </c>
      <c r="S154" s="35" t="n">
        <f>561.79</f>
        <v>561.79</v>
      </c>
      <c r="T154" s="32" t="n">
        <f>128850</f>
        <v>128850.0</v>
      </c>
      <c r="U154" s="32" t="str">
        <f>"－"</f>
        <v>－</v>
      </c>
      <c r="V154" s="32" t="n">
        <f>72688634</f>
        <v>7.2688634E7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1227</f>
        <v>1227.0</v>
      </c>
      <c r="L155" s="34" t="s">
        <v>48</v>
      </c>
      <c r="M155" s="33" t="n">
        <f>1464</f>
        <v>1464.0</v>
      </c>
      <c r="N155" s="34" t="s">
        <v>50</v>
      </c>
      <c r="O155" s="33" t="n">
        <f>1210</f>
        <v>1210.0</v>
      </c>
      <c r="P155" s="34" t="s">
        <v>51</v>
      </c>
      <c r="Q155" s="33" t="n">
        <f>1213</f>
        <v>1213.0</v>
      </c>
      <c r="R155" s="34" t="s">
        <v>51</v>
      </c>
      <c r="S155" s="35" t="n">
        <f>1310.74</f>
        <v>1310.74</v>
      </c>
      <c r="T155" s="32" t="n">
        <f>1159686</f>
        <v>1159686.0</v>
      </c>
      <c r="U155" s="32" t="n">
        <f>1</f>
        <v>1.0</v>
      </c>
      <c r="V155" s="32" t="n">
        <f>1538578457</f>
        <v>1.538578457E9</v>
      </c>
      <c r="W155" s="32" t="n">
        <f>1255</f>
        <v>1255.0</v>
      </c>
      <c r="X155" s="36" t="n">
        <f>19</f>
        <v>19.0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1572</f>
        <v>1572.0</v>
      </c>
      <c r="L156" s="34" t="s">
        <v>48</v>
      </c>
      <c r="M156" s="33" t="n">
        <f>1750.5</f>
        <v>1750.5</v>
      </c>
      <c r="N156" s="34" t="s">
        <v>69</v>
      </c>
      <c r="O156" s="33" t="n">
        <f>1551.5</f>
        <v>1551.5</v>
      </c>
      <c r="P156" s="34" t="s">
        <v>239</v>
      </c>
      <c r="Q156" s="33" t="n">
        <f>1579.5</f>
        <v>1579.5</v>
      </c>
      <c r="R156" s="34" t="s">
        <v>51</v>
      </c>
      <c r="S156" s="35" t="n">
        <f>1617.29</f>
        <v>1617.29</v>
      </c>
      <c r="T156" s="32" t="n">
        <f>51430</f>
        <v>51430.0</v>
      </c>
      <c r="U156" s="32" t="n">
        <f>10</f>
        <v>10.0</v>
      </c>
      <c r="V156" s="32" t="n">
        <f>83673860</f>
        <v>8.367386E7</v>
      </c>
      <c r="W156" s="32" t="n">
        <f>16320</f>
        <v>16320.0</v>
      </c>
      <c r="X156" s="36" t="n">
        <f>19</f>
        <v>19.0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8440</f>
        <v>8440.0</v>
      </c>
      <c r="L157" s="34" t="s">
        <v>48</v>
      </c>
      <c r="M157" s="33" t="n">
        <f>8896</f>
        <v>8896.0</v>
      </c>
      <c r="N157" s="34" t="s">
        <v>216</v>
      </c>
      <c r="O157" s="33" t="n">
        <f>8132</f>
        <v>8132.0</v>
      </c>
      <c r="P157" s="34" t="s">
        <v>239</v>
      </c>
      <c r="Q157" s="33" t="n">
        <f>8315</f>
        <v>8315.0</v>
      </c>
      <c r="R157" s="34" t="s">
        <v>51</v>
      </c>
      <c r="S157" s="35" t="n">
        <f>8462.68</f>
        <v>8462.68</v>
      </c>
      <c r="T157" s="32" t="n">
        <f>6131</f>
        <v>6131.0</v>
      </c>
      <c r="U157" s="32" t="str">
        <f>"－"</f>
        <v>－</v>
      </c>
      <c r="V157" s="32" t="n">
        <f>52180716</f>
        <v>5.2180716E7</v>
      </c>
      <c r="W157" s="32" t="str">
        <f>"－"</f>
        <v>－</v>
      </c>
      <c r="X157" s="36" t="n">
        <f>19</f>
        <v>19.0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522</f>
        <v>522.0</v>
      </c>
      <c r="L158" s="34" t="s">
        <v>48</v>
      </c>
      <c r="M158" s="33" t="n">
        <f>544.7</f>
        <v>544.7</v>
      </c>
      <c r="N158" s="34" t="s">
        <v>203</v>
      </c>
      <c r="O158" s="33" t="n">
        <f>499.4</f>
        <v>499.4</v>
      </c>
      <c r="P158" s="34" t="s">
        <v>48</v>
      </c>
      <c r="Q158" s="33" t="n">
        <f>526</f>
        <v>526.0</v>
      </c>
      <c r="R158" s="34" t="s">
        <v>51</v>
      </c>
      <c r="S158" s="35" t="n">
        <f>525.66</f>
        <v>525.66</v>
      </c>
      <c r="T158" s="32" t="n">
        <f>34200</f>
        <v>34200.0</v>
      </c>
      <c r="U158" s="32" t="str">
        <f>"－"</f>
        <v>－</v>
      </c>
      <c r="V158" s="32" t="n">
        <f>18100060</f>
        <v>1.810006E7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5772</f>
        <v>5772.0</v>
      </c>
      <c r="L159" s="34" t="s">
        <v>48</v>
      </c>
      <c r="M159" s="33" t="n">
        <f>6241</f>
        <v>6241.0</v>
      </c>
      <c r="N159" s="34" t="s">
        <v>50</v>
      </c>
      <c r="O159" s="33" t="n">
        <f>5697</f>
        <v>5697.0</v>
      </c>
      <c r="P159" s="34" t="s">
        <v>49</v>
      </c>
      <c r="Q159" s="33" t="n">
        <f>5993</f>
        <v>5993.0</v>
      </c>
      <c r="R159" s="34" t="s">
        <v>51</v>
      </c>
      <c r="S159" s="35" t="n">
        <f>6032.37</f>
        <v>6032.37</v>
      </c>
      <c r="T159" s="32" t="n">
        <f>70460</f>
        <v>70460.0</v>
      </c>
      <c r="U159" s="32" t="str">
        <f>"－"</f>
        <v>－</v>
      </c>
      <c r="V159" s="32" t="n">
        <f>423035960</f>
        <v>4.2303596E8</v>
      </c>
      <c r="W159" s="32" t="str">
        <f>"－"</f>
        <v>－</v>
      </c>
      <c r="X159" s="36" t="n">
        <f>19</f>
        <v>19.0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2227.5</f>
        <v>2227.5</v>
      </c>
      <c r="L160" s="34" t="s">
        <v>48</v>
      </c>
      <c r="M160" s="33" t="n">
        <f>2293.5</f>
        <v>2293.5</v>
      </c>
      <c r="N160" s="34" t="s">
        <v>203</v>
      </c>
      <c r="O160" s="33" t="n">
        <f>2131</f>
        <v>2131.0</v>
      </c>
      <c r="P160" s="34" t="s">
        <v>48</v>
      </c>
      <c r="Q160" s="33" t="n">
        <f>2150</f>
        <v>2150.0</v>
      </c>
      <c r="R160" s="34" t="s">
        <v>51</v>
      </c>
      <c r="S160" s="35" t="n">
        <f>2200.45</f>
        <v>2200.45</v>
      </c>
      <c r="T160" s="32" t="n">
        <f>8020</f>
        <v>8020.0</v>
      </c>
      <c r="U160" s="32" t="n">
        <f>10</f>
        <v>10.0</v>
      </c>
      <c r="V160" s="32" t="n">
        <f>17598945</f>
        <v>1.7598945E7</v>
      </c>
      <c r="W160" s="32" t="n">
        <f>21600</f>
        <v>21600.0</v>
      </c>
      <c r="X160" s="36" t="n">
        <f>19</f>
        <v>19.0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3185</f>
        <v>3185.0</v>
      </c>
      <c r="L161" s="34" t="s">
        <v>48</v>
      </c>
      <c r="M161" s="33" t="n">
        <f>3305</f>
        <v>3305.0</v>
      </c>
      <c r="N161" s="34" t="s">
        <v>51</v>
      </c>
      <c r="O161" s="33" t="n">
        <f>3130</f>
        <v>3130.0</v>
      </c>
      <c r="P161" s="34" t="s">
        <v>239</v>
      </c>
      <c r="Q161" s="33" t="n">
        <f>3275</f>
        <v>3275.0</v>
      </c>
      <c r="R161" s="34" t="s">
        <v>51</v>
      </c>
      <c r="S161" s="35" t="n">
        <f>3209.21</f>
        <v>3209.21</v>
      </c>
      <c r="T161" s="32" t="n">
        <f>206422</f>
        <v>206422.0</v>
      </c>
      <c r="U161" s="32" t="str">
        <f>"－"</f>
        <v>－</v>
      </c>
      <c r="V161" s="32" t="n">
        <f>664148705</f>
        <v>6.64148705E8</v>
      </c>
      <c r="W161" s="32" t="str">
        <f>"－"</f>
        <v>－</v>
      </c>
      <c r="X161" s="36" t="n">
        <f>19</f>
        <v>19.0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3265</f>
        <v>3265.0</v>
      </c>
      <c r="L162" s="34" t="s">
        <v>48</v>
      </c>
      <c r="M162" s="33" t="n">
        <f>3555</f>
        <v>3555.0</v>
      </c>
      <c r="N162" s="34" t="s">
        <v>71</v>
      </c>
      <c r="O162" s="33" t="n">
        <f>3260</f>
        <v>3260.0</v>
      </c>
      <c r="P162" s="34" t="s">
        <v>48</v>
      </c>
      <c r="Q162" s="33" t="n">
        <f>3465</f>
        <v>3465.0</v>
      </c>
      <c r="R162" s="34" t="s">
        <v>51</v>
      </c>
      <c r="S162" s="35" t="n">
        <f>3431.05</f>
        <v>3431.05</v>
      </c>
      <c r="T162" s="32" t="n">
        <f>29449</f>
        <v>29449.0</v>
      </c>
      <c r="U162" s="32" t="str">
        <f>"－"</f>
        <v>－</v>
      </c>
      <c r="V162" s="32" t="n">
        <f>101660970</f>
        <v>1.0166097E8</v>
      </c>
      <c r="W162" s="32" t="str">
        <f>"－"</f>
        <v>－</v>
      </c>
      <c r="X162" s="36" t="n">
        <f>19</f>
        <v>19.0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3850</f>
        <v>3850.0</v>
      </c>
      <c r="L163" s="34" t="s">
        <v>48</v>
      </c>
      <c r="M163" s="33" t="n">
        <f>4083</f>
        <v>4083.0</v>
      </c>
      <c r="N163" s="34" t="s">
        <v>69</v>
      </c>
      <c r="O163" s="33" t="n">
        <f>3811</f>
        <v>3811.0</v>
      </c>
      <c r="P163" s="34" t="s">
        <v>48</v>
      </c>
      <c r="Q163" s="33" t="n">
        <f>3966</f>
        <v>3966.0</v>
      </c>
      <c r="R163" s="34" t="s">
        <v>51</v>
      </c>
      <c r="S163" s="35" t="n">
        <f>3966.11</f>
        <v>3966.11</v>
      </c>
      <c r="T163" s="32" t="n">
        <f>21350</f>
        <v>21350.0</v>
      </c>
      <c r="U163" s="32" t="str">
        <f>"－"</f>
        <v>－</v>
      </c>
      <c r="V163" s="32" t="n">
        <f>85011880</f>
        <v>8.501188E7</v>
      </c>
      <c r="W163" s="32" t="str">
        <f>"－"</f>
        <v>－</v>
      </c>
      <c r="X163" s="36" t="n">
        <f>19</f>
        <v>19.0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3045</f>
        <v>3045.0</v>
      </c>
      <c r="L164" s="34" t="s">
        <v>48</v>
      </c>
      <c r="M164" s="33" t="n">
        <f>3045</f>
        <v>3045.0</v>
      </c>
      <c r="N164" s="34" t="s">
        <v>48</v>
      </c>
      <c r="O164" s="33" t="n">
        <f>2884</f>
        <v>2884.0</v>
      </c>
      <c r="P164" s="34" t="s">
        <v>50</v>
      </c>
      <c r="Q164" s="33" t="n">
        <f>3015</f>
        <v>3015.0</v>
      </c>
      <c r="R164" s="34" t="s">
        <v>51</v>
      </c>
      <c r="S164" s="35" t="n">
        <f>2965.11</f>
        <v>2965.11</v>
      </c>
      <c r="T164" s="32" t="n">
        <f>938440</f>
        <v>938440.0</v>
      </c>
      <c r="U164" s="32" t="n">
        <f>607280</f>
        <v>607280.0</v>
      </c>
      <c r="V164" s="32" t="n">
        <f>2763170777</f>
        <v>2.763170777E9</v>
      </c>
      <c r="W164" s="32" t="n">
        <f>1780585607</f>
        <v>1.780585607E9</v>
      </c>
      <c r="X164" s="36" t="n">
        <f>19</f>
        <v>19.0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440.6</f>
        <v>440.6</v>
      </c>
      <c r="L165" s="34" t="s">
        <v>48</v>
      </c>
      <c r="M165" s="33" t="n">
        <f>464.2</f>
        <v>464.2</v>
      </c>
      <c r="N165" s="34" t="s">
        <v>216</v>
      </c>
      <c r="O165" s="33" t="n">
        <f>426.9</f>
        <v>426.9</v>
      </c>
      <c r="P165" s="34" t="s">
        <v>71</v>
      </c>
      <c r="Q165" s="33" t="n">
        <f>433.1</f>
        <v>433.1</v>
      </c>
      <c r="R165" s="34" t="s">
        <v>51</v>
      </c>
      <c r="S165" s="35" t="n">
        <f>444.8</f>
        <v>444.8</v>
      </c>
      <c r="T165" s="32" t="n">
        <f>19641310</f>
        <v>1.964131E7</v>
      </c>
      <c r="U165" s="32" t="n">
        <f>4538740</f>
        <v>4538740.0</v>
      </c>
      <c r="V165" s="32" t="n">
        <f>8735253903</f>
        <v>8.735253903E9</v>
      </c>
      <c r="W165" s="32" t="n">
        <f>2003349223</f>
        <v>2.003349223E9</v>
      </c>
      <c r="X165" s="36" t="n">
        <f>19</f>
        <v>19.0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2061</f>
        <v>2061.0</v>
      </c>
      <c r="L166" s="34" t="s">
        <v>48</v>
      </c>
      <c r="M166" s="33" t="n">
        <f>2061</f>
        <v>2061.0</v>
      </c>
      <c r="N166" s="34" t="s">
        <v>48</v>
      </c>
      <c r="O166" s="33" t="n">
        <f>1940</f>
        <v>1940.0</v>
      </c>
      <c r="P166" s="34" t="s">
        <v>50</v>
      </c>
      <c r="Q166" s="33" t="n">
        <f>2022</f>
        <v>2022.0</v>
      </c>
      <c r="R166" s="34" t="s">
        <v>51</v>
      </c>
      <c r="S166" s="35" t="n">
        <f>1998.95</f>
        <v>1998.95</v>
      </c>
      <c r="T166" s="32" t="n">
        <f>46754</f>
        <v>46754.0</v>
      </c>
      <c r="U166" s="32" t="str">
        <f>"－"</f>
        <v>－</v>
      </c>
      <c r="V166" s="32" t="n">
        <f>94334154</f>
        <v>9.4334154E7</v>
      </c>
      <c r="W166" s="32" t="str">
        <f>"－"</f>
        <v>－</v>
      </c>
      <c r="X166" s="36" t="n">
        <f>19</f>
        <v>19.0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1233</f>
        <v>1233.0</v>
      </c>
      <c r="L167" s="34" t="s">
        <v>48</v>
      </c>
      <c r="M167" s="33" t="n">
        <f>1264</f>
        <v>1264.0</v>
      </c>
      <c r="N167" s="34" t="s">
        <v>49</v>
      </c>
      <c r="O167" s="33" t="n">
        <f>1176</f>
        <v>1176.0</v>
      </c>
      <c r="P167" s="34" t="s">
        <v>239</v>
      </c>
      <c r="Q167" s="33" t="n">
        <f>1225</f>
        <v>1225.0</v>
      </c>
      <c r="R167" s="34" t="s">
        <v>51</v>
      </c>
      <c r="S167" s="35" t="n">
        <f>1223.16</f>
        <v>1223.16</v>
      </c>
      <c r="T167" s="32" t="n">
        <f>1196981</f>
        <v>1196981.0</v>
      </c>
      <c r="U167" s="32" t="n">
        <f>87647</f>
        <v>87647.0</v>
      </c>
      <c r="V167" s="32" t="n">
        <f>1464239881</f>
        <v>1.464239881E9</v>
      </c>
      <c r="W167" s="32" t="n">
        <f>105747525</f>
        <v>1.05747525E8</v>
      </c>
      <c r="X167" s="36" t="n">
        <f>19</f>
        <v>19.0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274.7</f>
        <v>274.7</v>
      </c>
      <c r="L168" s="34" t="s">
        <v>48</v>
      </c>
      <c r="M168" s="33" t="n">
        <f>277.8</f>
        <v>277.8</v>
      </c>
      <c r="N168" s="34" t="s">
        <v>51</v>
      </c>
      <c r="O168" s="33" t="n">
        <f>266.8</f>
        <v>266.8</v>
      </c>
      <c r="P168" s="34" t="s">
        <v>69</v>
      </c>
      <c r="Q168" s="33" t="n">
        <f>276.4</f>
        <v>276.4</v>
      </c>
      <c r="R168" s="34" t="s">
        <v>51</v>
      </c>
      <c r="S168" s="35" t="n">
        <f>272.97</f>
        <v>272.97</v>
      </c>
      <c r="T168" s="32" t="n">
        <f>2498740</f>
        <v>2498740.0</v>
      </c>
      <c r="U168" s="32" t="n">
        <f>1112230</f>
        <v>1112230.0</v>
      </c>
      <c r="V168" s="32" t="n">
        <f>678278749</f>
        <v>6.78278749E8</v>
      </c>
      <c r="W168" s="32" t="n">
        <f>300563688</f>
        <v>3.00563688E8</v>
      </c>
      <c r="X168" s="36" t="n">
        <f>19</f>
        <v>19.0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297.8</f>
        <v>297.8</v>
      </c>
      <c r="L169" s="34" t="s">
        <v>48</v>
      </c>
      <c r="M169" s="33" t="n">
        <f>298.1</f>
        <v>298.1</v>
      </c>
      <c r="N169" s="34" t="s">
        <v>49</v>
      </c>
      <c r="O169" s="33" t="n">
        <f>290.3</f>
        <v>290.3</v>
      </c>
      <c r="P169" s="34" t="s">
        <v>159</v>
      </c>
      <c r="Q169" s="33" t="n">
        <f>296.5</f>
        <v>296.5</v>
      </c>
      <c r="R169" s="34" t="s">
        <v>51</v>
      </c>
      <c r="S169" s="35" t="n">
        <f>294.74</f>
        <v>294.74</v>
      </c>
      <c r="T169" s="32" t="n">
        <f>802720</f>
        <v>802720.0</v>
      </c>
      <c r="U169" s="32" t="str">
        <f>"－"</f>
        <v>－</v>
      </c>
      <c r="V169" s="32" t="n">
        <f>235729754</f>
        <v>2.35729754E8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524.9</f>
        <v>524.9</v>
      </c>
      <c r="L170" s="34" t="s">
        <v>48</v>
      </c>
      <c r="M170" s="33" t="n">
        <f>535.1</f>
        <v>535.1</v>
      </c>
      <c r="N170" s="34" t="s">
        <v>69</v>
      </c>
      <c r="O170" s="33" t="n">
        <f>511.1</f>
        <v>511.1</v>
      </c>
      <c r="P170" s="34" t="s">
        <v>49</v>
      </c>
      <c r="Q170" s="33" t="n">
        <f>511.2</f>
        <v>511.2</v>
      </c>
      <c r="R170" s="34" t="s">
        <v>51</v>
      </c>
      <c r="S170" s="35" t="n">
        <f>514.21</f>
        <v>514.21</v>
      </c>
      <c r="T170" s="32" t="n">
        <f>1363240</f>
        <v>1363240.0</v>
      </c>
      <c r="U170" s="32" t="n">
        <f>1360000</f>
        <v>1360000.0</v>
      </c>
      <c r="V170" s="32" t="n">
        <f>708942264</f>
        <v>7.08942264E8</v>
      </c>
      <c r="W170" s="32" t="n">
        <f>707260304</f>
        <v>7.07260304E8</v>
      </c>
      <c r="X170" s="36" t="n">
        <f>9</f>
        <v>9.0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500.9</f>
        <v>500.9</v>
      </c>
      <c r="L171" s="34" t="s">
        <v>48</v>
      </c>
      <c r="M171" s="33" t="n">
        <f>520</f>
        <v>520.0</v>
      </c>
      <c r="N171" s="34" t="s">
        <v>226</v>
      </c>
      <c r="O171" s="33" t="n">
        <f>495</f>
        <v>495.0</v>
      </c>
      <c r="P171" s="34" t="s">
        <v>159</v>
      </c>
      <c r="Q171" s="33" t="n">
        <f>507.9</f>
        <v>507.9</v>
      </c>
      <c r="R171" s="34" t="s">
        <v>61</v>
      </c>
      <c r="S171" s="35" t="n">
        <f>505.59</f>
        <v>505.59</v>
      </c>
      <c r="T171" s="32" t="n">
        <f>71030</f>
        <v>71030.0</v>
      </c>
      <c r="U171" s="32" t="str">
        <f>"－"</f>
        <v>－</v>
      </c>
      <c r="V171" s="32" t="n">
        <f>35871311</f>
        <v>3.5871311E7</v>
      </c>
      <c r="W171" s="32" t="str">
        <f>"－"</f>
        <v>－</v>
      </c>
      <c r="X171" s="36" t="n">
        <f>17</f>
        <v>17.0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481.1</f>
        <v>481.1</v>
      </c>
      <c r="L172" s="34" t="s">
        <v>48</v>
      </c>
      <c r="M172" s="33" t="n">
        <f>500.9</f>
        <v>500.9</v>
      </c>
      <c r="N172" s="34" t="s">
        <v>69</v>
      </c>
      <c r="O172" s="33" t="n">
        <f>466.4</f>
        <v>466.4</v>
      </c>
      <c r="P172" s="34" t="s">
        <v>69</v>
      </c>
      <c r="Q172" s="33" t="n">
        <f>485.9</f>
        <v>485.9</v>
      </c>
      <c r="R172" s="34" t="s">
        <v>51</v>
      </c>
      <c r="S172" s="35" t="n">
        <f>481.22</f>
        <v>481.22</v>
      </c>
      <c r="T172" s="32" t="n">
        <f>14940</f>
        <v>14940.0</v>
      </c>
      <c r="U172" s="32" t="n">
        <f>10</f>
        <v>10.0</v>
      </c>
      <c r="V172" s="32" t="n">
        <f>7132751</f>
        <v>7132751.0</v>
      </c>
      <c r="W172" s="32" t="n">
        <f>4790</f>
        <v>4790.0</v>
      </c>
      <c r="X172" s="36" t="n">
        <f>17</f>
        <v>17.0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999</f>
        <v>999.0</v>
      </c>
      <c r="L173" s="34" t="s">
        <v>48</v>
      </c>
      <c r="M173" s="33" t="n">
        <f>1000</f>
        <v>1000.0</v>
      </c>
      <c r="N173" s="34" t="s">
        <v>48</v>
      </c>
      <c r="O173" s="33" t="n">
        <f>940</f>
        <v>940.0</v>
      </c>
      <c r="P173" s="34" t="s">
        <v>239</v>
      </c>
      <c r="Q173" s="33" t="n">
        <f>959</f>
        <v>959.0</v>
      </c>
      <c r="R173" s="34" t="s">
        <v>51</v>
      </c>
      <c r="S173" s="35" t="n">
        <f>964.37</f>
        <v>964.37</v>
      </c>
      <c r="T173" s="32" t="n">
        <f>563323</f>
        <v>563323.0</v>
      </c>
      <c r="U173" s="32" t="n">
        <f>5</f>
        <v>5.0</v>
      </c>
      <c r="V173" s="32" t="n">
        <f>545238217</f>
        <v>5.45238217E8</v>
      </c>
      <c r="W173" s="32" t="n">
        <f>4957</f>
        <v>4957.0</v>
      </c>
      <c r="X173" s="36" t="n">
        <f>19</f>
        <v>19.0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1636</f>
        <v>1636.0</v>
      </c>
      <c r="L174" s="34" t="s">
        <v>48</v>
      </c>
      <c r="M174" s="33" t="n">
        <f>1796</f>
        <v>1796.0</v>
      </c>
      <c r="N174" s="34" t="s">
        <v>103</v>
      </c>
      <c r="O174" s="33" t="n">
        <f>1596</f>
        <v>1596.0</v>
      </c>
      <c r="P174" s="34" t="s">
        <v>239</v>
      </c>
      <c r="Q174" s="33" t="n">
        <f>1663</f>
        <v>1663.0</v>
      </c>
      <c r="R174" s="34" t="s">
        <v>51</v>
      </c>
      <c r="S174" s="35" t="n">
        <f>1684.53</f>
        <v>1684.53</v>
      </c>
      <c r="T174" s="32" t="n">
        <f>3378471</f>
        <v>3378471.0</v>
      </c>
      <c r="U174" s="32" t="n">
        <f>745799</f>
        <v>745799.0</v>
      </c>
      <c r="V174" s="32" t="n">
        <f>5715972435</f>
        <v>5.715972435E9</v>
      </c>
      <c r="W174" s="32" t="n">
        <f>1269988367</f>
        <v>1.269988367E9</v>
      </c>
      <c r="X174" s="36" t="n">
        <f>19</f>
        <v>19.0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590.8</f>
        <v>590.8</v>
      </c>
      <c r="L175" s="34" t="s">
        <v>48</v>
      </c>
      <c r="M175" s="33" t="n">
        <f>593.2</f>
        <v>593.2</v>
      </c>
      <c r="N175" s="34" t="s">
        <v>48</v>
      </c>
      <c r="O175" s="33" t="n">
        <f>558.7</f>
        <v>558.7</v>
      </c>
      <c r="P175" s="34" t="s">
        <v>50</v>
      </c>
      <c r="Q175" s="33" t="n">
        <f>584.9</f>
        <v>584.9</v>
      </c>
      <c r="R175" s="34" t="s">
        <v>51</v>
      </c>
      <c r="S175" s="35" t="n">
        <f>574.07</f>
        <v>574.07</v>
      </c>
      <c r="T175" s="32" t="n">
        <f>1104260</f>
        <v>1104260.0</v>
      </c>
      <c r="U175" s="32" t="n">
        <f>10</f>
        <v>10.0</v>
      </c>
      <c r="V175" s="32" t="n">
        <f>636219572</f>
        <v>6.36219572E8</v>
      </c>
      <c r="W175" s="32" t="n">
        <f>5827</f>
        <v>5827.0</v>
      </c>
      <c r="X175" s="36" t="n">
        <f>19</f>
        <v>19.0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225.1</f>
        <v>225.1</v>
      </c>
      <c r="L176" s="34" t="s">
        <v>48</v>
      </c>
      <c r="M176" s="33" t="n">
        <f>226.7</f>
        <v>226.7</v>
      </c>
      <c r="N176" s="34" t="s">
        <v>99</v>
      </c>
      <c r="O176" s="33" t="n">
        <f>220.7</f>
        <v>220.7</v>
      </c>
      <c r="P176" s="34" t="s">
        <v>51</v>
      </c>
      <c r="Q176" s="33" t="n">
        <f>221.7</f>
        <v>221.7</v>
      </c>
      <c r="R176" s="34" t="s">
        <v>51</v>
      </c>
      <c r="S176" s="35" t="n">
        <f>223.94</f>
        <v>223.94</v>
      </c>
      <c r="T176" s="32" t="n">
        <f>14891780</f>
        <v>1.489178E7</v>
      </c>
      <c r="U176" s="32" t="n">
        <f>14500030</f>
        <v>1.450003E7</v>
      </c>
      <c r="V176" s="32" t="n">
        <f>3292739498</f>
        <v>3.292739498E9</v>
      </c>
      <c r="W176" s="32" t="n">
        <f>3205013729</f>
        <v>3.205013729E9</v>
      </c>
      <c r="X176" s="36" t="n">
        <f>19</f>
        <v>19.0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239.4</f>
        <v>239.4</v>
      </c>
      <c r="L177" s="34" t="s">
        <v>48</v>
      </c>
      <c r="M177" s="33" t="n">
        <f>242.7</f>
        <v>242.7</v>
      </c>
      <c r="N177" s="34" t="s">
        <v>239</v>
      </c>
      <c r="O177" s="33" t="n">
        <f>237.1</f>
        <v>237.1</v>
      </c>
      <c r="P177" s="34" t="s">
        <v>49</v>
      </c>
      <c r="Q177" s="33" t="n">
        <f>240.7</f>
        <v>240.7</v>
      </c>
      <c r="R177" s="34" t="s">
        <v>51</v>
      </c>
      <c r="S177" s="35" t="n">
        <f>239.78</f>
        <v>239.78</v>
      </c>
      <c r="T177" s="32" t="n">
        <f>7845990</f>
        <v>7845990.0</v>
      </c>
      <c r="U177" s="32" t="n">
        <f>1023060</f>
        <v>1023060.0</v>
      </c>
      <c r="V177" s="32" t="n">
        <f>1881139529</f>
        <v>1.881139529E9</v>
      </c>
      <c r="W177" s="32" t="n">
        <f>245870165</f>
        <v>2.45870165E8</v>
      </c>
      <c r="X177" s="36" t="n">
        <f>19</f>
        <v>19.0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248.3</f>
        <v>248.3</v>
      </c>
      <c r="L178" s="34" t="s">
        <v>48</v>
      </c>
      <c r="M178" s="33" t="n">
        <f>253.4</f>
        <v>253.4</v>
      </c>
      <c r="N178" s="34" t="s">
        <v>239</v>
      </c>
      <c r="O178" s="33" t="n">
        <f>245.4</f>
        <v>245.4</v>
      </c>
      <c r="P178" s="34" t="s">
        <v>69</v>
      </c>
      <c r="Q178" s="33" t="n">
        <f>252.7</f>
        <v>252.7</v>
      </c>
      <c r="R178" s="34" t="s">
        <v>51</v>
      </c>
      <c r="S178" s="35" t="n">
        <f>249.85</f>
        <v>249.85</v>
      </c>
      <c r="T178" s="32" t="n">
        <f>7414940</f>
        <v>7414940.0</v>
      </c>
      <c r="U178" s="32" t="n">
        <f>801070</f>
        <v>801070.0</v>
      </c>
      <c r="V178" s="32" t="n">
        <f>1852046471</f>
        <v>1.852046471E9</v>
      </c>
      <c r="W178" s="32" t="n">
        <f>198807446</f>
        <v>1.98807446E8</v>
      </c>
      <c r="X178" s="36" t="n">
        <f>19</f>
        <v>19.0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2093</f>
        <v>2093.0</v>
      </c>
      <c r="L179" s="34" t="s">
        <v>48</v>
      </c>
      <c r="M179" s="33" t="n">
        <f>2109</f>
        <v>2109.0</v>
      </c>
      <c r="N179" s="34" t="s">
        <v>99</v>
      </c>
      <c r="O179" s="33" t="n">
        <f>2064</f>
        <v>2064.0</v>
      </c>
      <c r="P179" s="34" t="s">
        <v>216</v>
      </c>
      <c r="Q179" s="33" t="n">
        <f>2074</f>
        <v>2074.0</v>
      </c>
      <c r="R179" s="34" t="s">
        <v>51</v>
      </c>
      <c r="S179" s="35" t="n">
        <f>2082.05</f>
        <v>2082.05</v>
      </c>
      <c r="T179" s="32" t="n">
        <f>135788</f>
        <v>135788.0</v>
      </c>
      <c r="U179" s="32" t="n">
        <f>4</f>
        <v>4.0</v>
      </c>
      <c r="V179" s="32" t="n">
        <f>283104522</f>
        <v>2.83104522E8</v>
      </c>
      <c r="W179" s="32" t="n">
        <f>8394</f>
        <v>8394.0</v>
      </c>
      <c r="X179" s="36" t="n">
        <f>19</f>
        <v>19.0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1866</f>
        <v>1866.0</v>
      </c>
      <c r="L180" s="34" t="s">
        <v>48</v>
      </c>
      <c r="M180" s="33" t="n">
        <f>1873</f>
        <v>1873.0</v>
      </c>
      <c r="N180" s="34" t="s">
        <v>51</v>
      </c>
      <c r="O180" s="33" t="n">
        <f>1832</f>
        <v>1832.0</v>
      </c>
      <c r="P180" s="34" t="s">
        <v>103</v>
      </c>
      <c r="Q180" s="33" t="n">
        <f>1868</f>
        <v>1868.0</v>
      </c>
      <c r="R180" s="34" t="s">
        <v>51</v>
      </c>
      <c r="S180" s="35" t="n">
        <f>1857.32</f>
        <v>1857.32</v>
      </c>
      <c r="T180" s="32" t="n">
        <f>349759</f>
        <v>349759.0</v>
      </c>
      <c r="U180" s="32" t="n">
        <f>160002</f>
        <v>160002.0</v>
      </c>
      <c r="V180" s="32" t="n">
        <f>648216352</f>
        <v>6.48216352E8</v>
      </c>
      <c r="W180" s="32" t="n">
        <f>296331735</f>
        <v>2.96331735E8</v>
      </c>
      <c r="X180" s="36" t="n">
        <f>19</f>
        <v>19.0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1100</f>
        <v>1100.0</v>
      </c>
      <c r="L181" s="34" t="s">
        <v>48</v>
      </c>
      <c r="M181" s="33" t="n">
        <f>1102</f>
        <v>1102.0</v>
      </c>
      <c r="N181" s="34" t="s">
        <v>48</v>
      </c>
      <c r="O181" s="33" t="n">
        <f>1038</f>
        <v>1038.0</v>
      </c>
      <c r="P181" s="34" t="s">
        <v>50</v>
      </c>
      <c r="Q181" s="33" t="n">
        <f>1093</f>
        <v>1093.0</v>
      </c>
      <c r="R181" s="34" t="s">
        <v>51</v>
      </c>
      <c r="S181" s="35" t="n">
        <f>1074.16</f>
        <v>1074.16</v>
      </c>
      <c r="T181" s="32" t="n">
        <f>2451448</f>
        <v>2451448.0</v>
      </c>
      <c r="U181" s="32" t="n">
        <f>854949</f>
        <v>854949.0</v>
      </c>
      <c r="V181" s="32" t="n">
        <f>2645360676</f>
        <v>2.645360676E9</v>
      </c>
      <c r="W181" s="32" t="n">
        <f>924302215</f>
        <v>9.24302215E8</v>
      </c>
      <c r="X181" s="36" t="n">
        <f>19</f>
        <v>19.0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1143</f>
        <v>1143.0</v>
      </c>
      <c r="L182" s="34" t="s">
        <v>48</v>
      </c>
      <c r="M182" s="33" t="n">
        <f>1167</f>
        <v>1167.0</v>
      </c>
      <c r="N182" s="34" t="s">
        <v>181</v>
      </c>
      <c r="O182" s="33" t="n">
        <f>1106</f>
        <v>1106.0</v>
      </c>
      <c r="P182" s="34" t="s">
        <v>69</v>
      </c>
      <c r="Q182" s="33" t="n">
        <f>1134</f>
        <v>1134.0</v>
      </c>
      <c r="R182" s="34" t="s">
        <v>51</v>
      </c>
      <c r="S182" s="35" t="n">
        <f>1134.26</f>
        <v>1134.26</v>
      </c>
      <c r="T182" s="32" t="n">
        <f>23263</f>
        <v>23263.0</v>
      </c>
      <c r="U182" s="32" t="n">
        <f>10</f>
        <v>10.0</v>
      </c>
      <c r="V182" s="32" t="n">
        <f>26318617</f>
        <v>2.6318617E7</v>
      </c>
      <c r="W182" s="32" t="n">
        <f>10320</f>
        <v>10320.0</v>
      </c>
      <c r="X182" s="36" t="n">
        <f>19</f>
        <v>19.0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1097</f>
        <v>1097.0</v>
      </c>
      <c r="L183" s="34" t="s">
        <v>48</v>
      </c>
      <c r="M183" s="33" t="n">
        <f>1250</f>
        <v>1250.0</v>
      </c>
      <c r="N183" s="34" t="s">
        <v>49</v>
      </c>
      <c r="O183" s="33" t="n">
        <f>1044</f>
        <v>1044.0</v>
      </c>
      <c r="P183" s="34" t="s">
        <v>69</v>
      </c>
      <c r="Q183" s="33" t="n">
        <f>1076</f>
        <v>1076.0</v>
      </c>
      <c r="R183" s="34" t="s">
        <v>51</v>
      </c>
      <c r="S183" s="35" t="n">
        <f>1084.84</f>
        <v>1084.84</v>
      </c>
      <c r="T183" s="32" t="n">
        <f>207604</f>
        <v>207604.0</v>
      </c>
      <c r="U183" s="32" t="str">
        <f>"－"</f>
        <v>－</v>
      </c>
      <c r="V183" s="32" t="n">
        <f>224565001</f>
        <v>2.24565001E8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200.8</f>
        <v>200.8</v>
      </c>
      <c r="L184" s="34" t="s">
        <v>48</v>
      </c>
      <c r="M184" s="33" t="n">
        <f>200.8</f>
        <v>200.8</v>
      </c>
      <c r="N184" s="34" t="s">
        <v>48</v>
      </c>
      <c r="O184" s="33" t="n">
        <f>187.5</f>
        <v>187.5</v>
      </c>
      <c r="P184" s="34" t="s">
        <v>239</v>
      </c>
      <c r="Q184" s="33" t="n">
        <f>191.7</f>
        <v>191.7</v>
      </c>
      <c r="R184" s="34" t="s">
        <v>51</v>
      </c>
      <c r="S184" s="35" t="n">
        <f>192.71</f>
        <v>192.71</v>
      </c>
      <c r="T184" s="32" t="n">
        <f>4697720</f>
        <v>4697720.0</v>
      </c>
      <c r="U184" s="32" t="n">
        <f>430</f>
        <v>430.0</v>
      </c>
      <c r="V184" s="32" t="n">
        <f>905384617</f>
        <v>9.05384617E8</v>
      </c>
      <c r="W184" s="32" t="n">
        <f>81735</f>
        <v>81735.0</v>
      </c>
      <c r="X184" s="36" t="n">
        <f>19</f>
        <v>19.0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414</v>
      </c>
      <c r="J185" s="32" t="n">
        <v>1.0</v>
      </c>
      <c r="K185" s="33" t="n">
        <f>5561</f>
        <v>5561.0</v>
      </c>
      <c r="L185" s="34" t="s">
        <v>48</v>
      </c>
      <c r="M185" s="33" t="n">
        <f>6056</f>
        <v>6056.0</v>
      </c>
      <c r="N185" s="34" t="s">
        <v>51</v>
      </c>
      <c r="O185" s="33" t="n">
        <f>5049</f>
        <v>5049.0</v>
      </c>
      <c r="P185" s="34" t="s">
        <v>69</v>
      </c>
      <c r="Q185" s="33" t="n">
        <f>5992</f>
        <v>5992.0</v>
      </c>
      <c r="R185" s="34" t="s">
        <v>51</v>
      </c>
      <c r="S185" s="35" t="n">
        <f>5499.21</f>
        <v>5499.21</v>
      </c>
      <c r="T185" s="32" t="n">
        <f>55373</f>
        <v>55373.0</v>
      </c>
      <c r="U185" s="32" t="str">
        <f>"－"</f>
        <v>－</v>
      </c>
      <c r="V185" s="32" t="n">
        <f>312012565</f>
        <v>3.12012565E8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414</v>
      </c>
      <c r="J186" s="32" t="n">
        <v>1.0</v>
      </c>
      <c r="K186" s="33" t="n">
        <f>8380</f>
        <v>8380.0</v>
      </c>
      <c r="L186" s="34" t="s">
        <v>48</v>
      </c>
      <c r="M186" s="33" t="n">
        <f>8959</f>
        <v>8959.0</v>
      </c>
      <c r="N186" s="34" t="s">
        <v>99</v>
      </c>
      <c r="O186" s="33" t="n">
        <f>7917</f>
        <v>7917.0</v>
      </c>
      <c r="P186" s="34" t="s">
        <v>51</v>
      </c>
      <c r="Q186" s="33" t="n">
        <f>8048</f>
        <v>8048.0</v>
      </c>
      <c r="R186" s="34" t="s">
        <v>51</v>
      </c>
      <c r="S186" s="35" t="n">
        <f>8374.58</f>
        <v>8374.58</v>
      </c>
      <c r="T186" s="32" t="n">
        <f>10604</f>
        <v>10604.0</v>
      </c>
      <c r="U186" s="32" t="str">
        <f>"－"</f>
        <v>－</v>
      </c>
      <c r="V186" s="32" t="n">
        <f>88593534</f>
        <v>8.8593534E7</v>
      </c>
      <c r="W186" s="32" t="str">
        <f>"－"</f>
        <v>－</v>
      </c>
      <c r="X186" s="36" t="n">
        <f>19</f>
        <v>19.0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414</v>
      </c>
      <c r="J187" s="32" t="n">
        <v>1.0</v>
      </c>
      <c r="K187" s="33" t="n">
        <f>9990</f>
        <v>9990.0</v>
      </c>
      <c r="L187" s="34" t="s">
        <v>48</v>
      </c>
      <c r="M187" s="33" t="n">
        <f>10870</f>
        <v>10870.0</v>
      </c>
      <c r="N187" s="34" t="s">
        <v>181</v>
      </c>
      <c r="O187" s="33" t="n">
        <f>9809</f>
        <v>9809.0</v>
      </c>
      <c r="P187" s="34" t="s">
        <v>48</v>
      </c>
      <c r="Q187" s="33" t="n">
        <f>10460</f>
        <v>10460.0</v>
      </c>
      <c r="R187" s="34" t="s">
        <v>51</v>
      </c>
      <c r="S187" s="35" t="n">
        <f>10524.47</f>
        <v>10524.47</v>
      </c>
      <c r="T187" s="32" t="n">
        <f>5996</f>
        <v>5996.0</v>
      </c>
      <c r="U187" s="32" t="n">
        <f>1</f>
        <v>1.0</v>
      </c>
      <c r="V187" s="32" t="n">
        <f>62329910</f>
        <v>6.232991E7</v>
      </c>
      <c r="W187" s="32" t="n">
        <f>10415</f>
        <v>10415.0</v>
      </c>
      <c r="X187" s="36" t="n">
        <f>19</f>
        <v>19.0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414</v>
      </c>
      <c r="J188" s="32" t="n">
        <v>1.0</v>
      </c>
      <c r="K188" s="33" t="n">
        <f>8291</f>
        <v>8291.0</v>
      </c>
      <c r="L188" s="34" t="s">
        <v>48</v>
      </c>
      <c r="M188" s="33" t="n">
        <f>8291</f>
        <v>8291.0</v>
      </c>
      <c r="N188" s="34" t="s">
        <v>48</v>
      </c>
      <c r="O188" s="33" t="n">
        <f>7819</f>
        <v>7819.0</v>
      </c>
      <c r="P188" s="34" t="s">
        <v>239</v>
      </c>
      <c r="Q188" s="33" t="n">
        <f>7881</f>
        <v>7881.0</v>
      </c>
      <c r="R188" s="34" t="s">
        <v>51</v>
      </c>
      <c r="S188" s="35" t="n">
        <f>7988.89</f>
        <v>7988.89</v>
      </c>
      <c r="T188" s="32" t="n">
        <f>2040</f>
        <v>2040.0</v>
      </c>
      <c r="U188" s="32" t="str">
        <f>"－"</f>
        <v>－</v>
      </c>
      <c r="V188" s="32" t="n">
        <f>16319010</f>
        <v>1.631901E7</v>
      </c>
      <c r="W188" s="32" t="str">
        <f>"－"</f>
        <v>－</v>
      </c>
      <c r="X188" s="36" t="n">
        <f>19</f>
        <v>19.0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414</v>
      </c>
      <c r="J189" s="32" t="n">
        <v>1.0</v>
      </c>
      <c r="K189" s="33" t="n">
        <f>71350</f>
        <v>71350.0</v>
      </c>
      <c r="L189" s="34" t="s">
        <v>48</v>
      </c>
      <c r="M189" s="33" t="n">
        <f>77190</f>
        <v>77190.0</v>
      </c>
      <c r="N189" s="34" t="s">
        <v>181</v>
      </c>
      <c r="O189" s="33" t="n">
        <f>71170</f>
        <v>71170.0</v>
      </c>
      <c r="P189" s="34" t="s">
        <v>48</v>
      </c>
      <c r="Q189" s="33" t="n">
        <f>77140</f>
        <v>77140.0</v>
      </c>
      <c r="R189" s="34" t="s">
        <v>51</v>
      </c>
      <c r="S189" s="35" t="n">
        <f>74429.47</f>
        <v>74429.47</v>
      </c>
      <c r="T189" s="32" t="n">
        <f>62168</f>
        <v>62168.0</v>
      </c>
      <c r="U189" s="32" t="n">
        <f>2</f>
        <v>2.0</v>
      </c>
      <c r="V189" s="32" t="n">
        <f>4612740020</f>
        <v>4.61274002E9</v>
      </c>
      <c r="W189" s="32" t="n">
        <f>152450</f>
        <v>152450.0</v>
      </c>
      <c r="X189" s="36" t="n">
        <f>19</f>
        <v>19.0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414</v>
      </c>
      <c r="J190" s="32" t="n">
        <v>1.0</v>
      </c>
      <c r="K190" s="33" t="n">
        <f>2420</f>
        <v>2420.0</v>
      </c>
      <c r="L190" s="34" t="s">
        <v>48</v>
      </c>
      <c r="M190" s="33" t="n">
        <f>2441</f>
        <v>2441.0</v>
      </c>
      <c r="N190" s="34" t="s">
        <v>48</v>
      </c>
      <c r="O190" s="33" t="n">
        <f>2305</f>
        <v>2305.0</v>
      </c>
      <c r="P190" s="34" t="s">
        <v>51</v>
      </c>
      <c r="Q190" s="33" t="n">
        <f>2310</f>
        <v>2310.0</v>
      </c>
      <c r="R190" s="34" t="s">
        <v>51</v>
      </c>
      <c r="S190" s="35" t="n">
        <f>2379.53</f>
        <v>2379.53</v>
      </c>
      <c r="T190" s="32" t="n">
        <f>14856</f>
        <v>14856.0</v>
      </c>
      <c r="U190" s="32" t="n">
        <f>1</f>
        <v>1.0</v>
      </c>
      <c r="V190" s="32" t="n">
        <f>35400415</f>
        <v>3.5400415E7</v>
      </c>
      <c r="W190" s="32" t="n">
        <f>2433</f>
        <v>2433.0</v>
      </c>
      <c r="X190" s="36" t="n">
        <f>19</f>
        <v>19.0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414</v>
      </c>
      <c r="J191" s="32" t="n">
        <v>1.0</v>
      </c>
      <c r="K191" s="33" t="n">
        <f>2058</f>
        <v>2058.0</v>
      </c>
      <c r="L191" s="34" t="s">
        <v>48</v>
      </c>
      <c r="M191" s="33" t="n">
        <f>2205</f>
        <v>2205.0</v>
      </c>
      <c r="N191" s="34" t="s">
        <v>216</v>
      </c>
      <c r="O191" s="33" t="n">
        <f>1932</f>
        <v>1932.0</v>
      </c>
      <c r="P191" s="34" t="s">
        <v>71</v>
      </c>
      <c r="Q191" s="33" t="n">
        <f>2068</f>
        <v>2068.0</v>
      </c>
      <c r="R191" s="34" t="s">
        <v>51</v>
      </c>
      <c r="S191" s="35" t="n">
        <f>2071.74</f>
        <v>2071.74</v>
      </c>
      <c r="T191" s="32" t="n">
        <f>3953067</f>
        <v>3953067.0</v>
      </c>
      <c r="U191" s="32" t="n">
        <f>350034</f>
        <v>350034.0</v>
      </c>
      <c r="V191" s="32" t="n">
        <f>8257395648</f>
        <v>8.257395648E9</v>
      </c>
      <c r="W191" s="32" t="n">
        <f>760071512</f>
        <v>7.60071512E8</v>
      </c>
      <c r="X191" s="36" t="n">
        <f>19</f>
        <v>19.0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414</v>
      </c>
      <c r="J192" s="32" t="n">
        <v>1.0</v>
      </c>
      <c r="K192" s="33" t="n">
        <f>924</f>
        <v>924.0</v>
      </c>
      <c r="L192" s="34" t="s">
        <v>48</v>
      </c>
      <c r="M192" s="33" t="n">
        <f>924</f>
        <v>924.0</v>
      </c>
      <c r="N192" s="34" t="s">
        <v>48</v>
      </c>
      <c r="O192" s="33" t="n">
        <f>870</f>
        <v>870.0</v>
      </c>
      <c r="P192" s="34" t="s">
        <v>69</v>
      </c>
      <c r="Q192" s="33" t="n">
        <f>897</f>
        <v>897.0</v>
      </c>
      <c r="R192" s="34" t="s">
        <v>51</v>
      </c>
      <c r="S192" s="35" t="n">
        <f>896.11</f>
        <v>896.11</v>
      </c>
      <c r="T192" s="32" t="n">
        <f>1767171</f>
        <v>1767171.0</v>
      </c>
      <c r="U192" s="32" t="n">
        <f>299</f>
        <v>299.0</v>
      </c>
      <c r="V192" s="32" t="n">
        <f>1582383320</f>
        <v>1.58238332E9</v>
      </c>
      <c r="W192" s="32" t="n">
        <f>257589</f>
        <v>257589.0</v>
      </c>
      <c r="X192" s="36" t="n">
        <f>19</f>
        <v>19.0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414</v>
      </c>
      <c r="J193" s="32" t="n">
        <v>1.0</v>
      </c>
      <c r="K193" s="33" t="n">
        <f>31220</f>
        <v>31220.0</v>
      </c>
      <c r="L193" s="34" t="s">
        <v>48</v>
      </c>
      <c r="M193" s="33" t="n">
        <f>33410</f>
        <v>33410.0</v>
      </c>
      <c r="N193" s="34" t="s">
        <v>51</v>
      </c>
      <c r="O193" s="33" t="n">
        <f>30060</f>
        <v>30060.0</v>
      </c>
      <c r="P193" s="34" t="s">
        <v>69</v>
      </c>
      <c r="Q193" s="33" t="n">
        <f>33410</f>
        <v>33410.0</v>
      </c>
      <c r="R193" s="34" t="s">
        <v>51</v>
      </c>
      <c r="S193" s="35" t="n">
        <f>31739.47</f>
        <v>31739.47</v>
      </c>
      <c r="T193" s="32" t="n">
        <f>65019</f>
        <v>65019.0</v>
      </c>
      <c r="U193" s="32" t="n">
        <f>311</f>
        <v>311.0</v>
      </c>
      <c r="V193" s="32" t="n">
        <f>2079359390</f>
        <v>2.07935939E9</v>
      </c>
      <c r="W193" s="32" t="n">
        <f>9766170</f>
        <v>9766170.0</v>
      </c>
      <c r="X193" s="36" t="n">
        <f>19</f>
        <v>19.0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414</v>
      </c>
      <c r="J194" s="32" t="n">
        <v>1.0</v>
      </c>
      <c r="K194" s="33" t="n">
        <f>2387</f>
        <v>2387.0</v>
      </c>
      <c r="L194" s="34" t="s">
        <v>48</v>
      </c>
      <c r="M194" s="33" t="n">
        <f>2424</f>
        <v>2424.0</v>
      </c>
      <c r="N194" s="34" t="s">
        <v>69</v>
      </c>
      <c r="O194" s="33" t="n">
        <f>2300</f>
        <v>2300.0</v>
      </c>
      <c r="P194" s="34" t="s">
        <v>239</v>
      </c>
      <c r="Q194" s="33" t="n">
        <f>2307</f>
        <v>2307.0</v>
      </c>
      <c r="R194" s="34" t="s">
        <v>51</v>
      </c>
      <c r="S194" s="35" t="n">
        <f>2358.21</f>
        <v>2358.21</v>
      </c>
      <c r="T194" s="32" t="n">
        <f>141762</f>
        <v>141762.0</v>
      </c>
      <c r="U194" s="32" t="n">
        <f>2</f>
        <v>2.0</v>
      </c>
      <c r="V194" s="32" t="n">
        <f>334084677</f>
        <v>3.34084677E8</v>
      </c>
      <c r="W194" s="32" t="n">
        <f>4714</f>
        <v>4714.0</v>
      </c>
      <c r="X194" s="36" t="n">
        <f>19</f>
        <v>19.0</v>
      </c>
    </row>
    <row r="195">
      <c r="A195" s="27" t="s">
        <v>42</v>
      </c>
      <c r="B195" s="27" t="s">
        <v>628</v>
      </c>
      <c r="C195" s="27" t="s">
        <v>629</v>
      </c>
      <c r="D195" s="27" t="s">
        <v>630</v>
      </c>
      <c r="E195" s="28" t="s">
        <v>46</v>
      </c>
      <c r="F195" s="29" t="s">
        <v>46</v>
      </c>
      <c r="G195" s="30" t="s">
        <v>46</v>
      </c>
      <c r="H195" s="31"/>
      <c r="I195" s="31" t="s">
        <v>414</v>
      </c>
      <c r="J195" s="32" t="n">
        <v>1.0</v>
      </c>
      <c r="K195" s="33" t="n">
        <f>6839</f>
        <v>6839.0</v>
      </c>
      <c r="L195" s="34" t="s">
        <v>48</v>
      </c>
      <c r="M195" s="33" t="n">
        <f>7006</f>
        <v>7006.0</v>
      </c>
      <c r="N195" s="34" t="s">
        <v>61</v>
      </c>
      <c r="O195" s="33" t="n">
        <f>6510</f>
        <v>6510.0</v>
      </c>
      <c r="P195" s="34" t="s">
        <v>50</v>
      </c>
      <c r="Q195" s="33" t="n">
        <f>6887</f>
        <v>6887.0</v>
      </c>
      <c r="R195" s="34" t="s">
        <v>51</v>
      </c>
      <c r="S195" s="35" t="n">
        <f>6744.32</f>
        <v>6744.32</v>
      </c>
      <c r="T195" s="32" t="n">
        <f>20471</f>
        <v>20471.0</v>
      </c>
      <c r="U195" s="32" t="n">
        <f>12</f>
        <v>12.0</v>
      </c>
      <c r="V195" s="32" t="n">
        <f>140186318</f>
        <v>1.40186318E8</v>
      </c>
      <c r="W195" s="32" t="n">
        <f>79714</f>
        <v>79714.0</v>
      </c>
      <c r="X195" s="36" t="n">
        <f>19</f>
        <v>19.0</v>
      </c>
    </row>
    <row r="196">
      <c r="A196" s="27" t="s">
        <v>42</v>
      </c>
      <c r="B196" s="27" t="s">
        <v>631</v>
      </c>
      <c r="C196" s="27" t="s">
        <v>632</v>
      </c>
      <c r="D196" s="27" t="s">
        <v>633</v>
      </c>
      <c r="E196" s="28" t="s">
        <v>46</v>
      </c>
      <c r="F196" s="29" t="s">
        <v>46</v>
      </c>
      <c r="G196" s="30" t="s">
        <v>46</v>
      </c>
      <c r="H196" s="31"/>
      <c r="I196" s="31" t="s">
        <v>414</v>
      </c>
      <c r="J196" s="32" t="n">
        <v>1.0</v>
      </c>
      <c r="K196" s="33" t="n">
        <f>21325</f>
        <v>21325.0</v>
      </c>
      <c r="L196" s="34" t="s">
        <v>48</v>
      </c>
      <c r="M196" s="33" t="n">
        <f>21500</f>
        <v>21500.0</v>
      </c>
      <c r="N196" s="34" t="s">
        <v>634</v>
      </c>
      <c r="O196" s="33" t="n">
        <f>20505</f>
        <v>20505.0</v>
      </c>
      <c r="P196" s="34" t="s">
        <v>50</v>
      </c>
      <c r="Q196" s="33" t="n">
        <f>20655</f>
        <v>20655.0</v>
      </c>
      <c r="R196" s="34" t="s">
        <v>51</v>
      </c>
      <c r="S196" s="35" t="n">
        <f>20942.11</f>
        <v>20942.11</v>
      </c>
      <c r="T196" s="32" t="n">
        <f>412</f>
        <v>412.0</v>
      </c>
      <c r="U196" s="32" t="str">
        <f>"－"</f>
        <v>－</v>
      </c>
      <c r="V196" s="32" t="n">
        <f>8691025</f>
        <v>8691025.0</v>
      </c>
      <c r="W196" s="32" t="str">
        <f>"－"</f>
        <v>－</v>
      </c>
      <c r="X196" s="36" t="n">
        <f>19</f>
        <v>19.0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414</v>
      </c>
      <c r="J197" s="32" t="n">
        <v>1.0</v>
      </c>
      <c r="K197" s="33" t="n">
        <f>30520</f>
        <v>30520.0</v>
      </c>
      <c r="L197" s="34" t="s">
        <v>48</v>
      </c>
      <c r="M197" s="33" t="n">
        <f>30910</f>
        <v>30910.0</v>
      </c>
      <c r="N197" s="34" t="s">
        <v>239</v>
      </c>
      <c r="O197" s="33" t="n">
        <f>29855</f>
        <v>29855.0</v>
      </c>
      <c r="P197" s="34" t="s">
        <v>69</v>
      </c>
      <c r="Q197" s="33" t="n">
        <f>30750</f>
        <v>30750.0</v>
      </c>
      <c r="R197" s="34" t="s">
        <v>51</v>
      </c>
      <c r="S197" s="35" t="n">
        <f>30366.32</f>
        <v>30366.32</v>
      </c>
      <c r="T197" s="32" t="n">
        <f>15791</f>
        <v>15791.0</v>
      </c>
      <c r="U197" s="32" t="n">
        <f>1</f>
        <v>1.0</v>
      </c>
      <c r="V197" s="32" t="n">
        <f>480222205</f>
        <v>4.80222205E8</v>
      </c>
      <c r="W197" s="32" t="n">
        <f>30430</f>
        <v>30430.0</v>
      </c>
      <c r="X197" s="36" t="n">
        <f>19</f>
        <v>19.0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414</v>
      </c>
      <c r="J198" s="32" t="n">
        <v>1.0</v>
      </c>
      <c r="K198" s="33" t="n">
        <f>17015</f>
        <v>17015.0</v>
      </c>
      <c r="L198" s="34" t="s">
        <v>48</v>
      </c>
      <c r="M198" s="33" t="n">
        <f>17235</f>
        <v>17235.0</v>
      </c>
      <c r="N198" s="34" t="s">
        <v>49</v>
      </c>
      <c r="O198" s="33" t="n">
        <f>16310</f>
        <v>16310.0</v>
      </c>
      <c r="P198" s="34" t="s">
        <v>51</v>
      </c>
      <c r="Q198" s="33" t="n">
        <f>16310</f>
        <v>16310.0</v>
      </c>
      <c r="R198" s="34" t="s">
        <v>51</v>
      </c>
      <c r="S198" s="35" t="n">
        <f>16595.83</f>
        <v>16595.83</v>
      </c>
      <c r="T198" s="32" t="n">
        <f>162</f>
        <v>162.0</v>
      </c>
      <c r="U198" s="32" t="str">
        <f>"－"</f>
        <v>－</v>
      </c>
      <c r="V198" s="32" t="n">
        <f>2712470</f>
        <v>2712470.0</v>
      </c>
      <c r="W198" s="32" t="str">
        <f>"－"</f>
        <v>－</v>
      </c>
      <c r="X198" s="36" t="n">
        <f>12</f>
        <v>12.0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414</v>
      </c>
      <c r="J199" s="32" t="n">
        <v>1.0</v>
      </c>
      <c r="K199" s="33" t="n">
        <f>31220</f>
        <v>31220.0</v>
      </c>
      <c r="L199" s="34" t="s">
        <v>48</v>
      </c>
      <c r="M199" s="33" t="n">
        <f>31520</f>
        <v>31520.0</v>
      </c>
      <c r="N199" s="34" t="s">
        <v>48</v>
      </c>
      <c r="O199" s="33" t="n">
        <f>28255</f>
        <v>28255.0</v>
      </c>
      <c r="P199" s="34" t="s">
        <v>239</v>
      </c>
      <c r="Q199" s="33" t="n">
        <f>29420</f>
        <v>29420.0</v>
      </c>
      <c r="R199" s="34" t="s">
        <v>51</v>
      </c>
      <c r="S199" s="35" t="n">
        <f>29486.32</f>
        <v>29486.32</v>
      </c>
      <c r="T199" s="32" t="n">
        <f>47346</f>
        <v>47346.0</v>
      </c>
      <c r="U199" s="32" t="n">
        <f>95</f>
        <v>95.0</v>
      </c>
      <c r="V199" s="32" t="n">
        <f>1400059620</f>
        <v>1.40005962E9</v>
      </c>
      <c r="W199" s="32" t="n">
        <f>2919060</f>
        <v>2919060.0</v>
      </c>
      <c r="X199" s="36" t="n">
        <f>19</f>
        <v>19.0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414</v>
      </c>
      <c r="J200" s="32" t="n">
        <v>1.0</v>
      </c>
      <c r="K200" s="33" t="n">
        <f>3750</f>
        <v>3750.0</v>
      </c>
      <c r="L200" s="34" t="s">
        <v>48</v>
      </c>
      <c r="M200" s="33" t="n">
        <f>3860</f>
        <v>3860.0</v>
      </c>
      <c r="N200" s="34" t="s">
        <v>239</v>
      </c>
      <c r="O200" s="33" t="n">
        <f>3670</f>
        <v>3670.0</v>
      </c>
      <c r="P200" s="34" t="s">
        <v>51</v>
      </c>
      <c r="Q200" s="33" t="n">
        <f>3670</f>
        <v>3670.0</v>
      </c>
      <c r="R200" s="34" t="s">
        <v>51</v>
      </c>
      <c r="S200" s="35" t="n">
        <f>3770.79</f>
        <v>3770.79</v>
      </c>
      <c r="T200" s="32" t="n">
        <f>5966</f>
        <v>5966.0</v>
      </c>
      <c r="U200" s="32" t="str">
        <f>"－"</f>
        <v>－</v>
      </c>
      <c r="V200" s="32" t="n">
        <f>22556015</f>
        <v>2.2556015E7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414</v>
      </c>
      <c r="J201" s="32" t="n">
        <v>1.0</v>
      </c>
      <c r="K201" s="33" t="n">
        <f>32780</f>
        <v>32780.0</v>
      </c>
      <c r="L201" s="34" t="s">
        <v>48</v>
      </c>
      <c r="M201" s="33" t="n">
        <f>32900</f>
        <v>32900.0</v>
      </c>
      <c r="N201" s="34" t="s">
        <v>226</v>
      </c>
      <c r="O201" s="33" t="n">
        <f>31210</f>
        <v>31210.0</v>
      </c>
      <c r="P201" s="34" t="s">
        <v>50</v>
      </c>
      <c r="Q201" s="33" t="n">
        <f>32620</f>
        <v>32620.0</v>
      </c>
      <c r="R201" s="34" t="s">
        <v>51</v>
      </c>
      <c r="S201" s="35" t="n">
        <f>32227.33</f>
        <v>32227.33</v>
      </c>
      <c r="T201" s="32" t="n">
        <f>3451</f>
        <v>3451.0</v>
      </c>
      <c r="U201" s="32" t="n">
        <f>1</f>
        <v>1.0</v>
      </c>
      <c r="V201" s="32" t="n">
        <f>111265110</f>
        <v>1.1126511E8</v>
      </c>
      <c r="W201" s="32" t="n">
        <f>32260</f>
        <v>32260.0</v>
      </c>
      <c r="X201" s="36" t="n">
        <f>15</f>
        <v>15.0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414</v>
      </c>
      <c r="J202" s="32" t="n">
        <v>1.0</v>
      </c>
      <c r="K202" s="33" t="n">
        <f>20295</f>
        <v>20295.0</v>
      </c>
      <c r="L202" s="34" t="s">
        <v>226</v>
      </c>
      <c r="M202" s="33" t="n">
        <f>20295</f>
        <v>20295.0</v>
      </c>
      <c r="N202" s="34" t="s">
        <v>226</v>
      </c>
      <c r="O202" s="33" t="n">
        <f>19420</f>
        <v>19420.0</v>
      </c>
      <c r="P202" s="34" t="s">
        <v>216</v>
      </c>
      <c r="Q202" s="33" t="n">
        <f>19950</f>
        <v>19950.0</v>
      </c>
      <c r="R202" s="34" t="s">
        <v>71</v>
      </c>
      <c r="S202" s="35" t="n">
        <f>19931.11</f>
        <v>19931.11</v>
      </c>
      <c r="T202" s="32" t="n">
        <f>150</f>
        <v>150.0</v>
      </c>
      <c r="U202" s="32" t="str">
        <f>"－"</f>
        <v>－</v>
      </c>
      <c r="V202" s="32" t="n">
        <f>2958105</f>
        <v>2958105.0</v>
      </c>
      <c r="W202" s="32" t="str">
        <f>"－"</f>
        <v>－</v>
      </c>
      <c r="X202" s="36" t="n">
        <f>9</f>
        <v>9.0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414</v>
      </c>
      <c r="J203" s="32" t="n">
        <v>1.0</v>
      </c>
      <c r="K203" s="33" t="n">
        <f>37490</f>
        <v>37490.0</v>
      </c>
      <c r="L203" s="34" t="s">
        <v>48</v>
      </c>
      <c r="M203" s="33" t="n">
        <f>38170</f>
        <v>38170.0</v>
      </c>
      <c r="N203" s="34" t="s">
        <v>49</v>
      </c>
      <c r="O203" s="33" t="n">
        <f>35510</f>
        <v>35510.0</v>
      </c>
      <c r="P203" s="34" t="s">
        <v>50</v>
      </c>
      <c r="Q203" s="33" t="n">
        <f>36780</f>
        <v>36780.0</v>
      </c>
      <c r="R203" s="34" t="s">
        <v>51</v>
      </c>
      <c r="S203" s="35" t="n">
        <f>36740.91</f>
        <v>36740.91</v>
      </c>
      <c r="T203" s="32" t="n">
        <f>1728</f>
        <v>1728.0</v>
      </c>
      <c r="U203" s="32" t="n">
        <f>2</f>
        <v>2.0</v>
      </c>
      <c r="V203" s="32" t="n">
        <f>62083290</f>
        <v>6.208329E7</v>
      </c>
      <c r="W203" s="32" t="n">
        <f>74820</f>
        <v>74820.0</v>
      </c>
      <c r="X203" s="36" t="n">
        <f>11</f>
        <v>11.0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414</v>
      </c>
      <c r="J204" s="32" t="n">
        <v>1.0</v>
      </c>
      <c r="K204" s="33" t="n">
        <f>20060</f>
        <v>20060.0</v>
      </c>
      <c r="L204" s="34" t="s">
        <v>48</v>
      </c>
      <c r="M204" s="33" t="n">
        <f>20580</f>
        <v>20580.0</v>
      </c>
      <c r="N204" s="34" t="s">
        <v>239</v>
      </c>
      <c r="O204" s="33" t="n">
        <f>19315</f>
        <v>19315.0</v>
      </c>
      <c r="P204" s="34" t="s">
        <v>116</v>
      </c>
      <c r="Q204" s="33" t="n">
        <f>20340</f>
        <v>20340.0</v>
      </c>
      <c r="R204" s="34" t="s">
        <v>61</v>
      </c>
      <c r="S204" s="35" t="n">
        <f>19965</f>
        <v>19965.0</v>
      </c>
      <c r="T204" s="32" t="n">
        <f>7428</f>
        <v>7428.0</v>
      </c>
      <c r="U204" s="32" t="str">
        <f>"－"</f>
        <v>－</v>
      </c>
      <c r="V204" s="32" t="n">
        <f>149602130</f>
        <v>1.4960213E8</v>
      </c>
      <c r="W204" s="32" t="str">
        <f>"－"</f>
        <v>－</v>
      </c>
      <c r="X204" s="36" t="n">
        <f>8</f>
        <v>8.0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414</v>
      </c>
      <c r="J205" s="32" t="n">
        <v>1.0</v>
      </c>
      <c r="K205" s="33" t="n">
        <f>19965</f>
        <v>19965.0</v>
      </c>
      <c r="L205" s="34" t="s">
        <v>48</v>
      </c>
      <c r="M205" s="33" t="n">
        <f>19965</f>
        <v>19965.0</v>
      </c>
      <c r="N205" s="34" t="s">
        <v>48</v>
      </c>
      <c r="O205" s="33" t="n">
        <f>19045</f>
        <v>19045.0</v>
      </c>
      <c r="P205" s="34" t="s">
        <v>50</v>
      </c>
      <c r="Q205" s="33" t="n">
        <f>19800</f>
        <v>19800.0</v>
      </c>
      <c r="R205" s="34" t="s">
        <v>51</v>
      </c>
      <c r="S205" s="35" t="n">
        <f>19462.67</f>
        <v>19462.67</v>
      </c>
      <c r="T205" s="32" t="n">
        <f>2185</f>
        <v>2185.0</v>
      </c>
      <c r="U205" s="32" t="n">
        <f>1750</f>
        <v>1750.0</v>
      </c>
      <c r="V205" s="32" t="n">
        <f>42643410</f>
        <v>4.264341E7</v>
      </c>
      <c r="W205" s="32" t="n">
        <f>34095250</f>
        <v>3.409525E7</v>
      </c>
      <c r="X205" s="36" t="n">
        <f>15</f>
        <v>15.0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414</v>
      </c>
      <c r="J206" s="32" t="n">
        <v>1.0</v>
      </c>
      <c r="K206" s="33" t="n">
        <f>23945</f>
        <v>23945.0</v>
      </c>
      <c r="L206" s="34" t="s">
        <v>48</v>
      </c>
      <c r="M206" s="33" t="n">
        <f>23945</f>
        <v>23945.0</v>
      </c>
      <c r="N206" s="34" t="s">
        <v>48</v>
      </c>
      <c r="O206" s="33" t="n">
        <f>22625</f>
        <v>22625.0</v>
      </c>
      <c r="P206" s="34" t="s">
        <v>50</v>
      </c>
      <c r="Q206" s="33" t="n">
        <f>23355</f>
        <v>23355.0</v>
      </c>
      <c r="R206" s="34" t="s">
        <v>181</v>
      </c>
      <c r="S206" s="35" t="n">
        <f>23272.86</f>
        <v>23272.86</v>
      </c>
      <c r="T206" s="32" t="n">
        <f>45</f>
        <v>45.0</v>
      </c>
      <c r="U206" s="32" t="str">
        <f>"－"</f>
        <v>－</v>
      </c>
      <c r="V206" s="32" t="n">
        <f>1051610</f>
        <v>1051610.0</v>
      </c>
      <c r="W206" s="32" t="str">
        <f>"－"</f>
        <v>－</v>
      </c>
      <c r="X206" s="36" t="n">
        <f>7</f>
        <v>7.0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414</v>
      </c>
      <c r="J207" s="32" t="n">
        <v>1.0</v>
      </c>
      <c r="K207" s="33" t="n">
        <f>17930</f>
        <v>17930.0</v>
      </c>
      <c r="L207" s="34" t="s">
        <v>99</v>
      </c>
      <c r="M207" s="33" t="n">
        <f>18105</f>
        <v>18105.0</v>
      </c>
      <c r="N207" s="34" t="s">
        <v>70</v>
      </c>
      <c r="O207" s="33" t="n">
        <f>17765</f>
        <v>17765.0</v>
      </c>
      <c r="P207" s="34" t="s">
        <v>69</v>
      </c>
      <c r="Q207" s="33" t="n">
        <f>18105</f>
        <v>18105.0</v>
      </c>
      <c r="R207" s="34" t="s">
        <v>70</v>
      </c>
      <c r="S207" s="35" t="n">
        <f>17928</f>
        <v>17928.0</v>
      </c>
      <c r="T207" s="32" t="n">
        <f>23</f>
        <v>23.0</v>
      </c>
      <c r="U207" s="32" t="str">
        <f>"－"</f>
        <v>－</v>
      </c>
      <c r="V207" s="32" t="n">
        <f>411600</f>
        <v>411600.0</v>
      </c>
      <c r="W207" s="32" t="str">
        <f>"－"</f>
        <v>－</v>
      </c>
      <c r="X207" s="36" t="n">
        <f>5</f>
        <v>5.0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414</v>
      </c>
      <c r="J208" s="32" t="n">
        <v>1.0</v>
      </c>
      <c r="K208" s="33" t="n">
        <f>12020</f>
        <v>12020.0</v>
      </c>
      <c r="L208" s="34" t="s">
        <v>62</v>
      </c>
      <c r="M208" s="33" t="n">
        <f>12165</f>
        <v>12165.0</v>
      </c>
      <c r="N208" s="34" t="s">
        <v>61</v>
      </c>
      <c r="O208" s="33" t="n">
        <f>12000</f>
        <v>12000.0</v>
      </c>
      <c r="P208" s="34" t="s">
        <v>103</v>
      </c>
      <c r="Q208" s="33" t="n">
        <f>12110</f>
        <v>12110.0</v>
      </c>
      <c r="R208" s="34" t="s">
        <v>71</v>
      </c>
      <c r="S208" s="35" t="n">
        <f>12079.29</f>
        <v>12079.29</v>
      </c>
      <c r="T208" s="32" t="n">
        <f>627</f>
        <v>627.0</v>
      </c>
      <c r="U208" s="32" t="str">
        <f>"－"</f>
        <v>－</v>
      </c>
      <c r="V208" s="32" t="n">
        <f>7561450</f>
        <v>7561450.0</v>
      </c>
      <c r="W208" s="32" t="str">
        <f>"－"</f>
        <v>－</v>
      </c>
      <c r="X208" s="36" t="n">
        <f>7</f>
        <v>7.0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414</v>
      </c>
      <c r="J209" s="32" t="n">
        <v>1.0</v>
      </c>
      <c r="K209" s="33" t="n">
        <f>14750</f>
        <v>14750.0</v>
      </c>
      <c r="L209" s="34" t="s">
        <v>49</v>
      </c>
      <c r="M209" s="33" t="n">
        <f>14925</f>
        <v>14925.0</v>
      </c>
      <c r="N209" s="34" t="s">
        <v>51</v>
      </c>
      <c r="O209" s="33" t="n">
        <f>14155</f>
        <v>14155.0</v>
      </c>
      <c r="P209" s="34" t="s">
        <v>69</v>
      </c>
      <c r="Q209" s="33" t="n">
        <f>14925</f>
        <v>14925.0</v>
      </c>
      <c r="R209" s="34" t="s">
        <v>51</v>
      </c>
      <c r="S209" s="35" t="n">
        <f>14592.92</f>
        <v>14592.92</v>
      </c>
      <c r="T209" s="32" t="n">
        <f>5422</f>
        <v>5422.0</v>
      </c>
      <c r="U209" s="32" t="str">
        <f>"－"</f>
        <v>－</v>
      </c>
      <c r="V209" s="32" t="n">
        <f>78863750</f>
        <v>7.886375E7</v>
      </c>
      <c r="W209" s="32" t="str">
        <f>"－"</f>
        <v>－</v>
      </c>
      <c r="X209" s="36" t="n">
        <f>12</f>
        <v>12.0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414</v>
      </c>
      <c r="J210" s="32" t="n">
        <v>1.0</v>
      </c>
      <c r="K210" s="33" t="n">
        <f>12570</f>
        <v>12570.0</v>
      </c>
      <c r="L210" s="34" t="s">
        <v>159</v>
      </c>
      <c r="M210" s="33" t="n">
        <f>12830</f>
        <v>12830.0</v>
      </c>
      <c r="N210" s="34" t="s">
        <v>61</v>
      </c>
      <c r="O210" s="33" t="n">
        <f>12440</f>
        <v>12440.0</v>
      </c>
      <c r="P210" s="34" t="s">
        <v>159</v>
      </c>
      <c r="Q210" s="33" t="n">
        <f>12830</f>
        <v>12830.0</v>
      </c>
      <c r="R210" s="34" t="s">
        <v>61</v>
      </c>
      <c r="S210" s="35" t="n">
        <f>12675</f>
        <v>12675.0</v>
      </c>
      <c r="T210" s="32" t="n">
        <f>1333</f>
        <v>1333.0</v>
      </c>
      <c r="U210" s="32" t="str">
        <f>"－"</f>
        <v>－</v>
      </c>
      <c r="V210" s="32" t="n">
        <f>16842890</f>
        <v>1.684289E7</v>
      </c>
      <c r="W210" s="32" t="str">
        <f>"－"</f>
        <v>－</v>
      </c>
      <c r="X210" s="36" t="n">
        <f>4</f>
        <v>4.0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414</v>
      </c>
      <c r="J211" s="32" t="n">
        <v>1.0</v>
      </c>
      <c r="K211" s="33" t="n">
        <f>13205</f>
        <v>13205.0</v>
      </c>
      <c r="L211" s="34" t="s">
        <v>159</v>
      </c>
      <c r="M211" s="33" t="n">
        <f>13760</f>
        <v>13760.0</v>
      </c>
      <c r="N211" s="34" t="s">
        <v>61</v>
      </c>
      <c r="O211" s="33" t="n">
        <f>13205</f>
        <v>13205.0</v>
      </c>
      <c r="P211" s="34" t="s">
        <v>159</v>
      </c>
      <c r="Q211" s="33" t="n">
        <f>13755</f>
        <v>13755.0</v>
      </c>
      <c r="R211" s="34" t="s">
        <v>61</v>
      </c>
      <c r="S211" s="35" t="n">
        <f>13413.33</f>
        <v>13413.33</v>
      </c>
      <c r="T211" s="32" t="n">
        <f>104</f>
        <v>104.0</v>
      </c>
      <c r="U211" s="32" t="str">
        <f>"－"</f>
        <v>－</v>
      </c>
      <c r="V211" s="32" t="n">
        <f>1429445</f>
        <v>1429445.0</v>
      </c>
      <c r="W211" s="32" t="str">
        <f>"－"</f>
        <v>－</v>
      </c>
      <c r="X211" s="36" t="n">
        <f>3</f>
        <v>3.0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1213</f>
        <v>1213.0</v>
      </c>
      <c r="L212" s="34" t="s">
        <v>48</v>
      </c>
      <c r="M212" s="33" t="n">
        <f>1224</f>
        <v>1224.0</v>
      </c>
      <c r="N212" s="34" t="s">
        <v>51</v>
      </c>
      <c r="O212" s="33" t="n">
        <f>1160</f>
        <v>1160.0</v>
      </c>
      <c r="P212" s="34" t="s">
        <v>50</v>
      </c>
      <c r="Q212" s="33" t="n">
        <f>1224</f>
        <v>1224.0</v>
      </c>
      <c r="R212" s="34" t="s">
        <v>51</v>
      </c>
      <c r="S212" s="35" t="n">
        <f>1195.84</f>
        <v>1195.84</v>
      </c>
      <c r="T212" s="32" t="n">
        <f>772253</f>
        <v>772253.0</v>
      </c>
      <c r="U212" s="32" t="n">
        <f>56250</f>
        <v>56250.0</v>
      </c>
      <c r="V212" s="32" t="n">
        <f>920879748</f>
        <v>9.20879748E8</v>
      </c>
      <c r="W212" s="32" t="n">
        <f>66112650</f>
        <v>6.611265E7</v>
      </c>
      <c r="X212" s="36" t="n">
        <f>19</f>
        <v>19.0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1272</f>
        <v>1272.0</v>
      </c>
      <c r="L213" s="34" t="s">
        <v>48</v>
      </c>
      <c r="M213" s="33" t="n">
        <f>1276</f>
        <v>1276.0</v>
      </c>
      <c r="N213" s="34" t="s">
        <v>226</v>
      </c>
      <c r="O213" s="33" t="n">
        <f>1208</f>
        <v>1208.0</v>
      </c>
      <c r="P213" s="34" t="s">
        <v>50</v>
      </c>
      <c r="Q213" s="33" t="n">
        <f>1275</f>
        <v>1275.0</v>
      </c>
      <c r="R213" s="34" t="s">
        <v>51</v>
      </c>
      <c r="S213" s="35" t="n">
        <f>1249.32</f>
        <v>1249.32</v>
      </c>
      <c r="T213" s="32" t="n">
        <f>16573</f>
        <v>16573.0</v>
      </c>
      <c r="U213" s="32" t="n">
        <f>2</f>
        <v>2.0</v>
      </c>
      <c r="V213" s="32" t="n">
        <f>20775864</f>
        <v>2.0775864E7</v>
      </c>
      <c r="W213" s="32" t="n">
        <f>2537</f>
        <v>2537.0</v>
      </c>
      <c r="X213" s="36" t="n">
        <f>19</f>
        <v>19.0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1037</f>
        <v>1037.0</v>
      </c>
      <c r="L214" s="34" t="s">
        <v>48</v>
      </c>
      <c r="M214" s="33" t="n">
        <f>1061</f>
        <v>1061.0</v>
      </c>
      <c r="N214" s="34" t="s">
        <v>71</v>
      </c>
      <c r="O214" s="33" t="n">
        <f>1009</f>
        <v>1009.0</v>
      </c>
      <c r="P214" s="34" t="s">
        <v>69</v>
      </c>
      <c r="Q214" s="33" t="n">
        <f>1056</f>
        <v>1056.0</v>
      </c>
      <c r="R214" s="34" t="s">
        <v>51</v>
      </c>
      <c r="S214" s="35" t="n">
        <f>1036.37</f>
        <v>1036.37</v>
      </c>
      <c r="T214" s="32" t="n">
        <f>9301</f>
        <v>9301.0</v>
      </c>
      <c r="U214" s="32" t="str">
        <f>"－"</f>
        <v>－</v>
      </c>
      <c r="V214" s="32" t="n">
        <f>9624492</f>
        <v>9624492.0</v>
      </c>
      <c r="W214" s="32" t="str">
        <f>"－"</f>
        <v>－</v>
      </c>
      <c r="X214" s="36" t="n">
        <f>19</f>
        <v>19.0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2262</f>
        <v>2262.0</v>
      </c>
      <c r="L215" s="34" t="s">
        <v>48</v>
      </c>
      <c r="M215" s="33" t="n">
        <f>2284</f>
        <v>2284.0</v>
      </c>
      <c r="N215" s="34" t="s">
        <v>226</v>
      </c>
      <c r="O215" s="33" t="n">
        <f>2151</f>
        <v>2151.0</v>
      </c>
      <c r="P215" s="34" t="s">
        <v>50</v>
      </c>
      <c r="Q215" s="33" t="n">
        <f>2246</f>
        <v>2246.0</v>
      </c>
      <c r="R215" s="34" t="s">
        <v>51</v>
      </c>
      <c r="S215" s="35" t="n">
        <f>2225.32</f>
        <v>2225.32</v>
      </c>
      <c r="T215" s="32" t="n">
        <f>353757</f>
        <v>353757.0</v>
      </c>
      <c r="U215" s="32" t="n">
        <f>3</f>
        <v>3.0</v>
      </c>
      <c r="V215" s="32" t="n">
        <f>789001879</f>
        <v>7.89001879E8</v>
      </c>
      <c r="W215" s="32" t="n">
        <f>6688</f>
        <v>6688.0</v>
      </c>
      <c r="X215" s="36" t="n">
        <f>19</f>
        <v>19.0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2370</f>
        <v>2370.0</v>
      </c>
      <c r="L216" s="34" t="s">
        <v>48</v>
      </c>
      <c r="M216" s="33" t="n">
        <f>2370</f>
        <v>2370.0</v>
      </c>
      <c r="N216" s="34" t="s">
        <v>48</v>
      </c>
      <c r="O216" s="33" t="n">
        <f>2247</f>
        <v>2247.0</v>
      </c>
      <c r="P216" s="34" t="s">
        <v>50</v>
      </c>
      <c r="Q216" s="33" t="n">
        <f>2320</f>
        <v>2320.0</v>
      </c>
      <c r="R216" s="34" t="s">
        <v>51</v>
      </c>
      <c r="S216" s="35" t="n">
        <f>2311.84</f>
        <v>2311.84</v>
      </c>
      <c r="T216" s="32" t="n">
        <f>424077</f>
        <v>424077.0</v>
      </c>
      <c r="U216" s="32" t="n">
        <f>75468</f>
        <v>75468.0</v>
      </c>
      <c r="V216" s="32" t="n">
        <f>976846575</f>
        <v>9.76846575E8</v>
      </c>
      <c r="W216" s="32" t="n">
        <f>173144835</f>
        <v>1.73144835E8</v>
      </c>
      <c r="X216" s="36" t="n">
        <f>19</f>
        <v>19.0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563.2</f>
        <v>563.2</v>
      </c>
      <c r="L217" s="34" t="s">
        <v>48</v>
      </c>
      <c r="M217" s="33" t="n">
        <f>564</f>
        <v>564.0</v>
      </c>
      <c r="N217" s="34" t="s">
        <v>48</v>
      </c>
      <c r="O217" s="33" t="n">
        <f>531.3</f>
        <v>531.3</v>
      </c>
      <c r="P217" s="34" t="s">
        <v>50</v>
      </c>
      <c r="Q217" s="33" t="n">
        <f>550.7</f>
        <v>550.7</v>
      </c>
      <c r="R217" s="34" t="s">
        <v>51</v>
      </c>
      <c r="S217" s="35" t="n">
        <f>546.47</f>
        <v>546.47</v>
      </c>
      <c r="T217" s="32" t="n">
        <f>892160</f>
        <v>892160.0</v>
      </c>
      <c r="U217" s="32" t="n">
        <f>500</f>
        <v>500.0</v>
      </c>
      <c r="V217" s="32" t="n">
        <f>485352477</f>
        <v>4.85352477E8</v>
      </c>
      <c r="W217" s="32" t="n">
        <f>274172</f>
        <v>274172.0</v>
      </c>
      <c r="X217" s="36" t="n">
        <f>19</f>
        <v>19.0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2507.5</f>
        <v>2507.5</v>
      </c>
      <c r="L218" s="34" t="s">
        <v>48</v>
      </c>
      <c r="M218" s="33" t="n">
        <f>2594.5</f>
        <v>2594.5</v>
      </c>
      <c r="N218" s="34" t="s">
        <v>181</v>
      </c>
      <c r="O218" s="33" t="n">
        <f>2468</f>
        <v>2468.0</v>
      </c>
      <c r="P218" s="34" t="s">
        <v>159</v>
      </c>
      <c r="Q218" s="33" t="n">
        <f>2549</f>
        <v>2549.0</v>
      </c>
      <c r="R218" s="34" t="s">
        <v>71</v>
      </c>
      <c r="S218" s="35" t="n">
        <f>2525.89</f>
        <v>2525.89</v>
      </c>
      <c r="T218" s="32" t="n">
        <f>1278560</f>
        <v>1278560.0</v>
      </c>
      <c r="U218" s="32" t="n">
        <f>1181400</f>
        <v>1181400.0</v>
      </c>
      <c r="V218" s="32" t="n">
        <f>3271485409</f>
        <v>3.271485409E9</v>
      </c>
      <c r="W218" s="32" t="n">
        <f>3025015234</f>
        <v>3.025015234E9</v>
      </c>
      <c r="X218" s="36" t="n">
        <f>14</f>
        <v>14.0</v>
      </c>
    </row>
    <row r="219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2667.5</f>
        <v>2667.5</v>
      </c>
      <c r="L219" s="34" t="s">
        <v>48</v>
      </c>
      <c r="M219" s="33" t="n">
        <f>2737.5</f>
        <v>2737.5</v>
      </c>
      <c r="N219" s="34" t="s">
        <v>103</v>
      </c>
      <c r="O219" s="33" t="n">
        <f>2577.5</f>
        <v>2577.5</v>
      </c>
      <c r="P219" s="34" t="s">
        <v>159</v>
      </c>
      <c r="Q219" s="33" t="n">
        <f>2675</f>
        <v>2675.0</v>
      </c>
      <c r="R219" s="34" t="s">
        <v>51</v>
      </c>
      <c r="S219" s="35" t="n">
        <f>2655.36</f>
        <v>2655.36</v>
      </c>
      <c r="T219" s="32" t="n">
        <f>92190</f>
        <v>92190.0</v>
      </c>
      <c r="U219" s="32" t="str">
        <f>"－"</f>
        <v>－</v>
      </c>
      <c r="V219" s="32" t="n">
        <f>243563735</f>
        <v>2.43563735E8</v>
      </c>
      <c r="W219" s="32" t="str">
        <f>"－"</f>
        <v>－</v>
      </c>
      <c r="X219" s="36" t="n">
        <f>14</f>
        <v>14.0</v>
      </c>
    </row>
    <row r="220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2265.5</f>
        <v>2265.5</v>
      </c>
      <c r="L220" s="34" t="s">
        <v>99</v>
      </c>
      <c r="M220" s="33" t="n">
        <f>2392.5</f>
        <v>2392.5</v>
      </c>
      <c r="N220" s="34" t="s">
        <v>51</v>
      </c>
      <c r="O220" s="33" t="n">
        <f>2260.5</f>
        <v>2260.5</v>
      </c>
      <c r="P220" s="34" t="s">
        <v>69</v>
      </c>
      <c r="Q220" s="33" t="n">
        <f>2392.5</f>
        <v>2392.5</v>
      </c>
      <c r="R220" s="34" t="s">
        <v>51</v>
      </c>
      <c r="S220" s="35" t="n">
        <f>2340.04</f>
        <v>2340.04</v>
      </c>
      <c r="T220" s="32" t="n">
        <f>113000</f>
        <v>113000.0</v>
      </c>
      <c r="U220" s="32" t="str">
        <f>"－"</f>
        <v>－</v>
      </c>
      <c r="V220" s="32" t="n">
        <f>266929345</f>
        <v>2.66929345E8</v>
      </c>
      <c r="W220" s="32" t="str">
        <f>"－"</f>
        <v>－</v>
      </c>
      <c r="X220" s="36" t="n">
        <f>14</f>
        <v>14.0</v>
      </c>
    </row>
    <row r="221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2416</f>
        <v>2416.0</v>
      </c>
      <c r="L221" s="34" t="s">
        <v>216</v>
      </c>
      <c r="M221" s="33" t="n">
        <f>2507</f>
        <v>2507.0</v>
      </c>
      <c r="N221" s="34" t="s">
        <v>61</v>
      </c>
      <c r="O221" s="33" t="n">
        <f>2416</f>
        <v>2416.0</v>
      </c>
      <c r="P221" s="34" t="s">
        <v>216</v>
      </c>
      <c r="Q221" s="33" t="n">
        <f>2507</f>
        <v>2507.0</v>
      </c>
      <c r="R221" s="34" t="s">
        <v>61</v>
      </c>
      <c r="S221" s="35" t="n">
        <f>2450.5</f>
        <v>2450.5</v>
      </c>
      <c r="T221" s="32" t="n">
        <f>360</f>
        <v>360.0</v>
      </c>
      <c r="U221" s="32" t="str">
        <f>"－"</f>
        <v>－</v>
      </c>
      <c r="V221" s="32" t="n">
        <f>872420</f>
        <v>872420.0</v>
      </c>
      <c r="W221" s="32" t="str">
        <f>"－"</f>
        <v>－</v>
      </c>
      <c r="X221" s="36" t="n">
        <f>4</f>
        <v>4.0</v>
      </c>
    </row>
    <row r="222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4739</f>
        <v>4739.0</v>
      </c>
      <c r="L222" s="34" t="s">
        <v>116</v>
      </c>
      <c r="M222" s="33" t="n">
        <f>4739</f>
        <v>4739.0</v>
      </c>
      <c r="N222" s="34" t="s">
        <v>116</v>
      </c>
      <c r="O222" s="33" t="n">
        <f>4739</f>
        <v>4739.0</v>
      </c>
      <c r="P222" s="34" t="s">
        <v>116</v>
      </c>
      <c r="Q222" s="33" t="n">
        <f>4739</f>
        <v>4739.0</v>
      </c>
      <c r="R222" s="34" t="s">
        <v>116</v>
      </c>
      <c r="S222" s="35" t="n">
        <f>4739</f>
        <v>4739.0</v>
      </c>
      <c r="T222" s="32" t="n">
        <f>80</f>
        <v>80.0</v>
      </c>
      <c r="U222" s="32" t="str">
        <f>"－"</f>
        <v>－</v>
      </c>
      <c r="V222" s="32" t="n">
        <f>379120</f>
        <v>379120.0</v>
      </c>
      <c r="W222" s="32" t="str">
        <f>"－"</f>
        <v>－</v>
      </c>
      <c r="X222" s="36" t="n">
        <f>1</f>
        <v>1.0</v>
      </c>
    </row>
    <row r="223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4838</f>
        <v>4838.0</v>
      </c>
      <c r="L223" s="34" t="s">
        <v>634</v>
      </c>
      <c r="M223" s="33" t="n">
        <f>4838</f>
        <v>4838.0</v>
      </c>
      <c r="N223" s="34" t="s">
        <v>634</v>
      </c>
      <c r="O223" s="33" t="n">
        <f>4838</f>
        <v>4838.0</v>
      </c>
      <c r="P223" s="34" t="s">
        <v>634</v>
      </c>
      <c r="Q223" s="33" t="n">
        <f>4838</f>
        <v>4838.0</v>
      </c>
      <c r="R223" s="34" t="s">
        <v>634</v>
      </c>
      <c r="S223" s="35" t="n">
        <f>4838</f>
        <v>4838.0</v>
      </c>
      <c r="T223" s="32" t="n">
        <f>10</f>
        <v>10.0</v>
      </c>
      <c r="U223" s="32" t="str">
        <f>"－"</f>
        <v>－</v>
      </c>
      <c r="V223" s="32" t="n">
        <f>48380</f>
        <v>48380.0</v>
      </c>
      <c r="W223" s="32" t="str">
        <f>"－"</f>
        <v>－</v>
      </c>
      <c r="X223" s="36" t="n">
        <f>1</f>
        <v>1.0</v>
      </c>
    </row>
    <row r="2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str">
        <f>"－"</f>
        <v>－</v>
      </c>
      <c r="L224" s="34"/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5" t="str">
        <f>"－"</f>
        <v>－</v>
      </c>
      <c r="T224" s="32" t="str">
        <f>"－"</f>
        <v>－</v>
      </c>
      <c r="U224" s="32" t="str">
        <f>"－"</f>
        <v>－</v>
      </c>
      <c r="V224" s="32" t="str">
        <f>"－"</f>
        <v>－</v>
      </c>
      <c r="W224" s="32" t="str">
        <f>"－"</f>
        <v>－</v>
      </c>
      <c r="X224" s="36" t="str">
        <f>"－"</f>
        <v>－</v>
      </c>
    </row>
    <row r="225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5291</f>
        <v>5291.0</v>
      </c>
      <c r="L225" s="34" t="s">
        <v>48</v>
      </c>
      <c r="M225" s="33" t="n">
        <f>5324</f>
        <v>5324.0</v>
      </c>
      <c r="N225" s="34" t="s">
        <v>634</v>
      </c>
      <c r="O225" s="33" t="n">
        <f>5181</f>
        <v>5181.0</v>
      </c>
      <c r="P225" s="34" t="s">
        <v>51</v>
      </c>
      <c r="Q225" s="33" t="n">
        <f>5297</f>
        <v>5297.0</v>
      </c>
      <c r="R225" s="34" t="s">
        <v>51</v>
      </c>
      <c r="S225" s="35" t="n">
        <f>5258</f>
        <v>5258.0</v>
      </c>
      <c r="T225" s="32" t="n">
        <f>93180</f>
        <v>93180.0</v>
      </c>
      <c r="U225" s="32" t="n">
        <f>15010</f>
        <v>15010.0</v>
      </c>
      <c r="V225" s="32" t="n">
        <f>488373029</f>
        <v>4.88373029E8</v>
      </c>
      <c r="W225" s="32" t="n">
        <f>78659409</f>
        <v>7.8659409E7</v>
      </c>
      <c r="X225" s="36" t="n">
        <f>19</f>
        <v>19.0</v>
      </c>
    </row>
    <row r="226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981</f>
        <v>981.0</v>
      </c>
      <c r="L226" s="34" t="s">
        <v>48</v>
      </c>
      <c r="M226" s="33" t="n">
        <f>1014</f>
        <v>1014.0</v>
      </c>
      <c r="N226" s="34" t="s">
        <v>634</v>
      </c>
      <c r="O226" s="33" t="n">
        <f>944</f>
        <v>944.0</v>
      </c>
      <c r="P226" s="34" t="s">
        <v>61</v>
      </c>
      <c r="Q226" s="33" t="n">
        <f>950</f>
        <v>950.0</v>
      </c>
      <c r="R226" s="34" t="s">
        <v>51</v>
      </c>
      <c r="S226" s="35" t="n">
        <f>982.47</f>
        <v>982.47</v>
      </c>
      <c r="T226" s="32" t="n">
        <f>289535</f>
        <v>289535.0</v>
      </c>
      <c r="U226" s="32" t="n">
        <f>210000</f>
        <v>210000.0</v>
      </c>
      <c r="V226" s="32" t="n">
        <f>276778589</f>
        <v>2.76778589E8</v>
      </c>
      <c r="W226" s="32" t="n">
        <f>199164000</f>
        <v>1.99164E8</v>
      </c>
      <c r="X226" s="36" t="n">
        <f>19</f>
        <v>19.0</v>
      </c>
    </row>
    <row r="227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1096</f>
        <v>1096.0</v>
      </c>
      <c r="L227" s="34" t="s">
        <v>48</v>
      </c>
      <c r="M227" s="33" t="n">
        <f>1155</f>
        <v>1155.0</v>
      </c>
      <c r="N227" s="34" t="s">
        <v>239</v>
      </c>
      <c r="O227" s="33" t="n">
        <f>1076</f>
        <v>1076.0</v>
      </c>
      <c r="P227" s="34" t="s">
        <v>634</v>
      </c>
      <c r="Q227" s="33" t="n">
        <f>1128</f>
        <v>1128.0</v>
      </c>
      <c r="R227" s="34" t="s">
        <v>51</v>
      </c>
      <c r="S227" s="35" t="n">
        <f>1108.37</f>
        <v>1108.37</v>
      </c>
      <c r="T227" s="32" t="n">
        <f>28593</f>
        <v>28593.0</v>
      </c>
      <c r="U227" s="32" t="str">
        <f>"－"</f>
        <v>－</v>
      </c>
      <c r="V227" s="32" t="n">
        <f>31707371</f>
        <v>3.1707371E7</v>
      </c>
      <c r="W227" s="32" t="str">
        <f>"－"</f>
        <v>－</v>
      </c>
      <c r="X227" s="36" t="n">
        <f>19</f>
        <v>19.0</v>
      </c>
    </row>
    <row r="228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943</f>
        <v>943.0</v>
      </c>
      <c r="L228" s="34" t="s">
        <v>48</v>
      </c>
      <c r="M228" s="33" t="n">
        <f>979</f>
        <v>979.0</v>
      </c>
      <c r="N228" s="34" t="s">
        <v>61</v>
      </c>
      <c r="O228" s="33" t="n">
        <f>914</f>
        <v>914.0</v>
      </c>
      <c r="P228" s="34" t="s">
        <v>103</v>
      </c>
      <c r="Q228" s="33" t="n">
        <f>968</f>
        <v>968.0</v>
      </c>
      <c r="R228" s="34" t="s">
        <v>51</v>
      </c>
      <c r="S228" s="35" t="n">
        <f>938.89</f>
        <v>938.89</v>
      </c>
      <c r="T228" s="32" t="n">
        <f>129156</f>
        <v>129156.0</v>
      </c>
      <c r="U228" s="32" t="str">
        <f>"－"</f>
        <v>－</v>
      </c>
      <c r="V228" s="32" t="n">
        <f>120991985</f>
        <v>1.20991985E8</v>
      </c>
      <c r="W228" s="32" t="str">
        <f>"－"</f>
        <v>－</v>
      </c>
      <c r="X228" s="36" t="n">
        <f>19</f>
        <v>19.0</v>
      </c>
    </row>
    <row r="229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916</f>
        <v>916.0</v>
      </c>
      <c r="L229" s="34" t="s">
        <v>48</v>
      </c>
      <c r="M229" s="33" t="n">
        <f>928</f>
        <v>928.0</v>
      </c>
      <c r="N229" s="34" t="s">
        <v>51</v>
      </c>
      <c r="O229" s="33" t="n">
        <f>891</f>
        <v>891.0</v>
      </c>
      <c r="P229" s="34" t="s">
        <v>103</v>
      </c>
      <c r="Q229" s="33" t="n">
        <f>919</f>
        <v>919.0</v>
      </c>
      <c r="R229" s="34" t="s">
        <v>51</v>
      </c>
      <c r="S229" s="35" t="n">
        <f>905.74</f>
        <v>905.74</v>
      </c>
      <c r="T229" s="32" t="n">
        <f>137958</f>
        <v>137958.0</v>
      </c>
      <c r="U229" s="32" t="str">
        <f>"－"</f>
        <v>－</v>
      </c>
      <c r="V229" s="32" t="n">
        <f>125100565</f>
        <v>1.25100565E8</v>
      </c>
      <c r="W229" s="32" t="str">
        <f>"－"</f>
        <v>－</v>
      </c>
      <c r="X229" s="36" t="n">
        <f>19</f>
        <v>19.0</v>
      </c>
    </row>
    <row r="230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980</f>
        <v>980.0</v>
      </c>
      <c r="L230" s="34" t="s">
        <v>48</v>
      </c>
      <c r="M230" s="33" t="n">
        <f>1002</f>
        <v>1002.0</v>
      </c>
      <c r="N230" s="34" t="s">
        <v>61</v>
      </c>
      <c r="O230" s="33" t="n">
        <f>951</f>
        <v>951.0</v>
      </c>
      <c r="P230" s="34" t="s">
        <v>69</v>
      </c>
      <c r="Q230" s="33" t="n">
        <f>991</f>
        <v>991.0</v>
      </c>
      <c r="R230" s="34" t="s">
        <v>51</v>
      </c>
      <c r="S230" s="35" t="n">
        <f>968.42</f>
        <v>968.42</v>
      </c>
      <c r="T230" s="32" t="n">
        <f>49994</f>
        <v>49994.0</v>
      </c>
      <c r="U230" s="32" t="str">
        <f>"－"</f>
        <v>－</v>
      </c>
      <c r="V230" s="32" t="n">
        <f>49001747</f>
        <v>4.9001747E7</v>
      </c>
      <c r="W230" s="32" t="str">
        <f>"－"</f>
        <v>－</v>
      </c>
      <c r="X230" s="36" t="n">
        <f>19</f>
        <v>19.0</v>
      </c>
    </row>
    <row r="231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1466</f>
        <v>1466.0</v>
      </c>
      <c r="L231" s="34" t="s">
        <v>48</v>
      </c>
      <c r="M231" s="33" t="n">
        <f>1524</f>
        <v>1524.0</v>
      </c>
      <c r="N231" s="34" t="s">
        <v>61</v>
      </c>
      <c r="O231" s="33" t="n">
        <f>1438</f>
        <v>1438.0</v>
      </c>
      <c r="P231" s="34" t="s">
        <v>159</v>
      </c>
      <c r="Q231" s="33" t="n">
        <f>1514</f>
        <v>1514.0</v>
      </c>
      <c r="R231" s="34" t="s">
        <v>51</v>
      </c>
      <c r="S231" s="35" t="n">
        <f>1468.58</f>
        <v>1468.58</v>
      </c>
      <c r="T231" s="32" t="n">
        <f>180579</f>
        <v>180579.0</v>
      </c>
      <c r="U231" s="32" t="n">
        <f>1873</f>
        <v>1873.0</v>
      </c>
      <c r="V231" s="32" t="n">
        <f>268193321</f>
        <v>2.68193321E8</v>
      </c>
      <c r="W231" s="32" t="n">
        <f>2722906</f>
        <v>2722906.0</v>
      </c>
      <c r="X231" s="36" t="n">
        <f>19</f>
        <v>19.0</v>
      </c>
    </row>
    <row r="232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152</f>
        <v>152.0</v>
      </c>
      <c r="L232" s="34" t="s">
        <v>48</v>
      </c>
      <c r="M232" s="33" t="n">
        <f>164.3</f>
        <v>164.3</v>
      </c>
      <c r="N232" s="34" t="s">
        <v>103</v>
      </c>
      <c r="O232" s="33" t="n">
        <f>146.3</f>
        <v>146.3</v>
      </c>
      <c r="P232" s="34" t="s">
        <v>239</v>
      </c>
      <c r="Q232" s="33" t="n">
        <f>152.6</f>
        <v>152.6</v>
      </c>
      <c r="R232" s="34" t="s">
        <v>51</v>
      </c>
      <c r="S232" s="35" t="n">
        <f>154.44</f>
        <v>154.44</v>
      </c>
      <c r="T232" s="32" t="n">
        <f>2496950</f>
        <v>2496950.0</v>
      </c>
      <c r="U232" s="32" t="n">
        <f>230</f>
        <v>230.0</v>
      </c>
      <c r="V232" s="32" t="n">
        <f>385520328</f>
        <v>3.85520328E8</v>
      </c>
      <c r="W232" s="32" t="n">
        <f>33923</f>
        <v>33923.0</v>
      </c>
      <c r="X232" s="36" t="n">
        <f>19</f>
        <v>19.0</v>
      </c>
    </row>
    <row r="233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428.5</f>
        <v>428.5</v>
      </c>
      <c r="L233" s="34" t="s">
        <v>48</v>
      </c>
      <c r="M233" s="33" t="n">
        <f>467.8</f>
        <v>467.8</v>
      </c>
      <c r="N233" s="34" t="s">
        <v>103</v>
      </c>
      <c r="O233" s="33" t="n">
        <f>415.7</f>
        <v>415.7</v>
      </c>
      <c r="P233" s="34" t="s">
        <v>239</v>
      </c>
      <c r="Q233" s="33" t="n">
        <f>433.4</f>
        <v>433.4</v>
      </c>
      <c r="R233" s="34" t="s">
        <v>51</v>
      </c>
      <c r="S233" s="35" t="n">
        <f>441.64</f>
        <v>441.64</v>
      </c>
      <c r="T233" s="32" t="n">
        <f>527230</f>
        <v>527230.0</v>
      </c>
      <c r="U233" s="32" t="str">
        <f>"－"</f>
        <v>－</v>
      </c>
      <c r="V233" s="32" t="n">
        <f>232594545</f>
        <v>2.32594545E8</v>
      </c>
      <c r="W233" s="32" t="str">
        <f>"－"</f>
        <v>－</v>
      </c>
      <c r="X233" s="36" t="n">
        <f>19</f>
        <v>19.0</v>
      </c>
    </row>
    <row r="23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2981</f>
        <v>2981.0</v>
      </c>
      <c r="L234" s="34" t="s">
        <v>48</v>
      </c>
      <c r="M234" s="33" t="n">
        <f>3040</f>
        <v>3040.0</v>
      </c>
      <c r="N234" s="34" t="s">
        <v>61</v>
      </c>
      <c r="O234" s="33" t="n">
        <f>2901</f>
        <v>2901.0</v>
      </c>
      <c r="P234" s="34" t="s">
        <v>50</v>
      </c>
      <c r="Q234" s="33" t="n">
        <f>3031</f>
        <v>3031.0</v>
      </c>
      <c r="R234" s="34" t="s">
        <v>51</v>
      </c>
      <c r="S234" s="35" t="n">
        <f>2970.95</f>
        <v>2970.95</v>
      </c>
      <c r="T234" s="32" t="n">
        <f>2330790</f>
        <v>2330790.0</v>
      </c>
      <c r="U234" s="32" t="n">
        <f>2240040</f>
        <v>2240040.0</v>
      </c>
      <c r="V234" s="32" t="n">
        <f>6932861020</f>
        <v>6.93286102E9</v>
      </c>
      <c r="W234" s="32" t="n">
        <f>6663073565</f>
        <v>6.663073565E9</v>
      </c>
      <c r="X234" s="36" t="n">
        <f>19</f>
        <v>19.0</v>
      </c>
    </row>
    <row r="235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1299</f>
        <v>1299.0</v>
      </c>
      <c r="L235" s="34" t="s">
        <v>48</v>
      </c>
      <c r="M235" s="33" t="n">
        <f>1314</f>
        <v>1314.0</v>
      </c>
      <c r="N235" s="34" t="s">
        <v>239</v>
      </c>
      <c r="O235" s="33" t="n">
        <f>1267</f>
        <v>1267.0</v>
      </c>
      <c r="P235" s="34" t="s">
        <v>69</v>
      </c>
      <c r="Q235" s="33" t="n">
        <f>1298</f>
        <v>1298.0</v>
      </c>
      <c r="R235" s="34" t="s">
        <v>51</v>
      </c>
      <c r="S235" s="35" t="n">
        <f>1287.63</f>
        <v>1287.63</v>
      </c>
      <c r="T235" s="32" t="n">
        <f>892264</f>
        <v>892264.0</v>
      </c>
      <c r="U235" s="32" t="n">
        <f>93006</f>
        <v>93006.0</v>
      </c>
      <c r="V235" s="32" t="n">
        <f>1150506205</f>
        <v>1.150506205E9</v>
      </c>
      <c r="W235" s="32" t="n">
        <f>119442604</f>
        <v>1.19442604E8</v>
      </c>
      <c r="X235" s="36" t="n">
        <f>19</f>
        <v>19.0</v>
      </c>
    </row>
    <row r="236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87550</f>
        <v>87550.0</v>
      </c>
      <c r="L236" s="34" t="s">
        <v>48</v>
      </c>
      <c r="M236" s="33" t="n">
        <f>91990</f>
        <v>91990.0</v>
      </c>
      <c r="N236" s="34" t="s">
        <v>70</v>
      </c>
      <c r="O236" s="33" t="n">
        <f>84110</f>
        <v>84110.0</v>
      </c>
      <c r="P236" s="34" t="s">
        <v>159</v>
      </c>
      <c r="Q236" s="33" t="n">
        <f>90010</f>
        <v>90010.0</v>
      </c>
      <c r="R236" s="34" t="s">
        <v>51</v>
      </c>
      <c r="S236" s="35" t="n">
        <f>88281.58</f>
        <v>88281.58</v>
      </c>
      <c r="T236" s="32" t="n">
        <f>29151</f>
        <v>29151.0</v>
      </c>
      <c r="U236" s="32" t="str">
        <f>"－"</f>
        <v>－</v>
      </c>
      <c r="V236" s="32" t="n">
        <f>2591643550</f>
        <v>2.59164355E9</v>
      </c>
      <c r="W236" s="32" t="str">
        <f>"－"</f>
        <v>－</v>
      </c>
      <c r="X236" s="36" t="n">
        <f>19</f>
        <v>19.0</v>
      </c>
    </row>
    <row r="237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6797</f>
        <v>6797.0</v>
      </c>
      <c r="L237" s="34" t="s">
        <v>48</v>
      </c>
      <c r="M237" s="33" t="n">
        <f>6910</f>
        <v>6910.0</v>
      </c>
      <c r="N237" s="34" t="s">
        <v>159</v>
      </c>
      <c r="O237" s="33" t="n">
        <f>6598</f>
        <v>6598.0</v>
      </c>
      <c r="P237" s="34" t="s">
        <v>70</v>
      </c>
      <c r="Q237" s="33" t="n">
        <f>6630</f>
        <v>6630.0</v>
      </c>
      <c r="R237" s="34" t="s">
        <v>51</v>
      </c>
      <c r="S237" s="35" t="n">
        <f>6753.79</f>
        <v>6753.79</v>
      </c>
      <c r="T237" s="32" t="n">
        <f>44331</f>
        <v>44331.0</v>
      </c>
      <c r="U237" s="32" t="n">
        <f>19</f>
        <v>19.0</v>
      </c>
      <c r="V237" s="32" t="n">
        <f>299220587</f>
        <v>2.99220587E8</v>
      </c>
      <c r="W237" s="32" t="n">
        <f>128593</f>
        <v>128593.0</v>
      </c>
      <c r="X237" s="36" t="n">
        <f>19</f>
        <v>19.0</v>
      </c>
    </row>
    <row r="238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18990</f>
        <v>18990.0</v>
      </c>
      <c r="L238" s="34" t="s">
        <v>48</v>
      </c>
      <c r="M238" s="33" t="n">
        <f>19915</f>
        <v>19915.0</v>
      </c>
      <c r="N238" s="34" t="s">
        <v>70</v>
      </c>
      <c r="O238" s="33" t="n">
        <f>18210</f>
        <v>18210.0</v>
      </c>
      <c r="P238" s="34" t="s">
        <v>159</v>
      </c>
      <c r="Q238" s="33" t="n">
        <f>19680</f>
        <v>19680.0</v>
      </c>
      <c r="R238" s="34" t="s">
        <v>51</v>
      </c>
      <c r="S238" s="35" t="n">
        <f>19124.21</f>
        <v>19124.21</v>
      </c>
      <c r="T238" s="32" t="n">
        <f>97710</f>
        <v>97710.0</v>
      </c>
      <c r="U238" s="32" t="n">
        <f>100</f>
        <v>100.0</v>
      </c>
      <c r="V238" s="32" t="n">
        <f>1874991200</f>
        <v>1.8749912E9</v>
      </c>
      <c r="W238" s="32" t="n">
        <f>1905750</f>
        <v>1905750.0</v>
      </c>
      <c r="X238" s="36" t="n">
        <f>19</f>
        <v>19.0</v>
      </c>
    </row>
    <row r="239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1110</f>
        <v>1110.0</v>
      </c>
      <c r="L239" s="34" t="s">
        <v>48</v>
      </c>
      <c r="M239" s="33" t="n">
        <f>1150</f>
        <v>1150.0</v>
      </c>
      <c r="N239" s="34" t="s">
        <v>239</v>
      </c>
      <c r="O239" s="33" t="n">
        <f>1077</f>
        <v>1077.0</v>
      </c>
      <c r="P239" s="34" t="s">
        <v>69</v>
      </c>
      <c r="Q239" s="33" t="n">
        <f>1134</f>
        <v>1134.0</v>
      </c>
      <c r="R239" s="34" t="s">
        <v>51</v>
      </c>
      <c r="S239" s="35" t="n">
        <f>1116.11</f>
        <v>1116.11</v>
      </c>
      <c r="T239" s="32" t="n">
        <f>453604</f>
        <v>453604.0</v>
      </c>
      <c r="U239" s="32" t="str">
        <f>"－"</f>
        <v>－</v>
      </c>
      <c r="V239" s="32" t="n">
        <f>508121725</f>
        <v>5.08121725E8</v>
      </c>
      <c r="W239" s="32" t="str">
        <f>"－"</f>
        <v>－</v>
      </c>
      <c r="X239" s="36" t="n">
        <f>19</f>
        <v>19.0</v>
      </c>
    </row>
    <row r="240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6832</f>
        <v>6832.0</v>
      </c>
      <c r="L240" s="34" t="s">
        <v>48</v>
      </c>
      <c r="M240" s="33" t="n">
        <f>6950</f>
        <v>6950.0</v>
      </c>
      <c r="N240" s="34" t="s">
        <v>159</v>
      </c>
      <c r="O240" s="33" t="n">
        <f>6640</f>
        <v>6640.0</v>
      </c>
      <c r="P240" s="34" t="s">
        <v>70</v>
      </c>
      <c r="Q240" s="33" t="n">
        <f>6680</f>
        <v>6680.0</v>
      </c>
      <c r="R240" s="34" t="s">
        <v>51</v>
      </c>
      <c r="S240" s="35" t="n">
        <f>6784.16</f>
        <v>6784.16</v>
      </c>
      <c r="T240" s="32" t="n">
        <f>9840</f>
        <v>9840.0</v>
      </c>
      <c r="U240" s="32" t="str">
        <f>"－"</f>
        <v>－</v>
      </c>
      <c r="V240" s="32" t="n">
        <f>66563310</f>
        <v>6.656331E7</v>
      </c>
      <c r="W240" s="32" t="str">
        <f>"－"</f>
        <v>－</v>
      </c>
      <c r="X240" s="36" t="n">
        <f>19</f>
        <v>19.0</v>
      </c>
    </row>
    <row r="241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755</f>
        <v>755.0</v>
      </c>
      <c r="L241" s="34" t="s">
        <v>48</v>
      </c>
      <c r="M241" s="33" t="n">
        <f>780</f>
        <v>780.0</v>
      </c>
      <c r="N241" s="34" t="s">
        <v>71</v>
      </c>
      <c r="O241" s="33" t="n">
        <f>740</f>
        <v>740.0</v>
      </c>
      <c r="P241" s="34" t="s">
        <v>69</v>
      </c>
      <c r="Q241" s="33" t="n">
        <f>776.9</f>
        <v>776.9</v>
      </c>
      <c r="R241" s="34" t="s">
        <v>51</v>
      </c>
      <c r="S241" s="35" t="n">
        <f>759.99</f>
        <v>759.99</v>
      </c>
      <c r="T241" s="32" t="n">
        <f>6594890</f>
        <v>6594890.0</v>
      </c>
      <c r="U241" s="32" t="n">
        <f>6400010</f>
        <v>6400010.0</v>
      </c>
      <c r="V241" s="32" t="n">
        <f>5108479891</f>
        <v>5.108479891E9</v>
      </c>
      <c r="W241" s="32" t="n">
        <f>4960177795</f>
        <v>4.960177795E9</v>
      </c>
      <c r="X241" s="36" t="n">
        <f>19</f>
        <v>19.0</v>
      </c>
    </row>
    <row r="242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584.8</f>
        <v>584.8</v>
      </c>
      <c r="L242" s="34" t="s">
        <v>48</v>
      </c>
      <c r="M242" s="33" t="n">
        <f>609.4</f>
        <v>609.4</v>
      </c>
      <c r="N242" s="34" t="s">
        <v>51</v>
      </c>
      <c r="O242" s="33" t="n">
        <f>575.5</f>
        <v>575.5</v>
      </c>
      <c r="P242" s="34" t="s">
        <v>69</v>
      </c>
      <c r="Q242" s="33" t="n">
        <f>603.6</f>
        <v>603.6</v>
      </c>
      <c r="R242" s="34" t="s">
        <v>51</v>
      </c>
      <c r="S242" s="35" t="n">
        <f>592.71</f>
        <v>592.71</v>
      </c>
      <c r="T242" s="32" t="n">
        <f>9614930</f>
        <v>9614930.0</v>
      </c>
      <c r="U242" s="32" t="n">
        <f>9357200</f>
        <v>9357200.0</v>
      </c>
      <c r="V242" s="32" t="n">
        <f>5825541317</f>
        <v>5.825541317E9</v>
      </c>
      <c r="W242" s="32" t="n">
        <f>5673203403</f>
        <v>5.673203403E9</v>
      </c>
      <c r="X242" s="36" t="n">
        <f>19</f>
        <v>19.0</v>
      </c>
    </row>
    <row r="243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1942</f>
        <v>1942.0</v>
      </c>
      <c r="L243" s="34" t="s">
        <v>48</v>
      </c>
      <c r="M243" s="33" t="n">
        <f>2042</f>
        <v>2042.0</v>
      </c>
      <c r="N243" s="34" t="s">
        <v>103</v>
      </c>
      <c r="O243" s="33" t="n">
        <f>1815</f>
        <v>1815.0</v>
      </c>
      <c r="P243" s="34" t="s">
        <v>239</v>
      </c>
      <c r="Q243" s="33" t="n">
        <f>1880</f>
        <v>1880.0</v>
      </c>
      <c r="R243" s="34" t="s">
        <v>51</v>
      </c>
      <c r="S243" s="35" t="n">
        <f>1941.47</f>
        <v>1941.47</v>
      </c>
      <c r="T243" s="32" t="n">
        <f>11128160</f>
        <v>1.112816E7</v>
      </c>
      <c r="U243" s="32" t="n">
        <f>575303</f>
        <v>575303.0</v>
      </c>
      <c r="V243" s="32" t="n">
        <f>21625553571</f>
        <v>2.1625553571E10</v>
      </c>
      <c r="W243" s="32" t="n">
        <f>1137366762</f>
        <v>1.137366762E9</v>
      </c>
      <c r="X243" s="36" t="n">
        <f>19</f>
        <v>19.0</v>
      </c>
    </row>
    <row r="24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2549</f>
        <v>2549.0</v>
      </c>
      <c r="L244" s="34" t="s">
        <v>48</v>
      </c>
      <c r="M244" s="33" t="n">
        <f>2614</f>
        <v>2614.0</v>
      </c>
      <c r="N244" s="34" t="s">
        <v>103</v>
      </c>
      <c r="O244" s="33" t="n">
        <f>2477</f>
        <v>2477.0</v>
      </c>
      <c r="P244" s="34" t="s">
        <v>159</v>
      </c>
      <c r="Q244" s="33" t="n">
        <f>2550</f>
        <v>2550.0</v>
      </c>
      <c r="R244" s="34" t="s">
        <v>51</v>
      </c>
      <c r="S244" s="35" t="n">
        <f>2544.89</f>
        <v>2544.89</v>
      </c>
      <c r="T244" s="32" t="n">
        <f>11234467</f>
        <v>1.1234467E7</v>
      </c>
      <c r="U244" s="32" t="n">
        <f>141501</f>
        <v>141501.0</v>
      </c>
      <c r="V244" s="32" t="n">
        <f>28613915257</f>
        <v>2.8613915257E10</v>
      </c>
      <c r="W244" s="32" t="n">
        <f>359782705</f>
        <v>3.59782705E8</v>
      </c>
      <c r="X244" s="36" t="n">
        <f>19</f>
        <v>19.0</v>
      </c>
    </row>
    <row r="245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793.5</f>
        <v>793.5</v>
      </c>
      <c r="L245" s="34" t="s">
        <v>49</v>
      </c>
      <c r="M245" s="33" t="n">
        <f>793.5</f>
        <v>793.5</v>
      </c>
      <c r="N245" s="34" t="s">
        <v>49</v>
      </c>
      <c r="O245" s="33" t="n">
        <f>744.2</f>
        <v>744.2</v>
      </c>
      <c r="P245" s="34" t="s">
        <v>159</v>
      </c>
      <c r="Q245" s="33" t="n">
        <f>752</f>
        <v>752.0</v>
      </c>
      <c r="R245" s="34" t="s">
        <v>51</v>
      </c>
      <c r="S245" s="35" t="n">
        <f>753.51</f>
        <v>753.51</v>
      </c>
      <c r="T245" s="32" t="n">
        <f>93240</f>
        <v>93240.0</v>
      </c>
      <c r="U245" s="32" t="str">
        <f>"－"</f>
        <v>－</v>
      </c>
      <c r="V245" s="32" t="n">
        <f>69418242</f>
        <v>6.9418242E7</v>
      </c>
      <c r="W245" s="32" t="str">
        <f>"－"</f>
        <v>－</v>
      </c>
      <c r="X245" s="36" t="n">
        <f>9</f>
        <v>9.0</v>
      </c>
    </row>
    <row r="246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747.2</f>
        <v>747.2</v>
      </c>
      <c r="L246" s="34" t="s">
        <v>48</v>
      </c>
      <c r="M246" s="33" t="n">
        <f>822.1</f>
        <v>822.1</v>
      </c>
      <c r="N246" s="34" t="s">
        <v>49</v>
      </c>
      <c r="O246" s="33" t="n">
        <f>737.3</f>
        <v>737.3</v>
      </c>
      <c r="P246" s="34" t="s">
        <v>159</v>
      </c>
      <c r="Q246" s="33" t="n">
        <f>746.6</f>
        <v>746.6</v>
      </c>
      <c r="R246" s="34" t="s">
        <v>71</v>
      </c>
      <c r="S246" s="35" t="n">
        <f>746.22</f>
        <v>746.22</v>
      </c>
      <c r="T246" s="32" t="n">
        <f>1090</f>
        <v>1090.0</v>
      </c>
      <c r="U246" s="32" t="str">
        <f>"－"</f>
        <v>－</v>
      </c>
      <c r="V246" s="32" t="n">
        <f>812412</f>
        <v>812412.0</v>
      </c>
      <c r="W246" s="32" t="str">
        <f>"－"</f>
        <v>－</v>
      </c>
      <c r="X246" s="36" t="n">
        <f>12</f>
        <v>12.0</v>
      </c>
    </row>
    <row r="247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17700</f>
        <v>17700.0</v>
      </c>
      <c r="L247" s="34" t="s">
        <v>48</v>
      </c>
      <c r="M247" s="33" t="n">
        <f>18000</f>
        <v>18000.0</v>
      </c>
      <c r="N247" s="34" t="s">
        <v>70</v>
      </c>
      <c r="O247" s="33" t="n">
        <f>17285</f>
        <v>17285.0</v>
      </c>
      <c r="P247" s="34" t="s">
        <v>69</v>
      </c>
      <c r="Q247" s="33" t="n">
        <f>17725</f>
        <v>17725.0</v>
      </c>
      <c r="R247" s="34" t="s">
        <v>51</v>
      </c>
      <c r="S247" s="35" t="n">
        <f>17629.47</f>
        <v>17629.47</v>
      </c>
      <c r="T247" s="32" t="n">
        <f>281973</f>
        <v>281973.0</v>
      </c>
      <c r="U247" s="32" t="n">
        <f>8501</f>
        <v>8501.0</v>
      </c>
      <c r="V247" s="32" t="n">
        <f>4960726373</f>
        <v>4.960726373E9</v>
      </c>
      <c r="W247" s="32" t="n">
        <f>148951173</f>
        <v>1.48951173E8</v>
      </c>
      <c r="X247" s="36" t="n">
        <f>19</f>
        <v>19.0</v>
      </c>
    </row>
    <row r="248">
      <c r="A248" s="27" t="s">
        <v>42</v>
      </c>
      <c r="B248" s="27" t="s">
        <v>788</v>
      </c>
      <c r="C248" s="27" t="s">
        <v>789</v>
      </c>
      <c r="D248" s="27" t="s">
        <v>790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45800</f>
        <v>45800.0</v>
      </c>
      <c r="L248" s="34" t="s">
        <v>48</v>
      </c>
      <c r="M248" s="33" t="n">
        <f>46920</f>
        <v>46920.0</v>
      </c>
      <c r="N248" s="34" t="s">
        <v>103</v>
      </c>
      <c r="O248" s="33" t="n">
        <f>44420</f>
        <v>44420.0</v>
      </c>
      <c r="P248" s="34" t="s">
        <v>69</v>
      </c>
      <c r="Q248" s="33" t="n">
        <f>46280</f>
        <v>46280.0</v>
      </c>
      <c r="R248" s="34" t="s">
        <v>51</v>
      </c>
      <c r="S248" s="35" t="n">
        <f>45674.21</f>
        <v>45674.21</v>
      </c>
      <c r="T248" s="32" t="n">
        <f>34935</f>
        <v>34935.0</v>
      </c>
      <c r="U248" s="32" t="n">
        <f>3</f>
        <v>3.0</v>
      </c>
      <c r="V248" s="32" t="n">
        <f>1602560870</f>
        <v>1.60256087E9</v>
      </c>
      <c r="W248" s="32" t="n">
        <f>138350</f>
        <v>138350.0</v>
      </c>
      <c r="X248" s="36" t="n">
        <f>19</f>
        <v>19.0</v>
      </c>
    </row>
    <row r="249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16705</f>
        <v>16705.0</v>
      </c>
      <c r="L249" s="34" t="s">
        <v>48</v>
      </c>
      <c r="M249" s="33" t="n">
        <f>17300</f>
        <v>17300.0</v>
      </c>
      <c r="N249" s="34" t="s">
        <v>159</v>
      </c>
      <c r="O249" s="33" t="n">
        <f>15765</f>
        <v>15765.0</v>
      </c>
      <c r="P249" s="34" t="s">
        <v>70</v>
      </c>
      <c r="Q249" s="33" t="n">
        <f>15940</f>
        <v>15940.0</v>
      </c>
      <c r="R249" s="34" t="s">
        <v>51</v>
      </c>
      <c r="S249" s="35" t="n">
        <f>16478.68</f>
        <v>16478.68</v>
      </c>
      <c r="T249" s="32" t="n">
        <f>106225</f>
        <v>106225.0</v>
      </c>
      <c r="U249" s="32" t="n">
        <f>4</f>
        <v>4.0</v>
      </c>
      <c r="V249" s="32" t="n">
        <f>1762633705</f>
        <v>1.762633705E9</v>
      </c>
      <c r="W249" s="32" t="n">
        <f>66920</f>
        <v>66920.0</v>
      </c>
      <c r="X249" s="36" t="n">
        <f>19</f>
        <v>19.0</v>
      </c>
    </row>
    <row r="250">
      <c r="A250" s="27" t="s">
        <v>42</v>
      </c>
      <c r="B250" s="27" t="s">
        <v>794</v>
      </c>
      <c r="C250" s="27" t="s">
        <v>795</v>
      </c>
      <c r="D250" s="27" t="s">
        <v>796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1053</f>
        <v>1053.0</v>
      </c>
      <c r="L250" s="34" t="s">
        <v>48</v>
      </c>
      <c r="M250" s="33" t="n">
        <f>1100</f>
        <v>1100.0</v>
      </c>
      <c r="N250" s="34" t="s">
        <v>70</v>
      </c>
      <c r="O250" s="33" t="n">
        <f>954</f>
        <v>954.0</v>
      </c>
      <c r="P250" s="34" t="s">
        <v>239</v>
      </c>
      <c r="Q250" s="33" t="n">
        <f>1017</f>
        <v>1017.0</v>
      </c>
      <c r="R250" s="34" t="s">
        <v>51</v>
      </c>
      <c r="S250" s="35" t="n">
        <f>1027.58</f>
        <v>1027.58</v>
      </c>
      <c r="T250" s="32" t="n">
        <f>289522</f>
        <v>289522.0</v>
      </c>
      <c r="U250" s="32" t="n">
        <f>2</f>
        <v>2.0</v>
      </c>
      <c r="V250" s="32" t="n">
        <f>301705519</f>
        <v>3.01705519E8</v>
      </c>
      <c r="W250" s="32" t="n">
        <f>2103</f>
        <v>2103.0</v>
      </c>
      <c r="X250" s="36" t="n">
        <f>19</f>
        <v>19.0</v>
      </c>
    </row>
    <row r="251">
      <c r="A251" s="27" t="s">
        <v>42</v>
      </c>
      <c r="B251" s="27" t="s">
        <v>797</v>
      </c>
      <c r="C251" s="27" t="s">
        <v>798</v>
      </c>
      <c r="D251" s="27" t="s">
        <v>799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259.8</f>
        <v>259.8</v>
      </c>
      <c r="L251" s="34" t="s">
        <v>48</v>
      </c>
      <c r="M251" s="33" t="n">
        <f>259.8</f>
        <v>259.8</v>
      </c>
      <c r="N251" s="34" t="s">
        <v>48</v>
      </c>
      <c r="O251" s="33" t="n">
        <f>238.8</f>
        <v>238.8</v>
      </c>
      <c r="P251" s="34" t="s">
        <v>50</v>
      </c>
      <c r="Q251" s="33" t="n">
        <f>251.9</f>
        <v>251.9</v>
      </c>
      <c r="R251" s="34" t="s">
        <v>51</v>
      </c>
      <c r="S251" s="35" t="n">
        <f>246.85</f>
        <v>246.85</v>
      </c>
      <c r="T251" s="32" t="n">
        <f>52480</f>
        <v>52480.0</v>
      </c>
      <c r="U251" s="32" t="str">
        <f>"－"</f>
        <v>－</v>
      </c>
      <c r="V251" s="32" t="n">
        <f>12939412</f>
        <v>1.2939412E7</v>
      </c>
      <c r="W251" s="32" t="str">
        <f>"－"</f>
        <v>－</v>
      </c>
      <c r="X251" s="36" t="n">
        <f>19</f>
        <v>19.0</v>
      </c>
    </row>
    <row r="252">
      <c r="A252" s="27" t="s">
        <v>42</v>
      </c>
      <c r="B252" s="27" t="s">
        <v>800</v>
      </c>
      <c r="C252" s="27" t="s">
        <v>801</v>
      </c>
      <c r="D252" s="27" t="s">
        <v>802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772.8</f>
        <v>772.8</v>
      </c>
      <c r="L252" s="34" t="s">
        <v>48</v>
      </c>
      <c r="M252" s="33" t="n">
        <f>787.5</f>
        <v>787.5</v>
      </c>
      <c r="N252" s="34" t="s">
        <v>159</v>
      </c>
      <c r="O252" s="33" t="n">
        <f>767</f>
        <v>767.0</v>
      </c>
      <c r="P252" s="34" t="s">
        <v>226</v>
      </c>
      <c r="Q252" s="33" t="n">
        <f>782.7</f>
        <v>782.7</v>
      </c>
      <c r="R252" s="34" t="s">
        <v>51</v>
      </c>
      <c r="S252" s="35" t="n">
        <f>777.77</f>
        <v>777.77</v>
      </c>
      <c r="T252" s="32" t="n">
        <f>26794120</f>
        <v>2.679412E7</v>
      </c>
      <c r="U252" s="32" t="n">
        <f>25800000</f>
        <v>2.58E7</v>
      </c>
      <c r="V252" s="32" t="n">
        <f>20843706664</f>
        <v>2.0843706664E10</v>
      </c>
      <c r="W252" s="32" t="n">
        <f>20067832000</f>
        <v>2.0067832E10</v>
      </c>
      <c r="X252" s="36" t="n">
        <f>19</f>
        <v>19.0</v>
      </c>
    </row>
    <row r="253">
      <c r="A253" s="27" t="s">
        <v>42</v>
      </c>
      <c r="B253" s="27" t="s">
        <v>803</v>
      </c>
      <c r="C253" s="27" t="s">
        <v>804</v>
      </c>
      <c r="D253" s="27" t="s">
        <v>805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1276</f>
        <v>1276.0</v>
      </c>
      <c r="L253" s="34" t="s">
        <v>48</v>
      </c>
      <c r="M253" s="33" t="n">
        <f>1312</f>
        <v>1312.0</v>
      </c>
      <c r="N253" s="34" t="s">
        <v>71</v>
      </c>
      <c r="O253" s="33" t="n">
        <f>1249</f>
        <v>1249.0</v>
      </c>
      <c r="P253" s="34" t="s">
        <v>69</v>
      </c>
      <c r="Q253" s="33" t="n">
        <f>1305</f>
        <v>1305.0</v>
      </c>
      <c r="R253" s="34" t="s">
        <v>51</v>
      </c>
      <c r="S253" s="35" t="n">
        <f>1278.21</f>
        <v>1278.21</v>
      </c>
      <c r="T253" s="32" t="n">
        <f>74667</f>
        <v>74667.0</v>
      </c>
      <c r="U253" s="32" t="n">
        <f>4</f>
        <v>4.0</v>
      </c>
      <c r="V253" s="32" t="n">
        <f>95806745</f>
        <v>9.5806745E7</v>
      </c>
      <c r="W253" s="32" t="n">
        <f>5052</f>
        <v>5052.0</v>
      </c>
      <c r="X253" s="36" t="n">
        <f>19</f>
        <v>19.0</v>
      </c>
    </row>
    <row r="254">
      <c r="A254" s="27" t="s">
        <v>42</v>
      </c>
      <c r="B254" s="27" t="s">
        <v>806</v>
      </c>
      <c r="C254" s="27" t="s">
        <v>807</v>
      </c>
      <c r="D254" s="27" t="s">
        <v>808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1229</f>
        <v>1229.0</v>
      </c>
      <c r="L254" s="34" t="s">
        <v>48</v>
      </c>
      <c r="M254" s="33" t="n">
        <f>1249</f>
        <v>1249.0</v>
      </c>
      <c r="N254" s="34" t="s">
        <v>62</v>
      </c>
      <c r="O254" s="33" t="n">
        <f>1208</f>
        <v>1208.0</v>
      </c>
      <c r="P254" s="34" t="s">
        <v>69</v>
      </c>
      <c r="Q254" s="33" t="n">
        <f>1238</f>
        <v>1238.0</v>
      </c>
      <c r="R254" s="34" t="s">
        <v>51</v>
      </c>
      <c r="S254" s="35" t="n">
        <f>1229.42</f>
        <v>1229.42</v>
      </c>
      <c r="T254" s="32" t="n">
        <f>150405</f>
        <v>150405.0</v>
      </c>
      <c r="U254" s="32" t="n">
        <f>7</f>
        <v>7.0</v>
      </c>
      <c r="V254" s="32" t="n">
        <f>184704543</f>
        <v>1.84704543E8</v>
      </c>
      <c r="W254" s="32" t="n">
        <f>8474</f>
        <v>8474.0</v>
      </c>
      <c r="X254" s="36" t="n">
        <f>19</f>
        <v>19.0</v>
      </c>
    </row>
    <row r="255">
      <c r="A255" s="27" t="s">
        <v>42</v>
      </c>
      <c r="B255" s="27" t="s">
        <v>809</v>
      </c>
      <c r="C255" s="27" t="s">
        <v>810</v>
      </c>
      <c r="D255" s="27" t="s">
        <v>811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870</f>
        <v>870.0</v>
      </c>
      <c r="L255" s="34" t="s">
        <v>48</v>
      </c>
      <c r="M255" s="33" t="n">
        <f>954</f>
        <v>954.0</v>
      </c>
      <c r="N255" s="34" t="s">
        <v>61</v>
      </c>
      <c r="O255" s="33" t="n">
        <f>848</f>
        <v>848.0</v>
      </c>
      <c r="P255" s="34" t="s">
        <v>226</v>
      </c>
      <c r="Q255" s="33" t="n">
        <f>921</f>
        <v>921.0</v>
      </c>
      <c r="R255" s="34" t="s">
        <v>51</v>
      </c>
      <c r="S255" s="35" t="n">
        <f>896.79</f>
        <v>896.79</v>
      </c>
      <c r="T255" s="32" t="n">
        <f>125069</f>
        <v>125069.0</v>
      </c>
      <c r="U255" s="32" t="n">
        <f>2</f>
        <v>2.0</v>
      </c>
      <c r="V255" s="32" t="n">
        <f>111269575</f>
        <v>1.11269575E8</v>
      </c>
      <c r="W255" s="32" t="n">
        <f>1735</f>
        <v>1735.0</v>
      </c>
      <c r="X255" s="36" t="n">
        <f>19</f>
        <v>19.0</v>
      </c>
    </row>
    <row r="256">
      <c r="A256" s="27" t="s">
        <v>42</v>
      </c>
      <c r="B256" s="27" t="s">
        <v>812</v>
      </c>
      <c r="C256" s="27" t="s">
        <v>813</v>
      </c>
      <c r="D256" s="27" t="s">
        <v>814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209.4</f>
        <v>209.4</v>
      </c>
      <c r="L256" s="34" t="s">
        <v>48</v>
      </c>
      <c r="M256" s="33" t="n">
        <f>210.2</f>
        <v>210.2</v>
      </c>
      <c r="N256" s="34" t="s">
        <v>49</v>
      </c>
      <c r="O256" s="33" t="n">
        <f>203.4</f>
        <v>203.4</v>
      </c>
      <c r="P256" s="34" t="s">
        <v>159</v>
      </c>
      <c r="Q256" s="33" t="n">
        <f>206.7</f>
        <v>206.7</v>
      </c>
      <c r="R256" s="34" t="s">
        <v>51</v>
      </c>
      <c r="S256" s="35" t="n">
        <f>206.54</f>
        <v>206.54</v>
      </c>
      <c r="T256" s="32" t="n">
        <f>11205320</f>
        <v>1.120532E7</v>
      </c>
      <c r="U256" s="32" t="n">
        <f>2894950</f>
        <v>2894950.0</v>
      </c>
      <c r="V256" s="32" t="n">
        <f>2317082776</f>
        <v>2.317082776E9</v>
      </c>
      <c r="W256" s="32" t="n">
        <f>600712972</f>
        <v>6.00712972E8</v>
      </c>
      <c r="X256" s="36" t="n">
        <f>19</f>
        <v>19.0</v>
      </c>
    </row>
    <row r="257">
      <c r="A257" s="27" t="s">
        <v>42</v>
      </c>
      <c r="B257" s="27" t="s">
        <v>815</v>
      </c>
      <c r="C257" s="27" t="s">
        <v>816</v>
      </c>
      <c r="D257" s="27" t="s">
        <v>817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223.3</f>
        <v>223.3</v>
      </c>
      <c r="L257" s="34" t="s">
        <v>48</v>
      </c>
      <c r="M257" s="33" t="n">
        <f>225.2</f>
        <v>225.2</v>
      </c>
      <c r="N257" s="34" t="s">
        <v>48</v>
      </c>
      <c r="O257" s="33" t="n">
        <f>212.5</f>
        <v>212.5</v>
      </c>
      <c r="P257" s="34" t="s">
        <v>51</v>
      </c>
      <c r="Q257" s="33" t="n">
        <f>213.1</f>
        <v>213.1</v>
      </c>
      <c r="R257" s="34" t="s">
        <v>51</v>
      </c>
      <c r="S257" s="35" t="n">
        <f>214.87</f>
        <v>214.87</v>
      </c>
      <c r="T257" s="32" t="n">
        <f>996070</f>
        <v>996070.0</v>
      </c>
      <c r="U257" s="32" t="str">
        <f>"－"</f>
        <v>－</v>
      </c>
      <c r="V257" s="32" t="n">
        <f>215208242</f>
        <v>2.15208242E8</v>
      </c>
      <c r="W257" s="32" t="str">
        <f>"－"</f>
        <v>－</v>
      </c>
      <c r="X257" s="36" t="n">
        <f>19</f>
        <v>19.0</v>
      </c>
    </row>
    <row r="258">
      <c r="A258" s="27" t="s">
        <v>42</v>
      </c>
      <c r="B258" s="27" t="s">
        <v>818</v>
      </c>
      <c r="C258" s="27" t="s">
        <v>819</v>
      </c>
      <c r="D258" s="27" t="s">
        <v>820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219.2</f>
        <v>219.2</v>
      </c>
      <c r="L258" s="34" t="s">
        <v>48</v>
      </c>
      <c r="M258" s="33" t="n">
        <f>221</f>
        <v>221.0</v>
      </c>
      <c r="N258" s="34" t="s">
        <v>49</v>
      </c>
      <c r="O258" s="33" t="n">
        <f>214.1</f>
        <v>214.1</v>
      </c>
      <c r="P258" s="34" t="s">
        <v>69</v>
      </c>
      <c r="Q258" s="33" t="n">
        <f>215.5</f>
        <v>215.5</v>
      </c>
      <c r="R258" s="34" t="s">
        <v>51</v>
      </c>
      <c r="S258" s="35" t="n">
        <f>216.53</f>
        <v>216.53</v>
      </c>
      <c r="T258" s="32" t="n">
        <f>552410</f>
        <v>552410.0</v>
      </c>
      <c r="U258" s="32" t="n">
        <f>4090</f>
        <v>4090.0</v>
      </c>
      <c r="V258" s="32" t="n">
        <f>119824544</f>
        <v>1.19824544E8</v>
      </c>
      <c r="W258" s="32" t="n">
        <f>826844</f>
        <v>826844.0</v>
      </c>
      <c r="X258" s="36" t="n">
        <f>19</f>
        <v>19.0</v>
      </c>
    </row>
    <row r="259">
      <c r="A259" s="27" t="s">
        <v>42</v>
      </c>
      <c r="B259" s="27" t="s">
        <v>821</v>
      </c>
      <c r="C259" s="27" t="s">
        <v>822</v>
      </c>
      <c r="D259" s="27" t="s">
        <v>823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225.4</f>
        <v>225.4</v>
      </c>
      <c r="L259" s="34" t="s">
        <v>48</v>
      </c>
      <c r="M259" s="33" t="n">
        <f>234.7</f>
        <v>234.7</v>
      </c>
      <c r="N259" s="34" t="s">
        <v>226</v>
      </c>
      <c r="O259" s="33" t="n">
        <f>219.8</f>
        <v>219.8</v>
      </c>
      <c r="P259" s="34" t="s">
        <v>51</v>
      </c>
      <c r="Q259" s="33" t="n">
        <f>220.9</f>
        <v>220.9</v>
      </c>
      <c r="R259" s="34" t="s">
        <v>51</v>
      </c>
      <c r="S259" s="35" t="n">
        <f>222.63</f>
        <v>222.63</v>
      </c>
      <c r="T259" s="32" t="n">
        <f>767720</f>
        <v>767720.0</v>
      </c>
      <c r="U259" s="32" t="n">
        <f>2260</f>
        <v>2260.0</v>
      </c>
      <c r="V259" s="32" t="n">
        <f>170707444</f>
        <v>1.70707444E8</v>
      </c>
      <c r="W259" s="32" t="n">
        <f>463292</f>
        <v>463292.0</v>
      </c>
      <c r="X259" s="36" t="n">
        <f>19</f>
        <v>19.0</v>
      </c>
    </row>
    <row r="260">
      <c r="A260" s="27" t="s">
        <v>42</v>
      </c>
      <c r="B260" s="27" t="s">
        <v>824</v>
      </c>
      <c r="C260" s="27" t="s">
        <v>825</v>
      </c>
      <c r="D260" s="27" t="s">
        <v>826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194.8</f>
        <v>194.8</v>
      </c>
      <c r="L260" s="34" t="s">
        <v>48</v>
      </c>
      <c r="M260" s="33" t="n">
        <f>195</f>
        <v>195.0</v>
      </c>
      <c r="N260" s="34" t="s">
        <v>226</v>
      </c>
      <c r="O260" s="33" t="n">
        <f>189.9</f>
        <v>189.9</v>
      </c>
      <c r="P260" s="34" t="s">
        <v>159</v>
      </c>
      <c r="Q260" s="33" t="n">
        <f>193</f>
        <v>193.0</v>
      </c>
      <c r="R260" s="34" t="s">
        <v>51</v>
      </c>
      <c r="S260" s="35" t="n">
        <f>192.44</f>
        <v>192.44</v>
      </c>
      <c r="T260" s="32" t="n">
        <f>1411680</f>
        <v>1411680.0</v>
      </c>
      <c r="U260" s="32" t="n">
        <f>1131170</f>
        <v>1131170.0</v>
      </c>
      <c r="V260" s="32" t="n">
        <f>272363511</f>
        <v>2.72363511E8</v>
      </c>
      <c r="W260" s="32" t="n">
        <f>218328061</f>
        <v>2.18328061E8</v>
      </c>
      <c r="X260" s="36" t="n">
        <f>19</f>
        <v>19.0</v>
      </c>
    </row>
    <row r="261">
      <c r="A261" s="27" t="s">
        <v>42</v>
      </c>
      <c r="B261" s="27" t="s">
        <v>827</v>
      </c>
      <c r="C261" s="27" t="s">
        <v>828</v>
      </c>
      <c r="D261" s="27" t="s">
        <v>829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2090</f>
        <v>2090.0</v>
      </c>
      <c r="L261" s="34" t="s">
        <v>48</v>
      </c>
      <c r="M261" s="33" t="n">
        <f>2090</f>
        <v>2090.0</v>
      </c>
      <c r="N261" s="34" t="s">
        <v>48</v>
      </c>
      <c r="O261" s="33" t="n">
        <f>1932</f>
        <v>1932.0</v>
      </c>
      <c r="P261" s="34" t="s">
        <v>239</v>
      </c>
      <c r="Q261" s="33" t="n">
        <f>1969</f>
        <v>1969.0</v>
      </c>
      <c r="R261" s="34" t="s">
        <v>51</v>
      </c>
      <c r="S261" s="35" t="n">
        <f>1984.32</f>
        <v>1984.32</v>
      </c>
      <c r="T261" s="32" t="n">
        <f>976240</f>
        <v>976240.0</v>
      </c>
      <c r="U261" s="32" t="n">
        <f>53</f>
        <v>53.0</v>
      </c>
      <c r="V261" s="32" t="n">
        <f>1927587149</f>
        <v>1.927587149E9</v>
      </c>
      <c r="W261" s="32" t="n">
        <f>105276</f>
        <v>105276.0</v>
      </c>
      <c r="X261" s="36" t="n">
        <f>19</f>
        <v>19.0</v>
      </c>
    </row>
    <row r="262">
      <c r="A262" s="27" t="s">
        <v>42</v>
      </c>
      <c r="B262" s="27" t="s">
        <v>830</v>
      </c>
      <c r="C262" s="27" t="s">
        <v>831</v>
      </c>
      <c r="D262" s="27" t="s">
        <v>832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1049</f>
        <v>1049.0</v>
      </c>
      <c r="L262" s="34" t="s">
        <v>48</v>
      </c>
      <c r="M262" s="33" t="n">
        <f>1049</f>
        <v>1049.0</v>
      </c>
      <c r="N262" s="34" t="s">
        <v>48</v>
      </c>
      <c r="O262" s="33" t="n">
        <f>994</f>
        <v>994.0</v>
      </c>
      <c r="P262" s="34" t="s">
        <v>50</v>
      </c>
      <c r="Q262" s="33" t="n">
        <f>1040</f>
        <v>1040.0</v>
      </c>
      <c r="R262" s="34" t="s">
        <v>51</v>
      </c>
      <c r="S262" s="35" t="n">
        <f>1020.32</f>
        <v>1020.32</v>
      </c>
      <c r="T262" s="32" t="n">
        <f>150213</f>
        <v>150213.0</v>
      </c>
      <c r="U262" s="32" t="n">
        <f>59770</f>
        <v>59770.0</v>
      </c>
      <c r="V262" s="32" t="n">
        <f>152635102</f>
        <v>1.52635102E8</v>
      </c>
      <c r="W262" s="32" t="n">
        <f>60733677</f>
        <v>6.0733677E7</v>
      </c>
      <c r="X262" s="36" t="n">
        <f>19</f>
        <v>19.0</v>
      </c>
    </row>
    <row r="263">
      <c r="A263" s="27" t="s">
        <v>42</v>
      </c>
      <c r="B263" s="27" t="s">
        <v>833</v>
      </c>
      <c r="C263" s="27" t="s">
        <v>834</v>
      </c>
      <c r="D263" s="27" t="s">
        <v>835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1025</f>
        <v>1025.0</v>
      </c>
      <c r="L263" s="34" t="s">
        <v>48</v>
      </c>
      <c r="M263" s="33" t="n">
        <f>1026</f>
        <v>1026.0</v>
      </c>
      <c r="N263" s="34" t="s">
        <v>49</v>
      </c>
      <c r="O263" s="33" t="n">
        <f>978</f>
        <v>978.0</v>
      </c>
      <c r="P263" s="34" t="s">
        <v>50</v>
      </c>
      <c r="Q263" s="33" t="n">
        <f>1022</f>
        <v>1022.0</v>
      </c>
      <c r="R263" s="34" t="s">
        <v>51</v>
      </c>
      <c r="S263" s="35" t="n">
        <f>1005.63</f>
        <v>1005.63</v>
      </c>
      <c r="T263" s="32" t="n">
        <f>1294611</f>
        <v>1294611.0</v>
      </c>
      <c r="U263" s="32" t="n">
        <f>580281</f>
        <v>580281.0</v>
      </c>
      <c r="V263" s="32" t="n">
        <f>1301075675</f>
        <v>1.301075675E9</v>
      </c>
      <c r="W263" s="32" t="n">
        <f>589082062</f>
        <v>5.89082062E8</v>
      </c>
      <c r="X263" s="36" t="n">
        <f>19</f>
        <v>19.0</v>
      </c>
    </row>
    <row r="264">
      <c r="A264" s="27" t="s">
        <v>42</v>
      </c>
      <c r="B264" s="27" t="s">
        <v>836</v>
      </c>
      <c r="C264" s="27" t="s">
        <v>837</v>
      </c>
      <c r="D264" s="27" t="s">
        <v>838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495.2</f>
        <v>495.2</v>
      </c>
      <c r="L264" s="34" t="s">
        <v>48</v>
      </c>
      <c r="M264" s="33" t="n">
        <f>495.2</f>
        <v>495.2</v>
      </c>
      <c r="N264" s="34" t="s">
        <v>48</v>
      </c>
      <c r="O264" s="33" t="n">
        <f>487.1</f>
        <v>487.1</v>
      </c>
      <c r="P264" s="34" t="s">
        <v>181</v>
      </c>
      <c r="Q264" s="33" t="n">
        <f>488.6</f>
        <v>488.6</v>
      </c>
      <c r="R264" s="34" t="s">
        <v>51</v>
      </c>
      <c r="S264" s="35" t="n">
        <f>489.47</f>
        <v>489.47</v>
      </c>
      <c r="T264" s="32" t="n">
        <f>37050</f>
        <v>37050.0</v>
      </c>
      <c r="U264" s="32" t="n">
        <f>30</f>
        <v>30.0</v>
      </c>
      <c r="V264" s="32" t="n">
        <f>18131318</f>
        <v>1.8131318E7</v>
      </c>
      <c r="W264" s="32" t="n">
        <f>14695</f>
        <v>14695.0</v>
      </c>
      <c r="X264" s="36" t="n">
        <f>19</f>
        <v>19.0</v>
      </c>
    </row>
    <row r="265">
      <c r="A265" s="27" t="s">
        <v>42</v>
      </c>
      <c r="B265" s="27" t="s">
        <v>839</v>
      </c>
      <c r="C265" s="27" t="s">
        <v>840</v>
      </c>
      <c r="D265" s="27" t="s">
        <v>841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184.2</f>
        <v>184.2</v>
      </c>
      <c r="L265" s="34" t="s">
        <v>48</v>
      </c>
      <c r="M265" s="33" t="n">
        <f>184.4</f>
        <v>184.4</v>
      </c>
      <c r="N265" s="34" t="s">
        <v>49</v>
      </c>
      <c r="O265" s="33" t="n">
        <f>172</f>
        <v>172.0</v>
      </c>
      <c r="P265" s="34" t="s">
        <v>159</v>
      </c>
      <c r="Q265" s="33" t="n">
        <f>177.8</f>
        <v>177.8</v>
      </c>
      <c r="R265" s="34" t="s">
        <v>51</v>
      </c>
      <c r="S265" s="35" t="n">
        <f>177.45</f>
        <v>177.45</v>
      </c>
      <c r="T265" s="32" t="n">
        <f>5016010</f>
        <v>5016010.0</v>
      </c>
      <c r="U265" s="32" t="str">
        <f>"－"</f>
        <v>－</v>
      </c>
      <c r="V265" s="32" t="n">
        <f>882233176</f>
        <v>8.82233176E8</v>
      </c>
      <c r="W265" s="32" t="str">
        <f>"－"</f>
        <v>－</v>
      </c>
      <c r="X265" s="36" t="n">
        <f>19</f>
        <v>19.0</v>
      </c>
    </row>
    <row r="266">
      <c r="A266" s="27" t="s">
        <v>42</v>
      </c>
      <c r="B266" s="27" t="s">
        <v>842</v>
      </c>
      <c r="C266" s="27" t="s">
        <v>843</v>
      </c>
      <c r="D266" s="27" t="s">
        <v>844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163.4</f>
        <v>163.4</v>
      </c>
      <c r="L266" s="34" t="s">
        <v>48</v>
      </c>
      <c r="M266" s="33" t="n">
        <f>163.4</f>
        <v>163.4</v>
      </c>
      <c r="N266" s="34" t="s">
        <v>48</v>
      </c>
      <c r="O266" s="33" t="n">
        <f>151.9</f>
        <v>151.9</v>
      </c>
      <c r="P266" s="34" t="s">
        <v>159</v>
      </c>
      <c r="Q266" s="33" t="n">
        <f>159.6</f>
        <v>159.6</v>
      </c>
      <c r="R266" s="34" t="s">
        <v>51</v>
      </c>
      <c r="S266" s="35" t="n">
        <f>157.76</f>
        <v>157.76</v>
      </c>
      <c r="T266" s="32" t="n">
        <f>2786870</f>
        <v>2786870.0</v>
      </c>
      <c r="U266" s="32" t="n">
        <f>50</f>
        <v>50.0</v>
      </c>
      <c r="V266" s="32" t="n">
        <f>434055783</f>
        <v>4.34055783E8</v>
      </c>
      <c r="W266" s="32" t="n">
        <f>7398</f>
        <v>7398.0</v>
      </c>
      <c r="X266" s="36" t="n">
        <f>19</f>
        <v>19.0</v>
      </c>
    </row>
    <row r="267">
      <c r="A267" s="27" t="s">
        <v>42</v>
      </c>
      <c r="B267" s="27" t="s">
        <v>845</v>
      </c>
      <c r="C267" s="27" t="s">
        <v>846</v>
      </c>
      <c r="D267" s="27" t="s">
        <v>847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901.1</f>
        <v>901.1</v>
      </c>
      <c r="L267" s="34" t="s">
        <v>48</v>
      </c>
      <c r="M267" s="33" t="n">
        <f>903.4</f>
        <v>903.4</v>
      </c>
      <c r="N267" s="34" t="s">
        <v>51</v>
      </c>
      <c r="O267" s="33" t="n">
        <f>890.5</f>
        <v>890.5</v>
      </c>
      <c r="P267" s="34" t="s">
        <v>69</v>
      </c>
      <c r="Q267" s="33" t="n">
        <f>902</f>
        <v>902.0</v>
      </c>
      <c r="R267" s="34" t="s">
        <v>51</v>
      </c>
      <c r="S267" s="35" t="n">
        <f>896.77</f>
        <v>896.77</v>
      </c>
      <c r="T267" s="32" t="n">
        <f>7771110</f>
        <v>7771110.0</v>
      </c>
      <c r="U267" s="32" t="n">
        <f>6571840</f>
        <v>6571840.0</v>
      </c>
      <c r="V267" s="32" t="n">
        <f>6969088001</f>
        <v>6.969088001E9</v>
      </c>
      <c r="W267" s="32" t="n">
        <f>5893610503</f>
        <v>5.893610503E9</v>
      </c>
      <c r="X267" s="36" t="n">
        <f>19</f>
        <v>19.0</v>
      </c>
    </row>
    <row r="268">
      <c r="A268" s="27" t="s">
        <v>42</v>
      </c>
      <c r="B268" s="27" t="s">
        <v>848</v>
      </c>
      <c r="C268" s="27" t="s">
        <v>849</v>
      </c>
      <c r="D268" s="27" t="s">
        <v>850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1120</f>
        <v>1120.0</v>
      </c>
      <c r="L268" s="34" t="s">
        <v>48</v>
      </c>
      <c r="M268" s="33" t="n">
        <f>1123</f>
        <v>1123.0</v>
      </c>
      <c r="N268" s="34" t="s">
        <v>48</v>
      </c>
      <c r="O268" s="33" t="n">
        <f>1091.5</f>
        <v>1091.5</v>
      </c>
      <c r="P268" s="34" t="s">
        <v>216</v>
      </c>
      <c r="Q268" s="33" t="n">
        <f>1102</f>
        <v>1102.0</v>
      </c>
      <c r="R268" s="34" t="s">
        <v>51</v>
      </c>
      <c r="S268" s="35" t="n">
        <f>1105.39</f>
        <v>1105.39</v>
      </c>
      <c r="T268" s="32" t="n">
        <f>2579790</f>
        <v>2579790.0</v>
      </c>
      <c r="U268" s="32" t="n">
        <f>1625200</f>
        <v>1625200.0</v>
      </c>
      <c r="V268" s="32" t="n">
        <f>2858637691</f>
        <v>2.858637691E9</v>
      </c>
      <c r="W268" s="32" t="n">
        <f>1802183206</f>
        <v>1.802183206E9</v>
      </c>
      <c r="X268" s="36" t="n">
        <f>19</f>
        <v>19.0</v>
      </c>
    </row>
    <row r="269">
      <c r="A269" s="27" t="s">
        <v>42</v>
      </c>
      <c r="B269" s="27" t="s">
        <v>851</v>
      </c>
      <c r="C269" s="27" t="s">
        <v>852</v>
      </c>
      <c r="D269" s="27" t="s">
        <v>853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769.8</f>
        <v>769.8</v>
      </c>
      <c r="L269" s="34" t="s">
        <v>48</v>
      </c>
      <c r="M269" s="33" t="n">
        <f>769.9</f>
        <v>769.9</v>
      </c>
      <c r="N269" s="34" t="s">
        <v>49</v>
      </c>
      <c r="O269" s="33" t="n">
        <f>755.2</f>
        <v>755.2</v>
      </c>
      <c r="P269" s="34" t="s">
        <v>181</v>
      </c>
      <c r="Q269" s="33" t="n">
        <f>765.9</f>
        <v>765.9</v>
      </c>
      <c r="R269" s="34" t="s">
        <v>51</v>
      </c>
      <c r="S269" s="35" t="n">
        <f>763.57</f>
        <v>763.57</v>
      </c>
      <c r="T269" s="32" t="n">
        <f>2842990</f>
        <v>2842990.0</v>
      </c>
      <c r="U269" s="32" t="n">
        <f>2578220</f>
        <v>2578220.0</v>
      </c>
      <c r="V269" s="32" t="n">
        <f>2171193321</f>
        <v>2.171193321E9</v>
      </c>
      <c r="W269" s="32" t="n">
        <f>1968941285</f>
        <v>1.968941285E9</v>
      </c>
      <c r="X269" s="36" t="n">
        <f>19</f>
        <v>19.0</v>
      </c>
    </row>
    <row r="270">
      <c r="A270" s="27" t="s">
        <v>42</v>
      </c>
      <c r="B270" s="27" t="s">
        <v>854</v>
      </c>
      <c r="C270" s="27" t="s">
        <v>855</v>
      </c>
      <c r="D270" s="27" t="s">
        <v>856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2708</f>
        <v>2708.0</v>
      </c>
      <c r="L270" s="34" t="s">
        <v>48</v>
      </c>
      <c r="M270" s="33" t="n">
        <f>2783</f>
        <v>2783.0</v>
      </c>
      <c r="N270" s="34" t="s">
        <v>70</v>
      </c>
      <c r="O270" s="33" t="n">
        <f>2668</f>
        <v>2668.0</v>
      </c>
      <c r="P270" s="34" t="s">
        <v>69</v>
      </c>
      <c r="Q270" s="33" t="n">
        <f>2752</f>
        <v>2752.0</v>
      </c>
      <c r="R270" s="34" t="s">
        <v>51</v>
      </c>
      <c r="S270" s="35" t="n">
        <f>2723.05</f>
        <v>2723.05</v>
      </c>
      <c r="T270" s="32" t="n">
        <f>1530020</f>
        <v>1530020.0</v>
      </c>
      <c r="U270" s="32" t="n">
        <f>1031100</f>
        <v>1031100.0</v>
      </c>
      <c r="V270" s="32" t="n">
        <f>4159461495</f>
        <v>4.159461495E9</v>
      </c>
      <c r="W270" s="32" t="n">
        <f>2805748410</f>
        <v>2.80574841E9</v>
      </c>
      <c r="X270" s="36" t="n">
        <f>19</f>
        <v>19.0</v>
      </c>
    </row>
    <row r="271">
      <c r="A271" s="27" t="s">
        <v>42</v>
      </c>
      <c r="B271" s="27" t="s">
        <v>857</v>
      </c>
      <c r="C271" s="27" t="s">
        <v>858</v>
      </c>
      <c r="D271" s="27" t="s">
        <v>859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1668</f>
        <v>1668.0</v>
      </c>
      <c r="L271" s="34" t="s">
        <v>48</v>
      </c>
      <c r="M271" s="33" t="n">
        <f>1715.5</f>
        <v>1715.5</v>
      </c>
      <c r="N271" s="34" t="s">
        <v>51</v>
      </c>
      <c r="O271" s="33" t="n">
        <f>1641</f>
        <v>1641.0</v>
      </c>
      <c r="P271" s="34" t="s">
        <v>159</v>
      </c>
      <c r="Q271" s="33" t="n">
        <f>1714</f>
        <v>1714.0</v>
      </c>
      <c r="R271" s="34" t="s">
        <v>51</v>
      </c>
      <c r="S271" s="35" t="n">
        <f>1680.63</f>
        <v>1680.63</v>
      </c>
      <c r="T271" s="32" t="n">
        <f>503140</f>
        <v>503140.0</v>
      </c>
      <c r="U271" s="32" t="n">
        <f>231100</f>
        <v>231100.0</v>
      </c>
      <c r="V271" s="32" t="n">
        <f>840939205</f>
        <v>8.40939205E8</v>
      </c>
      <c r="W271" s="32" t="n">
        <f>384543635</f>
        <v>3.84543635E8</v>
      </c>
      <c r="X271" s="36" t="n">
        <f>19</f>
        <v>19.0</v>
      </c>
    </row>
    <row r="272">
      <c r="A272" s="27" t="s">
        <v>42</v>
      </c>
      <c r="B272" s="27" t="s">
        <v>860</v>
      </c>
      <c r="C272" s="27" t="s">
        <v>861</v>
      </c>
      <c r="D272" s="27" t="s">
        <v>862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1466</f>
        <v>1466.0</v>
      </c>
      <c r="L272" s="34" t="s">
        <v>48</v>
      </c>
      <c r="M272" s="33" t="n">
        <f>1468</f>
        <v>1468.0</v>
      </c>
      <c r="N272" s="34" t="s">
        <v>62</v>
      </c>
      <c r="O272" s="33" t="n">
        <f>1416</f>
        <v>1416.0</v>
      </c>
      <c r="P272" s="34" t="s">
        <v>69</v>
      </c>
      <c r="Q272" s="33" t="n">
        <f>1445</f>
        <v>1445.0</v>
      </c>
      <c r="R272" s="34" t="s">
        <v>51</v>
      </c>
      <c r="S272" s="35" t="n">
        <f>1444.95</f>
        <v>1444.95</v>
      </c>
      <c r="T272" s="32" t="n">
        <f>914940</f>
        <v>914940.0</v>
      </c>
      <c r="U272" s="32" t="n">
        <f>300850</f>
        <v>300850.0</v>
      </c>
      <c r="V272" s="32" t="n">
        <f>1323719005</f>
        <v>1.323719005E9</v>
      </c>
      <c r="W272" s="32" t="n">
        <f>436212470</f>
        <v>4.3621247E8</v>
      </c>
      <c r="X272" s="36" t="n">
        <f>19</f>
        <v>19.0</v>
      </c>
    </row>
    <row r="273">
      <c r="A273" s="27" t="s">
        <v>42</v>
      </c>
      <c r="B273" s="27" t="s">
        <v>863</v>
      </c>
      <c r="C273" s="27" t="s">
        <v>864</v>
      </c>
      <c r="D273" s="27" t="s">
        <v>865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502.5</f>
        <v>502.5</v>
      </c>
      <c r="L273" s="34" t="s">
        <v>48</v>
      </c>
      <c r="M273" s="33" t="n">
        <f>516.5</f>
        <v>516.5</v>
      </c>
      <c r="N273" s="34" t="s">
        <v>61</v>
      </c>
      <c r="O273" s="33" t="n">
        <f>482.1</f>
        <v>482.1</v>
      </c>
      <c r="P273" s="34" t="s">
        <v>50</v>
      </c>
      <c r="Q273" s="33" t="n">
        <f>508.8</f>
        <v>508.8</v>
      </c>
      <c r="R273" s="34" t="s">
        <v>51</v>
      </c>
      <c r="S273" s="35" t="n">
        <f>499.07</f>
        <v>499.07</v>
      </c>
      <c r="T273" s="32" t="n">
        <f>12587550</f>
        <v>1.258755E7</v>
      </c>
      <c r="U273" s="32" t="n">
        <f>2672870</f>
        <v>2672870.0</v>
      </c>
      <c r="V273" s="32" t="n">
        <f>6322506288</f>
        <v>6.322506288E9</v>
      </c>
      <c r="W273" s="32" t="n">
        <f>1363122368</f>
        <v>1.363122368E9</v>
      </c>
      <c r="X273" s="36" t="n">
        <f>19</f>
        <v>19.0</v>
      </c>
    </row>
    <row r="274">
      <c r="A274" s="27" t="s">
        <v>42</v>
      </c>
      <c r="B274" s="27" t="s">
        <v>866</v>
      </c>
      <c r="C274" s="27" t="s">
        <v>867</v>
      </c>
      <c r="D274" s="27" t="s">
        <v>868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1014</f>
        <v>1014.0</v>
      </c>
      <c r="L274" s="34" t="s">
        <v>48</v>
      </c>
      <c r="M274" s="33" t="n">
        <f>1052</f>
        <v>1052.0</v>
      </c>
      <c r="N274" s="34" t="s">
        <v>239</v>
      </c>
      <c r="O274" s="33" t="n">
        <f>992.3</f>
        <v>992.3</v>
      </c>
      <c r="P274" s="34" t="s">
        <v>103</v>
      </c>
      <c r="Q274" s="33" t="n">
        <f>1045</f>
        <v>1045.0</v>
      </c>
      <c r="R274" s="34" t="s">
        <v>51</v>
      </c>
      <c r="S274" s="35" t="n">
        <f>1011.34</f>
        <v>1011.34</v>
      </c>
      <c r="T274" s="32" t="n">
        <f>1110470</f>
        <v>1110470.0</v>
      </c>
      <c r="U274" s="32" t="n">
        <f>1002100</f>
        <v>1002100.0</v>
      </c>
      <c r="V274" s="32" t="n">
        <f>1112332686</f>
        <v>1.112332686E9</v>
      </c>
      <c r="W274" s="32" t="n">
        <f>1002612594</f>
        <v>1.002612594E9</v>
      </c>
      <c r="X274" s="36" t="n">
        <f>19</f>
        <v>19.0</v>
      </c>
    </row>
    <row r="275">
      <c r="A275" s="27" t="s">
        <v>42</v>
      </c>
      <c r="B275" s="27" t="s">
        <v>869</v>
      </c>
      <c r="C275" s="27" t="s">
        <v>870</v>
      </c>
      <c r="D275" s="27" t="s">
        <v>871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1617</f>
        <v>1617.0</v>
      </c>
      <c r="L275" s="34" t="s">
        <v>48</v>
      </c>
      <c r="M275" s="33" t="n">
        <f>1625</f>
        <v>1625.0</v>
      </c>
      <c r="N275" s="34" t="s">
        <v>51</v>
      </c>
      <c r="O275" s="33" t="n">
        <f>1545</f>
        <v>1545.0</v>
      </c>
      <c r="P275" s="34" t="s">
        <v>50</v>
      </c>
      <c r="Q275" s="33" t="n">
        <f>1625</f>
        <v>1625.0</v>
      </c>
      <c r="R275" s="34" t="s">
        <v>51</v>
      </c>
      <c r="S275" s="35" t="n">
        <f>1593.53</f>
        <v>1593.53</v>
      </c>
      <c r="T275" s="32" t="n">
        <f>51148</f>
        <v>51148.0</v>
      </c>
      <c r="U275" s="32" t="n">
        <f>2</f>
        <v>2.0</v>
      </c>
      <c r="V275" s="32" t="n">
        <f>81206577</f>
        <v>8.1206577E7</v>
      </c>
      <c r="W275" s="32" t="n">
        <f>3207</f>
        <v>3207.0</v>
      </c>
      <c r="X275" s="36" t="n">
        <f>19</f>
        <v>19.0</v>
      </c>
    </row>
    <row r="276">
      <c r="A276" s="27" t="s">
        <v>42</v>
      </c>
      <c r="B276" s="27" t="s">
        <v>872</v>
      </c>
      <c r="C276" s="27" t="s">
        <v>873</v>
      </c>
      <c r="D276" s="27" t="s">
        <v>874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1121</f>
        <v>1121.0</v>
      </c>
      <c r="L276" s="34" t="s">
        <v>48</v>
      </c>
      <c r="M276" s="33" t="n">
        <f>1135</f>
        <v>1135.0</v>
      </c>
      <c r="N276" s="34" t="s">
        <v>239</v>
      </c>
      <c r="O276" s="33" t="n">
        <f>1096.5</f>
        <v>1096.5</v>
      </c>
      <c r="P276" s="34" t="s">
        <v>50</v>
      </c>
      <c r="Q276" s="33" t="n">
        <f>1117</f>
        <v>1117.0</v>
      </c>
      <c r="R276" s="34" t="s">
        <v>51</v>
      </c>
      <c r="S276" s="35" t="n">
        <f>1117.63</f>
        <v>1117.63</v>
      </c>
      <c r="T276" s="32" t="n">
        <f>51850</f>
        <v>51850.0</v>
      </c>
      <c r="U276" s="32" t="n">
        <f>120</f>
        <v>120.0</v>
      </c>
      <c r="V276" s="32" t="n">
        <f>57928270</f>
        <v>5.792827E7</v>
      </c>
      <c r="W276" s="32" t="n">
        <f>134705</f>
        <v>134705.0</v>
      </c>
      <c r="X276" s="36" t="n">
        <f>19</f>
        <v>19.0</v>
      </c>
    </row>
    <row r="277">
      <c r="A277" s="27" t="s">
        <v>42</v>
      </c>
      <c r="B277" s="27" t="s">
        <v>875</v>
      </c>
      <c r="C277" s="27" t="s">
        <v>876</v>
      </c>
      <c r="D277" s="27" t="s">
        <v>877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1479</f>
        <v>1479.0</v>
      </c>
      <c r="L277" s="34" t="s">
        <v>48</v>
      </c>
      <c r="M277" s="33" t="n">
        <f>1500</f>
        <v>1500.0</v>
      </c>
      <c r="N277" s="34" t="s">
        <v>48</v>
      </c>
      <c r="O277" s="33" t="n">
        <f>1428</f>
        <v>1428.0</v>
      </c>
      <c r="P277" s="34" t="s">
        <v>69</v>
      </c>
      <c r="Q277" s="33" t="n">
        <f>1485</f>
        <v>1485.0</v>
      </c>
      <c r="R277" s="34" t="s">
        <v>51</v>
      </c>
      <c r="S277" s="35" t="n">
        <f>1462.76</f>
        <v>1462.76</v>
      </c>
      <c r="T277" s="32" t="n">
        <f>67410</f>
        <v>67410.0</v>
      </c>
      <c r="U277" s="32" t="n">
        <f>10</f>
        <v>10.0</v>
      </c>
      <c r="V277" s="32" t="n">
        <f>98717950</f>
        <v>9.871795E7</v>
      </c>
      <c r="W277" s="32" t="n">
        <f>14650</f>
        <v>14650.0</v>
      </c>
      <c r="X277" s="36" t="n">
        <f>19</f>
        <v>19.0</v>
      </c>
    </row>
    <row r="278">
      <c r="A278" s="27" t="s">
        <v>42</v>
      </c>
      <c r="B278" s="27" t="s">
        <v>878</v>
      </c>
      <c r="C278" s="27" t="s">
        <v>879</v>
      </c>
      <c r="D278" s="27" t="s">
        <v>880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1793.5</f>
        <v>1793.5</v>
      </c>
      <c r="L278" s="34" t="s">
        <v>48</v>
      </c>
      <c r="M278" s="33" t="n">
        <f>1823</f>
        <v>1823.0</v>
      </c>
      <c r="N278" s="34" t="s">
        <v>70</v>
      </c>
      <c r="O278" s="33" t="n">
        <f>1759</f>
        <v>1759.0</v>
      </c>
      <c r="P278" s="34" t="s">
        <v>159</v>
      </c>
      <c r="Q278" s="33" t="n">
        <f>1812</f>
        <v>1812.0</v>
      </c>
      <c r="R278" s="34" t="s">
        <v>51</v>
      </c>
      <c r="S278" s="35" t="n">
        <f>1791.87</f>
        <v>1791.87</v>
      </c>
      <c r="T278" s="32" t="n">
        <f>5750510</f>
        <v>5750510.0</v>
      </c>
      <c r="U278" s="32" t="n">
        <f>4386910</f>
        <v>4386910.0</v>
      </c>
      <c r="V278" s="32" t="n">
        <f>10307254152</f>
        <v>1.0307254152E10</v>
      </c>
      <c r="W278" s="32" t="n">
        <f>7872216667</f>
        <v>7.872216667E9</v>
      </c>
      <c r="X278" s="36" t="n">
        <f>19</f>
        <v>19.0</v>
      </c>
    </row>
    <row r="279">
      <c r="A279" s="27" t="s">
        <v>42</v>
      </c>
      <c r="B279" s="27" t="s">
        <v>881</v>
      </c>
      <c r="C279" s="27" t="s">
        <v>882</v>
      </c>
      <c r="D279" s="27" t="s">
        <v>883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5830</f>
        <v>5830.0</v>
      </c>
      <c r="L279" s="34" t="s">
        <v>48</v>
      </c>
      <c r="M279" s="33" t="n">
        <f>6150</f>
        <v>6150.0</v>
      </c>
      <c r="N279" s="34" t="s">
        <v>70</v>
      </c>
      <c r="O279" s="33" t="n">
        <f>5720</f>
        <v>5720.0</v>
      </c>
      <c r="P279" s="34" t="s">
        <v>69</v>
      </c>
      <c r="Q279" s="33" t="n">
        <f>5940</f>
        <v>5940.0</v>
      </c>
      <c r="R279" s="34" t="s">
        <v>51</v>
      </c>
      <c r="S279" s="35" t="n">
        <f>5921.05</f>
        <v>5921.05</v>
      </c>
      <c r="T279" s="32" t="n">
        <f>134824</f>
        <v>134824.0</v>
      </c>
      <c r="U279" s="32" t="str">
        <f>"－"</f>
        <v>－</v>
      </c>
      <c r="V279" s="32" t="n">
        <f>798887580</f>
        <v>7.9888758E8</v>
      </c>
      <c r="W279" s="32" t="str">
        <f>"－"</f>
        <v>－</v>
      </c>
      <c r="X279" s="36" t="n">
        <f>19</f>
        <v>19.0</v>
      </c>
    </row>
    <row r="280">
      <c r="A280" s="27" t="s">
        <v>42</v>
      </c>
      <c r="B280" s="27" t="s">
        <v>884</v>
      </c>
      <c r="C280" s="27" t="s">
        <v>885</v>
      </c>
      <c r="D280" s="27" t="s">
        <v>886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2259</f>
        <v>2259.0</v>
      </c>
      <c r="L280" s="34" t="s">
        <v>216</v>
      </c>
      <c r="M280" s="33" t="n">
        <f>2333.5</f>
        <v>2333.5</v>
      </c>
      <c r="N280" s="34" t="s">
        <v>181</v>
      </c>
      <c r="O280" s="33" t="n">
        <f>2204</f>
        <v>2204.0</v>
      </c>
      <c r="P280" s="34" t="s">
        <v>71</v>
      </c>
      <c r="Q280" s="33" t="n">
        <f>2306.5</f>
        <v>2306.5</v>
      </c>
      <c r="R280" s="34" t="s">
        <v>71</v>
      </c>
      <c r="S280" s="35" t="n">
        <f>2298.38</f>
        <v>2298.38</v>
      </c>
      <c r="T280" s="32" t="n">
        <f>2170</f>
        <v>2170.0</v>
      </c>
      <c r="U280" s="32" t="str">
        <f>"－"</f>
        <v>－</v>
      </c>
      <c r="V280" s="32" t="n">
        <f>4944235</f>
        <v>4944235.0</v>
      </c>
      <c r="W280" s="32" t="str">
        <f>"－"</f>
        <v>－</v>
      </c>
      <c r="X280" s="36" t="n">
        <f>4</f>
        <v>4.0</v>
      </c>
    </row>
    <row r="281">
      <c r="A281" s="27" t="s">
        <v>42</v>
      </c>
      <c r="B281" s="27" t="s">
        <v>887</v>
      </c>
      <c r="C281" s="27" t="s">
        <v>888</v>
      </c>
      <c r="D281" s="27" t="s">
        <v>889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2864.5</f>
        <v>2864.5</v>
      </c>
      <c r="L281" s="34" t="s">
        <v>48</v>
      </c>
      <c r="M281" s="33" t="n">
        <f>2873.5</f>
        <v>2873.5</v>
      </c>
      <c r="N281" s="34" t="s">
        <v>51</v>
      </c>
      <c r="O281" s="33" t="n">
        <f>2729</f>
        <v>2729.0</v>
      </c>
      <c r="P281" s="34" t="s">
        <v>50</v>
      </c>
      <c r="Q281" s="33" t="n">
        <f>2867</f>
        <v>2867.0</v>
      </c>
      <c r="R281" s="34" t="s">
        <v>51</v>
      </c>
      <c r="S281" s="35" t="n">
        <f>2815.32</f>
        <v>2815.32</v>
      </c>
      <c r="T281" s="32" t="n">
        <f>471770</f>
        <v>471770.0</v>
      </c>
      <c r="U281" s="32" t="n">
        <f>50410</f>
        <v>50410.0</v>
      </c>
      <c r="V281" s="32" t="n">
        <f>1334145000</f>
        <v>1.334145E9</v>
      </c>
      <c r="W281" s="32" t="n">
        <f>143231440</f>
        <v>1.4323144E8</v>
      </c>
      <c r="X281" s="36" t="n">
        <f>19</f>
        <v>19.0</v>
      </c>
    </row>
    <row r="282">
      <c r="A282" s="27" t="s">
        <v>42</v>
      </c>
      <c r="B282" s="27" t="s">
        <v>890</v>
      </c>
      <c r="C282" s="27" t="s">
        <v>891</v>
      </c>
      <c r="D282" s="27" t="s">
        <v>892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40300</f>
        <v>40300.0</v>
      </c>
      <c r="L282" s="34" t="s">
        <v>48</v>
      </c>
      <c r="M282" s="33" t="n">
        <f>40510</f>
        <v>40510.0</v>
      </c>
      <c r="N282" s="34" t="s">
        <v>49</v>
      </c>
      <c r="O282" s="33" t="n">
        <f>38410</f>
        <v>38410.0</v>
      </c>
      <c r="P282" s="34" t="s">
        <v>50</v>
      </c>
      <c r="Q282" s="33" t="n">
        <f>40020</f>
        <v>40020.0</v>
      </c>
      <c r="R282" s="34" t="s">
        <v>51</v>
      </c>
      <c r="S282" s="35" t="n">
        <f>39662.22</f>
        <v>39662.22</v>
      </c>
      <c r="T282" s="32" t="n">
        <f>85141</f>
        <v>85141.0</v>
      </c>
      <c r="U282" s="32" t="n">
        <f>11484</f>
        <v>11484.0</v>
      </c>
      <c r="V282" s="32" t="n">
        <f>3378143041</f>
        <v>3.378143041E9</v>
      </c>
      <c r="W282" s="32" t="n">
        <f>459782851</f>
        <v>4.59782851E8</v>
      </c>
      <c r="X282" s="36" t="n">
        <f>18</f>
        <v>18.0</v>
      </c>
    </row>
    <row r="283">
      <c r="A283" s="27" t="s">
        <v>42</v>
      </c>
      <c r="B283" s="27" t="s">
        <v>893</v>
      </c>
      <c r="C283" s="27" t="s">
        <v>894</v>
      </c>
      <c r="D283" s="27" t="s">
        <v>895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25915</f>
        <v>25915.0</v>
      </c>
      <c r="L283" s="34" t="s">
        <v>48</v>
      </c>
      <c r="M283" s="33" t="n">
        <f>25915</f>
        <v>25915.0</v>
      </c>
      <c r="N283" s="34" t="s">
        <v>48</v>
      </c>
      <c r="O283" s="33" t="n">
        <f>24920</f>
        <v>24920.0</v>
      </c>
      <c r="P283" s="34" t="s">
        <v>159</v>
      </c>
      <c r="Q283" s="33" t="n">
        <f>25710</f>
        <v>25710.0</v>
      </c>
      <c r="R283" s="34" t="s">
        <v>51</v>
      </c>
      <c r="S283" s="35" t="n">
        <f>25463.5</f>
        <v>25463.5</v>
      </c>
      <c r="T283" s="32" t="n">
        <f>10715</f>
        <v>10715.0</v>
      </c>
      <c r="U283" s="32" t="n">
        <f>3934</f>
        <v>3934.0</v>
      </c>
      <c r="V283" s="32" t="n">
        <f>273273587</f>
        <v>2.73273587E8</v>
      </c>
      <c r="W283" s="32" t="n">
        <f>99695202</f>
        <v>9.9695202E7</v>
      </c>
      <c r="X283" s="36" t="n">
        <f>10</f>
        <v>10.0</v>
      </c>
    </row>
    <row r="284">
      <c r="A284" s="27" t="s">
        <v>42</v>
      </c>
      <c r="B284" s="27" t="s">
        <v>896</v>
      </c>
      <c r="C284" s="27" t="s">
        <v>897</v>
      </c>
      <c r="D284" s="27" t="s">
        <v>898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1033</f>
        <v>1033.0</v>
      </c>
      <c r="L284" s="34" t="s">
        <v>48</v>
      </c>
      <c r="M284" s="33" t="n">
        <f>1039</f>
        <v>1039.0</v>
      </c>
      <c r="N284" s="34" t="s">
        <v>239</v>
      </c>
      <c r="O284" s="33" t="n">
        <f>989</f>
        <v>989.0</v>
      </c>
      <c r="P284" s="34" t="s">
        <v>103</v>
      </c>
      <c r="Q284" s="33" t="n">
        <f>1036.5</f>
        <v>1036.5</v>
      </c>
      <c r="R284" s="34" t="s">
        <v>51</v>
      </c>
      <c r="S284" s="35" t="n">
        <f>1012.39</f>
        <v>1012.39</v>
      </c>
      <c r="T284" s="32" t="n">
        <f>37260</f>
        <v>37260.0</v>
      </c>
      <c r="U284" s="32" t="n">
        <f>10</f>
        <v>10.0</v>
      </c>
      <c r="V284" s="32" t="n">
        <f>37701462</f>
        <v>3.7701462E7</v>
      </c>
      <c r="W284" s="32" t="n">
        <f>9951</f>
        <v>9951.0</v>
      </c>
      <c r="X284" s="36" t="n">
        <f>18</f>
        <v>18.0</v>
      </c>
    </row>
    <row r="285">
      <c r="A285" s="27" t="s">
        <v>42</v>
      </c>
      <c r="B285" s="27" t="s">
        <v>899</v>
      </c>
      <c r="C285" s="27" t="s">
        <v>900</v>
      </c>
      <c r="D285" s="27" t="s">
        <v>901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1011</f>
        <v>1011.0</v>
      </c>
      <c r="L285" s="34" t="s">
        <v>48</v>
      </c>
      <c r="M285" s="33" t="n">
        <f>1043</f>
        <v>1043.0</v>
      </c>
      <c r="N285" s="34" t="s">
        <v>61</v>
      </c>
      <c r="O285" s="33" t="n">
        <f>988</f>
        <v>988.0</v>
      </c>
      <c r="P285" s="34" t="s">
        <v>70</v>
      </c>
      <c r="Q285" s="33" t="n">
        <f>1035</f>
        <v>1035.0</v>
      </c>
      <c r="R285" s="34" t="s">
        <v>51</v>
      </c>
      <c r="S285" s="35" t="n">
        <f>1007.42</f>
        <v>1007.42</v>
      </c>
      <c r="T285" s="32" t="n">
        <f>67456</f>
        <v>67456.0</v>
      </c>
      <c r="U285" s="32" t="n">
        <f>3</f>
        <v>3.0</v>
      </c>
      <c r="V285" s="32" t="n">
        <f>67980869</f>
        <v>6.7980869E7</v>
      </c>
      <c r="W285" s="32" t="n">
        <f>3011</f>
        <v>3011.0</v>
      </c>
      <c r="X285" s="36" t="n">
        <f>19</f>
        <v>19.0</v>
      </c>
    </row>
    <row r="286">
      <c r="A286" s="27" t="s">
        <v>42</v>
      </c>
      <c r="B286" s="27" t="s">
        <v>902</v>
      </c>
      <c r="C286" s="27" t="s">
        <v>903</v>
      </c>
      <c r="D286" s="27" t="s">
        <v>904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1695</f>
        <v>1695.0</v>
      </c>
      <c r="L286" s="34" t="s">
        <v>48</v>
      </c>
      <c r="M286" s="33" t="n">
        <f>1695</f>
        <v>1695.0</v>
      </c>
      <c r="N286" s="34" t="s">
        <v>48</v>
      </c>
      <c r="O286" s="33" t="n">
        <f>1601</f>
        <v>1601.0</v>
      </c>
      <c r="P286" s="34" t="s">
        <v>50</v>
      </c>
      <c r="Q286" s="33" t="n">
        <f>1665</f>
        <v>1665.0</v>
      </c>
      <c r="R286" s="34" t="s">
        <v>51</v>
      </c>
      <c r="S286" s="35" t="n">
        <f>1644.11</f>
        <v>1644.11</v>
      </c>
      <c r="T286" s="32" t="n">
        <f>397998</f>
        <v>397998.0</v>
      </c>
      <c r="U286" s="32" t="n">
        <f>99476</f>
        <v>99476.0</v>
      </c>
      <c r="V286" s="32" t="n">
        <f>653686552</f>
        <v>6.53686552E8</v>
      </c>
      <c r="W286" s="32" t="n">
        <f>162531273</f>
        <v>1.62531273E8</v>
      </c>
      <c r="X286" s="36" t="n">
        <f>19</f>
        <v>19.0</v>
      </c>
    </row>
    <row r="287">
      <c r="A287" s="27" t="s">
        <v>42</v>
      </c>
      <c r="B287" s="27" t="s">
        <v>905</v>
      </c>
      <c r="C287" s="27" t="s">
        <v>906</v>
      </c>
      <c r="D287" s="27" t="s">
        <v>907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14235</f>
        <v>14235.0</v>
      </c>
      <c r="L287" s="34" t="s">
        <v>48</v>
      </c>
      <c r="M287" s="33" t="n">
        <f>20670</f>
        <v>20670.0</v>
      </c>
      <c r="N287" s="34" t="s">
        <v>61</v>
      </c>
      <c r="O287" s="33" t="n">
        <f>13980</f>
        <v>13980.0</v>
      </c>
      <c r="P287" s="34" t="s">
        <v>69</v>
      </c>
      <c r="Q287" s="33" t="n">
        <f>14450</f>
        <v>14450.0</v>
      </c>
      <c r="R287" s="34" t="s">
        <v>51</v>
      </c>
      <c r="S287" s="35" t="n">
        <f>14606.05</f>
        <v>14606.05</v>
      </c>
      <c r="T287" s="32" t="n">
        <f>40279</f>
        <v>40279.0</v>
      </c>
      <c r="U287" s="32" t="n">
        <f>2</f>
        <v>2.0</v>
      </c>
      <c r="V287" s="32" t="n">
        <f>681251125</f>
        <v>6.81251125E8</v>
      </c>
      <c r="W287" s="32" t="n">
        <f>28605</f>
        <v>28605.0</v>
      </c>
      <c r="X287" s="36" t="n">
        <f>19</f>
        <v>19.0</v>
      </c>
    </row>
    <row r="288">
      <c r="A288" s="27" t="s">
        <v>42</v>
      </c>
      <c r="B288" s="27" t="s">
        <v>908</v>
      </c>
      <c r="C288" s="27" t="s">
        <v>909</v>
      </c>
      <c r="D288" s="27" t="s">
        <v>910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1819</f>
        <v>1819.0</v>
      </c>
      <c r="L288" s="34" t="s">
        <v>48</v>
      </c>
      <c r="M288" s="33" t="n">
        <f>1861</f>
        <v>1861.0</v>
      </c>
      <c r="N288" s="34" t="s">
        <v>61</v>
      </c>
      <c r="O288" s="33" t="n">
        <f>1762</f>
        <v>1762.0</v>
      </c>
      <c r="P288" s="34" t="s">
        <v>116</v>
      </c>
      <c r="Q288" s="33" t="n">
        <f>1842</f>
        <v>1842.0</v>
      </c>
      <c r="R288" s="34" t="s">
        <v>51</v>
      </c>
      <c r="S288" s="35" t="n">
        <f>1796.32</f>
        <v>1796.32</v>
      </c>
      <c r="T288" s="32" t="n">
        <f>35389</f>
        <v>35389.0</v>
      </c>
      <c r="U288" s="32" t="n">
        <f>5500</f>
        <v>5500.0</v>
      </c>
      <c r="V288" s="32" t="n">
        <f>63890080</f>
        <v>6.389008E7</v>
      </c>
      <c r="W288" s="32" t="n">
        <f>9972050</f>
        <v>9972050.0</v>
      </c>
      <c r="X288" s="36" t="n">
        <f>19</f>
        <v>19.0</v>
      </c>
    </row>
    <row r="289">
      <c r="A289" s="27" t="s">
        <v>42</v>
      </c>
      <c r="B289" s="27" t="s">
        <v>911</v>
      </c>
      <c r="C289" s="27" t="s">
        <v>912</v>
      </c>
      <c r="D289" s="27" t="s">
        <v>913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1601</f>
        <v>1601.0</v>
      </c>
      <c r="L289" s="34" t="s">
        <v>48</v>
      </c>
      <c r="M289" s="33" t="n">
        <f>4150</f>
        <v>4150.0</v>
      </c>
      <c r="N289" s="34" t="s">
        <v>61</v>
      </c>
      <c r="O289" s="33" t="n">
        <f>1571</f>
        <v>1571.0</v>
      </c>
      <c r="P289" s="34" t="s">
        <v>226</v>
      </c>
      <c r="Q289" s="33" t="n">
        <f>1713.5</f>
        <v>1713.5</v>
      </c>
      <c r="R289" s="34" t="s">
        <v>51</v>
      </c>
      <c r="S289" s="35" t="n">
        <f>1771.13</f>
        <v>1771.13</v>
      </c>
      <c r="T289" s="32" t="n">
        <f>2091410</f>
        <v>2091410.0</v>
      </c>
      <c r="U289" s="32" t="n">
        <f>17510</f>
        <v>17510.0</v>
      </c>
      <c r="V289" s="32" t="n">
        <f>4963175515</f>
        <v>4.963175515E9</v>
      </c>
      <c r="W289" s="32" t="n">
        <f>29737175</f>
        <v>2.9737175E7</v>
      </c>
      <c r="X289" s="36" t="n">
        <f>19</f>
        <v>19.0</v>
      </c>
    </row>
    <row r="290">
      <c r="A290" s="27" t="s">
        <v>42</v>
      </c>
      <c r="B290" s="27" t="s">
        <v>914</v>
      </c>
      <c r="C290" s="27" t="s">
        <v>915</v>
      </c>
      <c r="D290" s="27" t="s">
        <v>916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780</f>
        <v>780.0</v>
      </c>
      <c r="L290" s="34" t="s">
        <v>48</v>
      </c>
      <c r="M290" s="33" t="n">
        <f>789.8</f>
        <v>789.8</v>
      </c>
      <c r="N290" s="34" t="s">
        <v>48</v>
      </c>
      <c r="O290" s="33" t="n">
        <f>773</f>
        <v>773.0</v>
      </c>
      <c r="P290" s="34" t="s">
        <v>159</v>
      </c>
      <c r="Q290" s="33" t="n">
        <f>785.6</f>
        <v>785.6</v>
      </c>
      <c r="R290" s="34" t="s">
        <v>51</v>
      </c>
      <c r="S290" s="35" t="n">
        <f>780.59</f>
        <v>780.59</v>
      </c>
      <c r="T290" s="32" t="n">
        <f>609350</f>
        <v>609350.0</v>
      </c>
      <c r="U290" s="32" t="n">
        <f>536700</f>
        <v>536700.0</v>
      </c>
      <c r="V290" s="32" t="n">
        <f>475772741</f>
        <v>4.75772741E8</v>
      </c>
      <c r="W290" s="32" t="n">
        <f>419151582</f>
        <v>4.19151582E8</v>
      </c>
      <c r="X290" s="36" t="n">
        <f>19</f>
        <v>19.0</v>
      </c>
    </row>
    <row r="291">
      <c r="A291" s="27" t="s">
        <v>42</v>
      </c>
      <c r="B291" s="27" t="s">
        <v>917</v>
      </c>
      <c r="C291" s="27" t="s">
        <v>918</v>
      </c>
      <c r="D291" s="27" t="s">
        <v>919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1734.5</f>
        <v>1734.5</v>
      </c>
      <c r="L291" s="34" t="s">
        <v>48</v>
      </c>
      <c r="M291" s="33" t="n">
        <f>1768</f>
        <v>1768.0</v>
      </c>
      <c r="N291" s="34" t="s">
        <v>71</v>
      </c>
      <c r="O291" s="33" t="n">
        <f>1674</f>
        <v>1674.0</v>
      </c>
      <c r="P291" s="34" t="s">
        <v>159</v>
      </c>
      <c r="Q291" s="33" t="n">
        <f>1765</f>
        <v>1765.0</v>
      </c>
      <c r="R291" s="34" t="s">
        <v>51</v>
      </c>
      <c r="S291" s="35" t="n">
        <f>1708.63</f>
        <v>1708.63</v>
      </c>
      <c r="T291" s="32" t="n">
        <f>2544460</f>
        <v>2544460.0</v>
      </c>
      <c r="U291" s="32" t="n">
        <f>2395130</f>
        <v>2395130.0</v>
      </c>
      <c r="V291" s="32" t="n">
        <f>4296256940</f>
        <v>4.29625694E9</v>
      </c>
      <c r="W291" s="32" t="n">
        <f>4039379245</f>
        <v>4.039379245E9</v>
      </c>
      <c r="X291" s="36" t="n">
        <f>19</f>
        <v>19.0</v>
      </c>
    </row>
    <row r="292">
      <c r="A292" s="27" t="s">
        <v>42</v>
      </c>
      <c r="B292" s="27" t="s">
        <v>920</v>
      </c>
      <c r="C292" s="27" t="s">
        <v>921</v>
      </c>
      <c r="D292" s="27" t="s">
        <v>922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1732</f>
        <v>1732.0</v>
      </c>
      <c r="L292" s="34" t="s">
        <v>48</v>
      </c>
      <c r="M292" s="33" t="n">
        <f>1765</f>
        <v>1765.0</v>
      </c>
      <c r="N292" s="34" t="s">
        <v>61</v>
      </c>
      <c r="O292" s="33" t="n">
        <f>1670</f>
        <v>1670.0</v>
      </c>
      <c r="P292" s="34" t="s">
        <v>103</v>
      </c>
      <c r="Q292" s="33" t="n">
        <f>1756</f>
        <v>1756.0</v>
      </c>
      <c r="R292" s="34" t="s">
        <v>51</v>
      </c>
      <c r="S292" s="35" t="n">
        <f>1705.79</f>
        <v>1705.79</v>
      </c>
      <c r="T292" s="32" t="n">
        <f>743780</f>
        <v>743780.0</v>
      </c>
      <c r="U292" s="32" t="n">
        <f>175460</f>
        <v>175460.0</v>
      </c>
      <c r="V292" s="32" t="n">
        <f>1279121735</f>
        <v>1.279121735E9</v>
      </c>
      <c r="W292" s="32" t="n">
        <f>304114075</f>
        <v>3.04114075E8</v>
      </c>
      <c r="X292" s="36" t="n">
        <f>19</f>
        <v>19.0</v>
      </c>
    </row>
    <row r="293">
      <c r="A293" s="27" t="s">
        <v>42</v>
      </c>
      <c r="B293" s="27" t="s">
        <v>923</v>
      </c>
      <c r="C293" s="27" t="s">
        <v>924</v>
      </c>
      <c r="D293" s="27" t="s">
        <v>925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2822</f>
        <v>2822.0</v>
      </c>
      <c r="L293" s="34" t="s">
        <v>48</v>
      </c>
      <c r="M293" s="33" t="n">
        <f>2825</f>
        <v>2825.0</v>
      </c>
      <c r="N293" s="34" t="s">
        <v>49</v>
      </c>
      <c r="O293" s="33" t="n">
        <f>2683.5</f>
        <v>2683.5</v>
      </c>
      <c r="P293" s="34" t="s">
        <v>50</v>
      </c>
      <c r="Q293" s="33" t="n">
        <f>2820</f>
        <v>2820.0</v>
      </c>
      <c r="R293" s="34" t="s">
        <v>51</v>
      </c>
      <c r="S293" s="35" t="n">
        <f>2774.71</f>
        <v>2774.71</v>
      </c>
      <c r="T293" s="32" t="n">
        <f>415990</f>
        <v>415990.0</v>
      </c>
      <c r="U293" s="32" t="n">
        <f>10</f>
        <v>10.0</v>
      </c>
      <c r="V293" s="32" t="n">
        <f>1164063165</f>
        <v>1.164063165E9</v>
      </c>
      <c r="W293" s="32" t="n">
        <f>27850</f>
        <v>27850.0</v>
      </c>
      <c r="X293" s="36" t="n">
        <f>17</f>
        <v>17.0</v>
      </c>
    </row>
    <row r="294">
      <c r="A294" s="27" t="s">
        <v>42</v>
      </c>
      <c r="B294" s="27" t="s">
        <v>926</v>
      </c>
      <c r="C294" s="27" t="s">
        <v>927</v>
      </c>
      <c r="D294" s="27" t="s">
        <v>928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26890</f>
        <v>26890.0</v>
      </c>
      <c r="L294" s="34" t="s">
        <v>48</v>
      </c>
      <c r="M294" s="33" t="n">
        <f>27480</f>
        <v>27480.0</v>
      </c>
      <c r="N294" s="34" t="s">
        <v>70</v>
      </c>
      <c r="O294" s="33" t="n">
        <f>26400</f>
        <v>26400.0</v>
      </c>
      <c r="P294" s="34" t="s">
        <v>159</v>
      </c>
      <c r="Q294" s="33" t="n">
        <f>27060</f>
        <v>27060.0</v>
      </c>
      <c r="R294" s="34" t="s">
        <v>51</v>
      </c>
      <c r="S294" s="35" t="n">
        <f>26915.26</f>
        <v>26915.26</v>
      </c>
      <c r="T294" s="32" t="n">
        <f>880130</f>
        <v>880130.0</v>
      </c>
      <c r="U294" s="32" t="n">
        <f>62706</f>
        <v>62706.0</v>
      </c>
      <c r="V294" s="32" t="n">
        <f>23704999516</f>
        <v>2.3704999516E10</v>
      </c>
      <c r="W294" s="32" t="n">
        <f>1688207741</f>
        <v>1.688207741E9</v>
      </c>
      <c r="X294" s="36" t="n">
        <f>19</f>
        <v>19.0</v>
      </c>
    </row>
    <row r="295">
      <c r="A295" s="27" t="s">
        <v>42</v>
      </c>
      <c r="B295" s="27" t="s">
        <v>929</v>
      </c>
      <c r="C295" s="27" t="s">
        <v>930</v>
      </c>
      <c r="D295" s="27" t="s">
        <v>931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22000</f>
        <v>22000.0</v>
      </c>
      <c r="L295" s="34" t="s">
        <v>48</v>
      </c>
      <c r="M295" s="33" t="n">
        <f>22385</f>
        <v>22385.0</v>
      </c>
      <c r="N295" s="34" t="s">
        <v>70</v>
      </c>
      <c r="O295" s="33" t="n">
        <f>21540</f>
        <v>21540.0</v>
      </c>
      <c r="P295" s="34" t="s">
        <v>69</v>
      </c>
      <c r="Q295" s="33" t="n">
        <f>22260</f>
        <v>22260.0</v>
      </c>
      <c r="R295" s="34" t="s">
        <v>51</v>
      </c>
      <c r="S295" s="35" t="n">
        <f>21986.05</f>
        <v>21986.05</v>
      </c>
      <c r="T295" s="32" t="n">
        <f>258662</f>
        <v>258662.0</v>
      </c>
      <c r="U295" s="32" t="n">
        <f>2031</f>
        <v>2031.0</v>
      </c>
      <c r="V295" s="32" t="n">
        <f>5678984411</f>
        <v>5.678984411E9</v>
      </c>
      <c r="W295" s="32" t="n">
        <f>44584616</f>
        <v>4.4584616E7</v>
      </c>
      <c r="X295" s="36" t="n">
        <f>19</f>
        <v>19.0</v>
      </c>
    </row>
    <row r="296">
      <c r="A296" s="27" t="s">
        <v>42</v>
      </c>
      <c r="B296" s="27" t="s">
        <v>932</v>
      </c>
      <c r="C296" s="27" t="s">
        <v>933</v>
      </c>
      <c r="D296" s="27" t="s">
        <v>934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37250</f>
        <v>37250.0</v>
      </c>
      <c r="L296" s="34" t="s">
        <v>48</v>
      </c>
      <c r="M296" s="33" t="n">
        <f>37250</f>
        <v>37250.0</v>
      </c>
      <c r="N296" s="34" t="s">
        <v>48</v>
      </c>
      <c r="O296" s="33" t="n">
        <f>36590</f>
        <v>36590.0</v>
      </c>
      <c r="P296" s="34" t="s">
        <v>103</v>
      </c>
      <c r="Q296" s="33" t="n">
        <f>36800</f>
        <v>36800.0</v>
      </c>
      <c r="R296" s="34" t="s">
        <v>70</v>
      </c>
      <c r="S296" s="35" t="n">
        <f>36880</f>
        <v>36880.0</v>
      </c>
      <c r="T296" s="32" t="n">
        <f>4</f>
        <v>4.0</v>
      </c>
      <c r="U296" s="32" t="str">
        <f>"－"</f>
        <v>－</v>
      </c>
      <c r="V296" s="32" t="n">
        <f>147890</f>
        <v>147890.0</v>
      </c>
      <c r="W296" s="32" t="str">
        <f>"－"</f>
        <v>－</v>
      </c>
      <c r="X296" s="36" t="n">
        <f>3</f>
        <v>3.0</v>
      </c>
    </row>
    <row r="297">
      <c r="A297" s="27" t="s">
        <v>42</v>
      </c>
      <c r="B297" s="27" t="s">
        <v>935</v>
      </c>
      <c r="C297" s="27" t="s">
        <v>936</v>
      </c>
      <c r="D297" s="27" t="s">
        <v>937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2332</f>
        <v>2332.0</v>
      </c>
      <c r="L297" s="34" t="s">
        <v>48</v>
      </c>
      <c r="M297" s="33" t="n">
        <f>2344</f>
        <v>2344.0</v>
      </c>
      <c r="N297" s="34" t="s">
        <v>49</v>
      </c>
      <c r="O297" s="33" t="n">
        <f>2298</f>
        <v>2298.0</v>
      </c>
      <c r="P297" s="34" t="s">
        <v>69</v>
      </c>
      <c r="Q297" s="33" t="n">
        <f>2314</f>
        <v>2314.0</v>
      </c>
      <c r="R297" s="34" t="s">
        <v>51</v>
      </c>
      <c r="S297" s="35" t="n">
        <f>2316.21</f>
        <v>2316.21</v>
      </c>
      <c r="T297" s="32" t="n">
        <f>2473051</f>
        <v>2473051.0</v>
      </c>
      <c r="U297" s="32" t="n">
        <f>2389180</f>
        <v>2389180.0</v>
      </c>
      <c r="V297" s="32" t="n">
        <f>5723941043</f>
        <v>5.723941043E9</v>
      </c>
      <c r="W297" s="32" t="n">
        <f>5529625351</f>
        <v>5.529625351E9</v>
      </c>
      <c r="X297" s="36" t="n">
        <f>19</f>
        <v>19.0</v>
      </c>
    </row>
    <row r="298">
      <c r="A298" s="27" t="s">
        <v>42</v>
      </c>
      <c r="B298" s="27" t="s">
        <v>938</v>
      </c>
      <c r="C298" s="27" t="s">
        <v>939</v>
      </c>
      <c r="D298" s="27" t="s">
        <v>940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10.0</v>
      </c>
      <c r="K298" s="33" t="n">
        <f>3186</f>
        <v>3186.0</v>
      </c>
      <c r="L298" s="34" t="s">
        <v>48</v>
      </c>
      <c r="M298" s="33" t="n">
        <f>3305</f>
        <v>3305.0</v>
      </c>
      <c r="N298" s="34" t="s">
        <v>51</v>
      </c>
      <c r="O298" s="33" t="n">
        <f>3115</f>
        <v>3115.0</v>
      </c>
      <c r="P298" s="34" t="s">
        <v>69</v>
      </c>
      <c r="Q298" s="33" t="n">
        <f>3305</f>
        <v>3305.0</v>
      </c>
      <c r="R298" s="34" t="s">
        <v>51</v>
      </c>
      <c r="S298" s="35" t="n">
        <f>3206.53</f>
        <v>3206.53</v>
      </c>
      <c r="T298" s="32" t="n">
        <f>2840330</f>
        <v>2840330.0</v>
      </c>
      <c r="U298" s="32" t="n">
        <f>2209150</f>
        <v>2209150.0</v>
      </c>
      <c r="V298" s="32" t="n">
        <f>9236245030</f>
        <v>9.23624503E9</v>
      </c>
      <c r="W298" s="32" t="n">
        <f>7203369860</f>
        <v>7.20336986E9</v>
      </c>
      <c r="X298" s="36" t="n">
        <f>19</f>
        <v>19.0</v>
      </c>
    </row>
    <row r="299">
      <c r="A299" s="27" t="s">
        <v>42</v>
      </c>
      <c r="B299" s="27" t="s">
        <v>941</v>
      </c>
      <c r="C299" s="27" t="s">
        <v>942</v>
      </c>
      <c r="D299" s="27" t="s">
        <v>943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335.1</f>
        <v>335.1</v>
      </c>
      <c r="L299" s="34" t="s">
        <v>48</v>
      </c>
      <c r="M299" s="33" t="n">
        <f>343</f>
        <v>343.0</v>
      </c>
      <c r="N299" s="34" t="s">
        <v>70</v>
      </c>
      <c r="O299" s="33" t="n">
        <f>327.9</f>
        <v>327.9</v>
      </c>
      <c r="P299" s="34" t="s">
        <v>159</v>
      </c>
      <c r="Q299" s="33" t="n">
        <f>341</f>
        <v>341.0</v>
      </c>
      <c r="R299" s="34" t="s">
        <v>51</v>
      </c>
      <c r="S299" s="35" t="n">
        <f>335.98</f>
        <v>335.98</v>
      </c>
      <c r="T299" s="32" t="n">
        <f>29344180</f>
        <v>2.934418E7</v>
      </c>
      <c r="U299" s="32" t="n">
        <f>12827850</f>
        <v>1.282785E7</v>
      </c>
      <c r="V299" s="32" t="n">
        <f>9834042163</f>
        <v>9.834042163E9</v>
      </c>
      <c r="W299" s="32" t="n">
        <f>4296669366</f>
        <v>4.296669366E9</v>
      </c>
      <c r="X299" s="36" t="n">
        <f>19</f>
        <v>19.0</v>
      </c>
    </row>
    <row r="300">
      <c r="A300" s="27" t="s">
        <v>42</v>
      </c>
      <c r="B300" s="27" t="s">
        <v>944</v>
      </c>
      <c r="C300" s="27" t="s">
        <v>945</v>
      </c>
      <c r="D300" s="27" t="s">
        <v>946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2748</f>
        <v>2748.0</v>
      </c>
      <c r="L300" s="34" t="s">
        <v>48</v>
      </c>
      <c r="M300" s="33" t="n">
        <f>2748</f>
        <v>2748.0</v>
      </c>
      <c r="N300" s="34" t="s">
        <v>48</v>
      </c>
      <c r="O300" s="33" t="n">
        <f>2607</f>
        <v>2607.0</v>
      </c>
      <c r="P300" s="34" t="s">
        <v>50</v>
      </c>
      <c r="Q300" s="33" t="n">
        <f>2718</f>
        <v>2718.0</v>
      </c>
      <c r="R300" s="34" t="s">
        <v>51</v>
      </c>
      <c r="S300" s="35" t="n">
        <f>2678.05</f>
        <v>2678.05</v>
      </c>
      <c r="T300" s="32" t="n">
        <f>573351</f>
        <v>573351.0</v>
      </c>
      <c r="U300" s="32" t="n">
        <f>164360</f>
        <v>164360.0</v>
      </c>
      <c r="V300" s="32" t="n">
        <f>1526557988</f>
        <v>1.526557988E9</v>
      </c>
      <c r="W300" s="32" t="n">
        <f>436087345</f>
        <v>4.36087345E8</v>
      </c>
      <c r="X300" s="36" t="n">
        <f>19</f>
        <v>19.0</v>
      </c>
    </row>
    <row r="301">
      <c r="A301" s="27" t="s">
        <v>42</v>
      </c>
      <c r="B301" s="27" t="s">
        <v>947</v>
      </c>
      <c r="C301" s="27" t="s">
        <v>948</v>
      </c>
      <c r="D301" s="27" t="s">
        <v>949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823</f>
        <v>823.0</v>
      </c>
      <c r="L301" s="34" t="s">
        <v>48</v>
      </c>
      <c r="M301" s="33" t="n">
        <f>851</f>
        <v>851.0</v>
      </c>
      <c r="N301" s="34" t="s">
        <v>239</v>
      </c>
      <c r="O301" s="33" t="n">
        <f>805</f>
        <v>805.0</v>
      </c>
      <c r="P301" s="34" t="s">
        <v>159</v>
      </c>
      <c r="Q301" s="33" t="n">
        <f>849</f>
        <v>849.0</v>
      </c>
      <c r="R301" s="34" t="s">
        <v>51</v>
      </c>
      <c r="S301" s="35" t="n">
        <f>822.42</f>
        <v>822.42</v>
      </c>
      <c r="T301" s="32" t="n">
        <f>232550</f>
        <v>232550.0</v>
      </c>
      <c r="U301" s="32" t="n">
        <f>2</f>
        <v>2.0</v>
      </c>
      <c r="V301" s="32" t="n">
        <f>191447379</f>
        <v>1.91447379E8</v>
      </c>
      <c r="W301" s="32" t="n">
        <f>1639</f>
        <v>1639.0</v>
      </c>
      <c r="X301" s="36" t="n">
        <f>19</f>
        <v>19.0</v>
      </c>
    </row>
    <row r="302">
      <c r="A302" s="27" t="s">
        <v>42</v>
      </c>
      <c r="B302" s="27" t="s">
        <v>950</v>
      </c>
      <c r="C302" s="27" t="s">
        <v>951</v>
      </c>
      <c r="D302" s="27" t="s">
        <v>952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10.0</v>
      </c>
      <c r="K302" s="33" t="n">
        <f>949.2</f>
        <v>949.2</v>
      </c>
      <c r="L302" s="34" t="s">
        <v>48</v>
      </c>
      <c r="M302" s="33" t="n">
        <f>967.4</f>
        <v>967.4</v>
      </c>
      <c r="N302" s="34" t="s">
        <v>61</v>
      </c>
      <c r="O302" s="33" t="n">
        <f>917</f>
        <v>917.0</v>
      </c>
      <c r="P302" s="34" t="s">
        <v>203</v>
      </c>
      <c r="Q302" s="33" t="n">
        <f>960</f>
        <v>960.0</v>
      </c>
      <c r="R302" s="34" t="s">
        <v>51</v>
      </c>
      <c r="S302" s="35" t="n">
        <f>934.24</f>
        <v>934.24</v>
      </c>
      <c r="T302" s="32" t="n">
        <f>2497000</f>
        <v>2497000.0</v>
      </c>
      <c r="U302" s="32" t="n">
        <f>2450020</f>
        <v>2450020.0</v>
      </c>
      <c r="V302" s="32" t="n">
        <f>2342959522</f>
        <v>2.342959522E9</v>
      </c>
      <c r="W302" s="32" t="n">
        <f>2298681615</f>
        <v>2.298681615E9</v>
      </c>
      <c r="X302" s="36" t="n">
        <f>19</f>
        <v>19.0</v>
      </c>
    </row>
    <row r="303">
      <c r="A303" s="27" t="s">
        <v>42</v>
      </c>
      <c r="B303" s="27" t="s">
        <v>953</v>
      </c>
      <c r="C303" s="27" t="s">
        <v>954</v>
      </c>
      <c r="D303" s="27" t="s">
        <v>955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363.4</f>
        <v>363.4</v>
      </c>
      <c r="L303" s="34" t="s">
        <v>48</v>
      </c>
      <c r="M303" s="33" t="n">
        <f>371.3</f>
        <v>371.3</v>
      </c>
      <c r="N303" s="34" t="s">
        <v>71</v>
      </c>
      <c r="O303" s="33" t="n">
        <f>350.9</f>
        <v>350.9</v>
      </c>
      <c r="P303" s="34" t="s">
        <v>99</v>
      </c>
      <c r="Q303" s="33" t="n">
        <f>371.3</f>
        <v>371.3</v>
      </c>
      <c r="R303" s="34" t="s">
        <v>71</v>
      </c>
      <c r="S303" s="35" t="n">
        <f>364.12</f>
        <v>364.12</v>
      </c>
      <c r="T303" s="32" t="n">
        <f>4750</f>
        <v>4750.0</v>
      </c>
      <c r="U303" s="32" t="n">
        <f>10</f>
        <v>10.0</v>
      </c>
      <c r="V303" s="32" t="n">
        <f>1705041</f>
        <v>1705041.0</v>
      </c>
      <c r="W303" s="32" t="n">
        <f>3601</f>
        <v>3601.0</v>
      </c>
      <c r="X303" s="36" t="n">
        <f>14</f>
        <v>14.0</v>
      </c>
    </row>
    <row r="304">
      <c r="A304" s="27" t="s">
        <v>42</v>
      </c>
      <c r="B304" s="27" t="s">
        <v>956</v>
      </c>
      <c r="C304" s="27" t="s">
        <v>957</v>
      </c>
      <c r="D304" s="27" t="s">
        <v>958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5776</f>
        <v>5776.0</v>
      </c>
      <c r="L304" s="34" t="s">
        <v>48</v>
      </c>
      <c r="M304" s="33" t="n">
        <f>5875</f>
        <v>5875.0</v>
      </c>
      <c r="N304" s="34" t="s">
        <v>70</v>
      </c>
      <c r="O304" s="33" t="n">
        <f>5608</f>
        <v>5608.0</v>
      </c>
      <c r="P304" s="34" t="s">
        <v>159</v>
      </c>
      <c r="Q304" s="33" t="n">
        <f>5726</f>
        <v>5726.0</v>
      </c>
      <c r="R304" s="34" t="s">
        <v>51</v>
      </c>
      <c r="S304" s="35" t="n">
        <f>5740.84</f>
        <v>5740.84</v>
      </c>
      <c r="T304" s="32" t="n">
        <f>1027420</f>
        <v>1027420.0</v>
      </c>
      <c r="U304" s="32" t="n">
        <f>430000</f>
        <v>430000.0</v>
      </c>
      <c r="V304" s="32" t="n">
        <f>5932546900</f>
        <v>5.9325469E9</v>
      </c>
      <c r="W304" s="32" t="n">
        <f>2506112300</f>
        <v>2.5061123E9</v>
      </c>
      <c r="X304" s="36" t="n">
        <f>19</f>
        <v>19.0</v>
      </c>
    </row>
    <row r="305">
      <c r="A305" s="27" t="s">
        <v>42</v>
      </c>
      <c r="B305" s="27" t="s">
        <v>959</v>
      </c>
      <c r="C305" s="27" t="s">
        <v>960</v>
      </c>
      <c r="D305" s="27" t="s">
        <v>961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3297</f>
        <v>3297.0</v>
      </c>
      <c r="L305" s="34" t="s">
        <v>48</v>
      </c>
      <c r="M305" s="33" t="n">
        <f>3377</f>
        <v>3377.0</v>
      </c>
      <c r="N305" s="34" t="s">
        <v>70</v>
      </c>
      <c r="O305" s="33" t="n">
        <f>3205</f>
        <v>3205.0</v>
      </c>
      <c r="P305" s="34" t="s">
        <v>159</v>
      </c>
      <c r="Q305" s="33" t="n">
        <f>3331</f>
        <v>3331.0</v>
      </c>
      <c r="R305" s="34" t="s">
        <v>51</v>
      </c>
      <c r="S305" s="35" t="n">
        <f>3295.37</f>
        <v>3295.37</v>
      </c>
      <c r="T305" s="32" t="n">
        <f>5135250</f>
        <v>5135250.0</v>
      </c>
      <c r="U305" s="32" t="n">
        <f>3526450</f>
        <v>3526450.0</v>
      </c>
      <c r="V305" s="32" t="n">
        <f>17028300448</f>
        <v>1.7028300448E10</v>
      </c>
      <c r="W305" s="32" t="n">
        <f>11715292788</f>
        <v>1.1715292788E10</v>
      </c>
      <c r="X305" s="36" t="n">
        <f>19</f>
        <v>19.0</v>
      </c>
    </row>
    <row r="306">
      <c r="A306" s="27" t="s">
        <v>42</v>
      </c>
      <c r="B306" s="27" t="s">
        <v>962</v>
      </c>
      <c r="C306" s="27" t="s">
        <v>963</v>
      </c>
      <c r="D306" s="27" t="s">
        <v>964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2209</f>
        <v>2209.0</v>
      </c>
      <c r="L306" s="34" t="s">
        <v>48</v>
      </c>
      <c r="M306" s="33" t="n">
        <f>2235</f>
        <v>2235.0</v>
      </c>
      <c r="N306" s="34" t="s">
        <v>181</v>
      </c>
      <c r="O306" s="33" t="n">
        <f>2090</f>
        <v>2090.0</v>
      </c>
      <c r="P306" s="34" t="s">
        <v>50</v>
      </c>
      <c r="Q306" s="33" t="n">
        <f>2160</f>
        <v>2160.0</v>
      </c>
      <c r="R306" s="34" t="s">
        <v>51</v>
      </c>
      <c r="S306" s="35" t="n">
        <f>2160.47</f>
        <v>2160.47</v>
      </c>
      <c r="T306" s="32" t="n">
        <f>89281</f>
        <v>89281.0</v>
      </c>
      <c r="U306" s="32" t="str">
        <f>"－"</f>
        <v>－</v>
      </c>
      <c r="V306" s="32" t="n">
        <f>192876304</f>
        <v>1.92876304E8</v>
      </c>
      <c r="W306" s="32" t="str">
        <f>"－"</f>
        <v>－</v>
      </c>
      <c r="X306" s="36" t="n">
        <f>19</f>
        <v>19.0</v>
      </c>
    </row>
    <row r="307">
      <c r="A307" s="27" t="s">
        <v>42</v>
      </c>
      <c r="B307" s="27" t="s">
        <v>965</v>
      </c>
      <c r="C307" s="27" t="s">
        <v>966</v>
      </c>
      <c r="D307" s="27" t="s">
        <v>967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1932</f>
        <v>1932.0</v>
      </c>
      <c r="L307" s="34" t="s">
        <v>48</v>
      </c>
      <c r="M307" s="33" t="n">
        <f>1993</f>
        <v>1993.0</v>
      </c>
      <c r="N307" s="34" t="s">
        <v>634</v>
      </c>
      <c r="O307" s="33" t="n">
        <f>1839</f>
        <v>1839.0</v>
      </c>
      <c r="P307" s="34" t="s">
        <v>103</v>
      </c>
      <c r="Q307" s="33" t="n">
        <f>1934</f>
        <v>1934.0</v>
      </c>
      <c r="R307" s="34" t="s">
        <v>51</v>
      </c>
      <c r="S307" s="35" t="n">
        <f>1890.11</f>
        <v>1890.11</v>
      </c>
      <c r="T307" s="32" t="n">
        <f>74504</f>
        <v>74504.0</v>
      </c>
      <c r="U307" s="32" t="str">
        <f>"－"</f>
        <v>－</v>
      </c>
      <c r="V307" s="32" t="n">
        <f>140434526</f>
        <v>1.40434526E8</v>
      </c>
      <c r="W307" s="32" t="str">
        <f>"－"</f>
        <v>－</v>
      </c>
      <c r="X307" s="36" t="n">
        <f>19</f>
        <v>19.0</v>
      </c>
    </row>
    <row r="308">
      <c r="A308" s="27" t="s">
        <v>42</v>
      </c>
      <c r="B308" s="27" t="s">
        <v>968</v>
      </c>
      <c r="C308" s="27" t="s">
        <v>969</v>
      </c>
      <c r="D308" s="27" t="s">
        <v>970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362.5</f>
        <v>362.5</v>
      </c>
      <c r="L308" s="34" t="s">
        <v>48</v>
      </c>
      <c r="M308" s="33" t="n">
        <f>364.2</f>
        <v>364.2</v>
      </c>
      <c r="N308" s="34" t="s">
        <v>49</v>
      </c>
      <c r="O308" s="33" t="n">
        <f>352.5</f>
        <v>352.5</v>
      </c>
      <c r="P308" s="34" t="s">
        <v>51</v>
      </c>
      <c r="Q308" s="33" t="n">
        <f>354.1</f>
        <v>354.1</v>
      </c>
      <c r="R308" s="34" t="s">
        <v>51</v>
      </c>
      <c r="S308" s="35" t="n">
        <f>358.13</f>
        <v>358.13</v>
      </c>
      <c r="T308" s="32" t="n">
        <f>5074140</f>
        <v>5074140.0</v>
      </c>
      <c r="U308" s="32" t="n">
        <f>2910010</f>
        <v>2910010.0</v>
      </c>
      <c r="V308" s="32" t="n">
        <f>1813991604</f>
        <v>1.813991604E9</v>
      </c>
      <c r="W308" s="32" t="n">
        <f>1034863369</f>
        <v>1.034863369E9</v>
      </c>
      <c r="X308" s="36" t="n">
        <f>19</f>
        <v>19.0</v>
      </c>
    </row>
    <row r="309">
      <c r="A309" s="27" t="s">
        <v>42</v>
      </c>
      <c r="B309" s="27" t="s">
        <v>971</v>
      </c>
      <c r="C309" s="27" t="s">
        <v>972</v>
      </c>
      <c r="D309" s="27" t="s">
        <v>973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1127</f>
        <v>1127.0</v>
      </c>
      <c r="L309" s="34" t="s">
        <v>48</v>
      </c>
      <c r="M309" s="33" t="n">
        <f>1129</f>
        <v>1129.0</v>
      </c>
      <c r="N309" s="34" t="s">
        <v>49</v>
      </c>
      <c r="O309" s="33" t="n">
        <f>1091</f>
        <v>1091.0</v>
      </c>
      <c r="P309" s="34" t="s">
        <v>159</v>
      </c>
      <c r="Q309" s="33" t="n">
        <f>1123</f>
        <v>1123.0</v>
      </c>
      <c r="R309" s="34" t="s">
        <v>51</v>
      </c>
      <c r="S309" s="35" t="n">
        <f>1114.32</f>
        <v>1114.32</v>
      </c>
      <c r="T309" s="32" t="n">
        <f>19485061</f>
        <v>1.9485061E7</v>
      </c>
      <c r="U309" s="32" t="n">
        <f>274500</f>
        <v>274500.0</v>
      </c>
      <c r="V309" s="32" t="n">
        <f>21678681465</f>
        <v>2.1678681465E10</v>
      </c>
      <c r="W309" s="32" t="n">
        <f>305948530</f>
        <v>3.0594853E8</v>
      </c>
      <c r="X309" s="36" t="n">
        <f>19</f>
        <v>19.0</v>
      </c>
    </row>
    <row r="310">
      <c r="A310" s="27" t="s">
        <v>42</v>
      </c>
      <c r="B310" s="27" t="s">
        <v>974</v>
      </c>
      <c r="C310" s="27" t="s">
        <v>975</v>
      </c>
      <c r="D310" s="27" t="s">
        <v>976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1723</f>
        <v>1723.0</v>
      </c>
      <c r="L310" s="34" t="s">
        <v>48</v>
      </c>
      <c r="M310" s="33" t="n">
        <f>1739</f>
        <v>1739.0</v>
      </c>
      <c r="N310" s="34" t="s">
        <v>49</v>
      </c>
      <c r="O310" s="33" t="n">
        <f>1679</f>
        <v>1679.0</v>
      </c>
      <c r="P310" s="34" t="s">
        <v>69</v>
      </c>
      <c r="Q310" s="33" t="n">
        <f>1718</f>
        <v>1718.0</v>
      </c>
      <c r="R310" s="34" t="s">
        <v>51</v>
      </c>
      <c r="S310" s="35" t="n">
        <f>1708.89</f>
        <v>1708.89</v>
      </c>
      <c r="T310" s="32" t="n">
        <f>36826</f>
        <v>36826.0</v>
      </c>
      <c r="U310" s="32" t="n">
        <f>1</f>
        <v>1.0</v>
      </c>
      <c r="V310" s="32" t="n">
        <f>63002205</f>
        <v>6.3002205E7</v>
      </c>
      <c r="W310" s="32" t="n">
        <f>1723</f>
        <v>1723.0</v>
      </c>
      <c r="X310" s="36" t="n">
        <f>19</f>
        <v>19.0</v>
      </c>
    </row>
    <row r="311">
      <c r="A311" s="27" t="s">
        <v>42</v>
      </c>
      <c r="B311" s="27" t="s">
        <v>977</v>
      </c>
      <c r="C311" s="27" t="s">
        <v>978</v>
      </c>
      <c r="D311" s="27" t="s">
        <v>979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2076</f>
        <v>2076.0</v>
      </c>
      <c r="L311" s="34" t="s">
        <v>48</v>
      </c>
      <c r="M311" s="33" t="n">
        <f>2087</f>
        <v>2087.0</v>
      </c>
      <c r="N311" s="34" t="s">
        <v>634</v>
      </c>
      <c r="O311" s="33" t="n">
        <f>2060</f>
        <v>2060.0</v>
      </c>
      <c r="P311" s="34" t="s">
        <v>159</v>
      </c>
      <c r="Q311" s="33" t="n">
        <f>2077</f>
        <v>2077.0</v>
      </c>
      <c r="R311" s="34" t="s">
        <v>51</v>
      </c>
      <c r="S311" s="35" t="n">
        <f>2071.95</f>
        <v>2071.95</v>
      </c>
      <c r="T311" s="32" t="n">
        <f>291657</f>
        <v>291657.0</v>
      </c>
      <c r="U311" s="32" t="n">
        <f>289000</f>
        <v>289000.0</v>
      </c>
      <c r="V311" s="32" t="n">
        <f>605656836</f>
        <v>6.05656836E8</v>
      </c>
      <c r="W311" s="32" t="n">
        <f>600137400</f>
        <v>6.001374E8</v>
      </c>
      <c r="X311" s="36" t="n">
        <f>19</f>
        <v>19.0</v>
      </c>
    </row>
    <row r="312">
      <c r="A312" s="27" t="s">
        <v>42</v>
      </c>
      <c r="B312" s="27" t="s">
        <v>980</v>
      </c>
      <c r="C312" s="27" t="s">
        <v>981</v>
      </c>
      <c r="D312" s="27" t="s">
        <v>982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4010</f>
        <v>4010.0</v>
      </c>
      <c r="L312" s="34" t="s">
        <v>48</v>
      </c>
      <c r="M312" s="33" t="n">
        <f>4045</f>
        <v>4045.0</v>
      </c>
      <c r="N312" s="34" t="s">
        <v>49</v>
      </c>
      <c r="O312" s="33" t="n">
        <f>3820</f>
        <v>3820.0</v>
      </c>
      <c r="P312" s="34" t="s">
        <v>50</v>
      </c>
      <c r="Q312" s="33" t="n">
        <f>3980</f>
        <v>3980.0</v>
      </c>
      <c r="R312" s="34" t="s">
        <v>51</v>
      </c>
      <c r="S312" s="35" t="n">
        <f>3942.11</f>
        <v>3942.11</v>
      </c>
      <c r="T312" s="32" t="n">
        <f>624446</f>
        <v>624446.0</v>
      </c>
      <c r="U312" s="32" t="n">
        <f>247212</f>
        <v>247212.0</v>
      </c>
      <c r="V312" s="32" t="n">
        <f>2452326785</f>
        <v>2.452326785E9</v>
      </c>
      <c r="W312" s="32" t="n">
        <f>971294440</f>
        <v>9.7129444E8</v>
      </c>
      <c r="X312" s="36" t="n">
        <f>19</f>
        <v>19.0</v>
      </c>
    </row>
    <row r="313">
      <c r="A313" s="27" t="s">
        <v>42</v>
      </c>
      <c r="B313" s="27" t="s">
        <v>983</v>
      </c>
      <c r="C313" s="27" t="s">
        <v>984</v>
      </c>
      <c r="D313" s="27" t="s">
        <v>985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2811</f>
        <v>2811.0</v>
      </c>
      <c r="L313" s="34" t="s">
        <v>48</v>
      </c>
      <c r="M313" s="33" t="n">
        <f>2811</f>
        <v>2811.0</v>
      </c>
      <c r="N313" s="34" t="s">
        <v>48</v>
      </c>
      <c r="O313" s="33" t="n">
        <f>2653</f>
        <v>2653.0</v>
      </c>
      <c r="P313" s="34" t="s">
        <v>50</v>
      </c>
      <c r="Q313" s="33" t="n">
        <f>2796</f>
        <v>2796.0</v>
      </c>
      <c r="R313" s="34" t="s">
        <v>51</v>
      </c>
      <c r="S313" s="35" t="n">
        <f>2744.42</f>
        <v>2744.42</v>
      </c>
      <c r="T313" s="32" t="n">
        <f>364660</f>
        <v>364660.0</v>
      </c>
      <c r="U313" s="32" t="n">
        <f>2</f>
        <v>2.0</v>
      </c>
      <c r="V313" s="32" t="n">
        <f>1004057051</f>
        <v>1.004057051E9</v>
      </c>
      <c r="W313" s="32" t="n">
        <f>5562</f>
        <v>5562.0</v>
      </c>
      <c r="X313" s="36" t="n">
        <f>19</f>
        <v>19.0</v>
      </c>
    </row>
    <row r="314">
      <c r="A314" s="27" t="s">
        <v>42</v>
      </c>
      <c r="B314" s="27" t="s">
        <v>986</v>
      </c>
      <c r="C314" s="27" t="s">
        <v>987</v>
      </c>
      <c r="D314" s="27" t="s">
        <v>988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2435</f>
        <v>2435.0</v>
      </c>
      <c r="L314" s="34" t="s">
        <v>48</v>
      </c>
      <c r="M314" s="33" t="n">
        <f>2480</f>
        <v>2480.0</v>
      </c>
      <c r="N314" s="34" t="s">
        <v>51</v>
      </c>
      <c r="O314" s="33" t="n">
        <f>2325</f>
        <v>2325.0</v>
      </c>
      <c r="P314" s="34" t="s">
        <v>50</v>
      </c>
      <c r="Q314" s="33" t="n">
        <f>2479</f>
        <v>2479.0</v>
      </c>
      <c r="R314" s="34" t="s">
        <v>51</v>
      </c>
      <c r="S314" s="35" t="n">
        <f>2403.11</f>
        <v>2403.11</v>
      </c>
      <c r="T314" s="32" t="n">
        <f>57700</f>
        <v>57700.0</v>
      </c>
      <c r="U314" s="32" t="str">
        <f>"－"</f>
        <v>－</v>
      </c>
      <c r="V314" s="32" t="n">
        <f>140736240</f>
        <v>1.4073624E8</v>
      </c>
      <c r="W314" s="32" t="str">
        <f>"－"</f>
        <v>－</v>
      </c>
      <c r="X314" s="36" t="n">
        <f>19</f>
        <v>19.0</v>
      </c>
    </row>
    <row r="315">
      <c r="A315" s="27" t="s">
        <v>42</v>
      </c>
      <c r="B315" s="27" t="s">
        <v>989</v>
      </c>
      <c r="C315" s="27" t="s">
        <v>990</v>
      </c>
      <c r="D315" s="27" t="s">
        <v>991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1346</f>
        <v>1346.0</v>
      </c>
      <c r="L315" s="34" t="s">
        <v>48</v>
      </c>
      <c r="M315" s="33" t="n">
        <f>1447</f>
        <v>1447.0</v>
      </c>
      <c r="N315" s="34" t="s">
        <v>51</v>
      </c>
      <c r="O315" s="33" t="n">
        <f>1306</f>
        <v>1306.0</v>
      </c>
      <c r="P315" s="34" t="s">
        <v>50</v>
      </c>
      <c r="Q315" s="33" t="n">
        <f>1410</f>
        <v>1410.0</v>
      </c>
      <c r="R315" s="34" t="s">
        <v>51</v>
      </c>
      <c r="S315" s="35" t="n">
        <f>1345.47</f>
        <v>1345.47</v>
      </c>
      <c r="T315" s="32" t="n">
        <f>8841</f>
        <v>8841.0</v>
      </c>
      <c r="U315" s="32" t="str">
        <f>"－"</f>
        <v>－</v>
      </c>
      <c r="V315" s="32" t="n">
        <f>11795684</f>
        <v>1.1795684E7</v>
      </c>
      <c r="W315" s="32" t="str">
        <f>"－"</f>
        <v>－</v>
      </c>
      <c r="X315" s="36" t="n">
        <f>19</f>
        <v>19.0</v>
      </c>
    </row>
    <row r="316">
      <c r="A316" s="27" t="s">
        <v>42</v>
      </c>
      <c r="B316" s="27" t="s">
        <v>992</v>
      </c>
      <c r="C316" s="27" t="s">
        <v>993</v>
      </c>
      <c r="D316" s="27" t="s">
        <v>994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1977</f>
        <v>1977.0</v>
      </c>
      <c r="L316" s="34" t="s">
        <v>48</v>
      </c>
      <c r="M316" s="33" t="n">
        <f>2930</f>
        <v>2930.0</v>
      </c>
      <c r="N316" s="34" t="s">
        <v>61</v>
      </c>
      <c r="O316" s="33" t="n">
        <f>1950</f>
        <v>1950.0</v>
      </c>
      <c r="P316" s="34" t="s">
        <v>48</v>
      </c>
      <c r="Q316" s="33" t="n">
        <f>2012</f>
        <v>2012.0</v>
      </c>
      <c r="R316" s="34" t="s">
        <v>51</v>
      </c>
      <c r="S316" s="35" t="n">
        <f>2057.95</f>
        <v>2057.95</v>
      </c>
      <c r="T316" s="32" t="n">
        <f>524353</f>
        <v>524353.0</v>
      </c>
      <c r="U316" s="32" t="str">
        <f>"－"</f>
        <v>－</v>
      </c>
      <c r="V316" s="32" t="n">
        <f>1210817581</f>
        <v>1.210817581E9</v>
      </c>
      <c r="W316" s="32" t="str">
        <f>"－"</f>
        <v>－</v>
      </c>
      <c r="X316" s="36" t="n">
        <f>19</f>
        <v>19.0</v>
      </c>
    </row>
    <row r="317">
      <c r="A317" s="27" t="s">
        <v>42</v>
      </c>
      <c r="B317" s="27" t="s">
        <v>995</v>
      </c>
      <c r="C317" s="27" t="s">
        <v>996</v>
      </c>
      <c r="D317" s="27" t="s">
        <v>997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2900</f>
        <v>2900.0</v>
      </c>
      <c r="L317" s="34" t="s">
        <v>48</v>
      </c>
      <c r="M317" s="33" t="n">
        <f>6650</f>
        <v>6650.0</v>
      </c>
      <c r="N317" s="34" t="s">
        <v>61</v>
      </c>
      <c r="O317" s="33" t="n">
        <f>2675</f>
        <v>2675.0</v>
      </c>
      <c r="P317" s="34" t="s">
        <v>69</v>
      </c>
      <c r="Q317" s="33" t="n">
        <f>2838</f>
        <v>2838.0</v>
      </c>
      <c r="R317" s="34" t="s">
        <v>51</v>
      </c>
      <c r="S317" s="35" t="n">
        <f>2988.32</f>
        <v>2988.32</v>
      </c>
      <c r="T317" s="32" t="n">
        <f>160421</f>
        <v>160421.0</v>
      </c>
      <c r="U317" s="32" t="n">
        <f>2</f>
        <v>2.0</v>
      </c>
      <c r="V317" s="32" t="n">
        <f>615793084</f>
        <v>6.15793084E8</v>
      </c>
      <c r="W317" s="32" t="n">
        <f>5481</f>
        <v>5481.0</v>
      </c>
      <c r="X317" s="36" t="n">
        <f>19</f>
        <v>19.0</v>
      </c>
    </row>
    <row r="318">
      <c r="A318" s="27" t="s">
        <v>42</v>
      </c>
      <c r="B318" s="27" t="s">
        <v>998</v>
      </c>
      <c r="C318" s="27" t="s">
        <v>999</v>
      </c>
      <c r="D318" s="27" t="s">
        <v>1000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13250</f>
        <v>13250.0</v>
      </c>
      <c r="L318" s="34" t="s">
        <v>48</v>
      </c>
      <c r="M318" s="33" t="n">
        <f>13545</f>
        <v>13545.0</v>
      </c>
      <c r="N318" s="34" t="s">
        <v>70</v>
      </c>
      <c r="O318" s="33" t="n">
        <f>12940</f>
        <v>12940.0</v>
      </c>
      <c r="P318" s="34" t="s">
        <v>69</v>
      </c>
      <c r="Q318" s="33" t="n">
        <f>13410</f>
        <v>13410.0</v>
      </c>
      <c r="R318" s="34" t="s">
        <v>51</v>
      </c>
      <c r="S318" s="35" t="n">
        <f>13265</f>
        <v>13265.0</v>
      </c>
      <c r="T318" s="32" t="n">
        <f>362284</f>
        <v>362284.0</v>
      </c>
      <c r="U318" s="32" t="n">
        <f>220825</f>
        <v>220825.0</v>
      </c>
      <c r="V318" s="32" t="n">
        <f>4804796919</f>
        <v>4.804796919E9</v>
      </c>
      <c r="W318" s="32" t="n">
        <f>2929033684</f>
        <v>2.929033684E9</v>
      </c>
      <c r="X318" s="36" t="n">
        <f>19</f>
        <v>19.0</v>
      </c>
    </row>
    <row r="319">
      <c r="A319" s="27" t="s">
        <v>42</v>
      </c>
      <c r="B319" s="27" t="s">
        <v>1001</v>
      </c>
      <c r="C319" s="27" t="s">
        <v>1002</v>
      </c>
      <c r="D319" s="27" t="s">
        <v>1003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24080</f>
        <v>24080.0</v>
      </c>
      <c r="L319" s="34" t="s">
        <v>48</v>
      </c>
      <c r="M319" s="33" t="n">
        <f>24535</f>
        <v>24535.0</v>
      </c>
      <c r="N319" s="34" t="s">
        <v>70</v>
      </c>
      <c r="O319" s="33" t="n">
        <f>23425</f>
        <v>23425.0</v>
      </c>
      <c r="P319" s="34" t="s">
        <v>159</v>
      </c>
      <c r="Q319" s="33" t="n">
        <f>23990</f>
        <v>23990.0</v>
      </c>
      <c r="R319" s="34" t="s">
        <v>51</v>
      </c>
      <c r="S319" s="35" t="n">
        <f>23947.37</f>
        <v>23947.37</v>
      </c>
      <c r="T319" s="32" t="n">
        <f>320161</f>
        <v>320161.0</v>
      </c>
      <c r="U319" s="32" t="n">
        <f>7</f>
        <v>7.0</v>
      </c>
      <c r="V319" s="32" t="n">
        <f>7666176665</f>
        <v>7.666176665E9</v>
      </c>
      <c r="W319" s="32" t="n">
        <f>170790</f>
        <v>170790.0</v>
      </c>
      <c r="X319" s="36" t="n">
        <f>19</f>
        <v>19.0</v>
      </c>
    </row>
    <row r="320">
      <c r="A320" s="27" t="s">
        <v>42</v>
      </c>
      <c r="B320" s="27" t="s">
        <v>1004</v>
      </c>
      <c r="C320" s="27" t="s">
        <v>1005</v>
      </c>
      <c r="D320" s="27" t="s">
        <v>1006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13810</f>
        <v>13810.0</v>
      </c>
      <c r="L320" s="34" t="s">
        <v>48</v>
      </c>
      <c r="M320" s="33" t="n">
        <f>14110</f>
        <v>14110.0</v>
      </c>
      <c r="N320" s="34" t="s">
        <v>70</v>
      </c>
      <c r="O320" s="33" t="n">
        <f>13390</f>
        <v>13390.0</v>
      </c>
      <c r="P320" s="34" t="s">
        <v>159</v>
      </c>
      <c r="Q320" s="33" t="n">
        <f>13870</f>
        <v>13870.0</v>
      </c>
      <c r="R320" s="34" t="s">
        <v>51</v>
      </c>
      <c r="S320" s="35" t="n">
        <f>13773.68</f>
        <v>13773.68</v>
      </c>
      <c r="T320" s="32" t="n">
        <f>256484</f>
        <v>256484.0</v>
      </c>
      <c r="U320" s="32" t="n">
        <f>107438</f>
        <v>107438.0</v>
      </c>
      <c r="V320" s="32" t="n">
        <f>3545626974</f>
        <v>3.545626974E9</v>
      </c>
      <c r="W320" s="32" t="n">
        <f>1498492164</f>
        <v>1.498492164E9</v>
      </c>
      <c r="X320" s="36" t="n">
        <f>19</f>
        <v>19.0</v>
      </c>
    </row>
    <row r="321">
      <c r="A321" s="27" t="s">
        <v>42</v>
      </c>
      <c r="B321" s="27" t="s">
        <v>1007</v>
      </c>
      <c r="C321" s="27" t="s">
        <v>1008</v>
      </c>
      <c r="D321" s="27" t="s">
        <v>1009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432.6</f>
        <v>432.6</v>
      </c>
      <c r="L321" s="34" t="s">
        <v>48</v>
      </c>
      <c r="M321" s="33" t="n">
        <f>442</f>
        <v>442.0</v>
      </c>
      <c r="N321" s="34" t="s">
        <v>70</v>
      </c>
      <c r="O321" s="33" t="n">
        <f>424.7</f>
        <v>424.7</v>
      </c>
      <c r="P321" s="34" t="s">
        <v>159</v>
      </c>
      <c r="Q321" s="33" t="n">
        <f>435.2</f>
        <v>435.2</v>
      </c>
      <c r="R321" s="34" t="s">
        <v>51</v>
      </c>
      <c r="S321" s="35" t="n">
        <f>432.99</f>
        <v>432.99</v>
      </c>
      <c r="T321" s="32" t="n">
        <f>7427930</f>
        <v>7427930.0</v>
      </c>
      <c r="U321" s="32" t="n">
        <f>1626360</f>
        <v>1626360.0</v>
      </c>
      <c r="V321" s="32" t="n">
        <f>3209671486</f>
        <v>3.209671486E9</v>
      </c>
      <c r="W321" s="32" t="n">
        <f>703421788</f>
        <v>7.03421788E8</v>
      </c>
      <c r="X321" s="36" t="n">
        <f>19</f>
        <v>19.0</v>
      </c>
    </row>
    <row r="322">
      <c r="A322" s="27" t="s">
        <v>42</v>
      </c>
      <c r="B322" s="27" t="s">
        <v>1010</v>
      </c>
      <c r="C322" s="27" t="s">
        <v>1011</v>
      </c>
      <c r="D322" s="27" t="s">
        <v>1012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2604</f>
        <v>2604.0</v>
      </c>
      <c r="L322" s="34" t="s">
        <v>48</v>
      </c>
      <c r="M322" s="33" t="n">
        <f>2676.5</f>
        <v>2676.5</v>
      </c>
      <c r="N322" s="34" t="s">
        <v>70</v>
      </c>
      <c r="O322" s="33" t="n">
        <f>2558.5</f>
        <v>2558.5</v>
      </c>
      <c r="P322" s="34" t="s">
        <v>159</v>
      </c>
      <c r="Q322" s="33" t="n">
        <f>2658</f>
        <v>2658.0</v>
      </c>
      <c r="R322" s="34" t="s">
        <v>51</v>
      </c>
      <c r="S322" s="35" t="n">
        <f>2623.13</f>
        <v>2623.13</v>
      </c>
      <c r="T322" s="32" t="n">
        <f>1443080</f>
        <v>1443080.0</v>
      </c>
      <c r="U322" s="32" t="n">
        <f>831820</f>
        <v>831820.0</v>
      </c>
      <c r="V322" s="32" t="n">
        <f>3783991280</f>
        <v>3.78399128E9</v>
      </c>
      <c r="W322" s="32" t="n">
        <f>2184965525</f>
        <v>2.184965525E9</v>
      </c>
      <c r="X322" s="36" t="n">
        <f>19</f>
        <v>19.0</v>
      </c>
    </row>
    <row r="323">
      <c r="A323" s="27" t="s">
        <v>42</v>
      </c>
      <c r="B323" s="27" t="s">
        <v>1013</v>
      </c>
      <c r="C323" s="27" t="s">
        <v>1014</v>
      </c>
      <c r="D323" s="27" t="s">
        <v>1015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4445</f>
        <v>4445.0</v>
      </c>
      <c r="L323" s="34" t="s">
        <v>48</v>
      </c>
      <c r="M323" s="33" t="n">
        <f>4505</f>
        <v>4505.0</v>
      </c>
      <c r="N323" s="34" t="s">
        <v>70</v>
      </c>
      <c r="O323" s="33" t="n">
        <f>4350</f>
        <v>4350.0</v>
      </c>
      <c r="P323" s="34" t="s">
        <v>50</v>
      </c>
      <c r="Q323" s="33" t="n">
        <f>4423</f>
        <v>4423.0</v>
      </c>
      <c r="R323" s="34" t="s">
        <v>51</v>
      </c>
      <c r="S323" s="35" t="n">
        <f>4428.63</f>
        <v>4428.63</v>
      </c>
      <c r="T323" s="32" t="n">
        <f>89480</f>
        <v>89480.0</v>
      </c>
      <c r="U323" s="32" t="n">
        <f>40</f>
        <v>40.0</v>
      </c>
      <c r="V323" s="32" t="n">
        <f>395878330</f>
        <v>3.9587833E8</v>
      </c>
      <c r="W323" s="32" t="n">
        <f>178230</f>
        <v>178230.0</v>
      </c>
      <c r="X323" s="36" t="n">
        <f>19</f>
        <v>19.0</v>
      </c>
    </row>
    <row r="324">
      <c r="A324" s="27" t="s">
        <v>42</v>
      </c>
      <c r="B324" s="27" t="s">
        <v>1016</v>
      </c>
      <c r="C324" s="27" t="s">
        <v>1017</v>
      </c>
      <c r="D324" s="27" t="s">
        <v>1018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3445</f>
        <v>3445.0</v>
      </c>
      <c r="L324" s="34" t="s">
        <v>48</v>
      </c>
      <c r="M324" s="33" t="n">
        <f>3445</f>
        <v>3445.0</v>
      </c>
      <c r="N324" s="34" t="s">
        <v>48</v>
      </c>
      <c r="O324" s="33" t="n">
        <f>3250</f>
        <v>3250.0</v>
      </c>
      <c r="P324" s="34" t="s">
        <v>216</v>
      </c>
      <c r="Q324" s="33" t="n">
        <f>3405</f>
        <v>3405.0</v>
      </c>
      <c r="R324" s="34" t="s">
        <v>51</v>
      </c>
      <c r="S324" s="35" t="n">
        <f>3356.32</f>
        <v>3356.32</v>
      </c>
      <c r="T324" s="32" t="n">
        <f>2552</f>
        <v>2552.0</v>
      </c>
      <c r="U324" s="32" t="str">
        <f>"－"</f>
        <v>－</v>
      </c>
      <c r="V324" s="32" t="n">
        <f>8590700</f>
        <v>8590700.0</v>
      </c>
      <c r="W324" s="32" t="str">
        <f>"－"</f>
        <v>－</v>
      </c>
      <c r="X324" s="36" t="n">
        <f>19</f>
        <v>19.0</v>
      </c>
    </row>
    <row r="325">
      <c r="A325" s="27" t="s">
        <v>42</v>
      </c>
      <c r="B325" s="27" t="s">
        <v>1019</v>
      </c>
      <c r="C325" s="27" t="s">
        <v>1020</v>
      </c>
      <c r="D325" s="27" t="s">
        <v>1021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1500</f>
        <v>1500.0</v>
      </c>
      <c r="L325" s="34" t="s">
        <v>48</v>
      </c>
      <c r="M325" s="33" t="n">
        <f>1552</f>
        <v>1552.0</v>
      </c>
      <c r="N325" s="34" t="s">
        <v>226</v>
      </c>
      <c r="O325" s="33" t="n">
        <f>1463</f>
        <v>1463.0</v>
      </c>
      <c r="P325" s="34" t="s">
        <v>50</v>
      </c>
      <c r="Q325" s="33" t="n">
        <f>1478</f>
        <v>1478.0</v>
      </c>
      <c r="R325" s="34" t="s">
        <v>51</v>
      </c>
      <c r="S325" s="35" t="n">
        <f>1490.32</f>
        <v>1490.32</v>
      </c>
      <c r="T325" s="32" t="n">
        <f>34833</f>
        <v>34833.0</v>
      </c>
      <c r="U325" s="32" t="str">
        <f>"－"</f>
        <v>－</v>
      </c>
      <c r="V325" s="32" t="n">
        <f>51571779</f>
        <v>5.1571779E7</v>
      </c>
      <c r="W325" s="32" t="str">
        <f>"－"</f>
        <v>－</v>
      </c>
      <c r="X325" s="36" t="n">
        <f>19</f>
        <v>19.0</v>
      </c>
    </row>
    <row r="326">
      <c r="A326" s="27" t="s">
        <v>42</v>
      </c>
      <c r="B326" s="27" t="s">
        <v>1022</v>
      </c>
      <c r="C326" s="27" t="s">
        <v>1023</v>
      </c>
      <c r="D326" s="27" t="s">
        <v>1024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2050</f>
        <v>2050.0</v>
      </c>
      <c r="L326" s="34" t="s">
        <v>48</v>
      </c>
      <c r="M326" s="33" t="n">
        <f>2175</f>
        <v>2175.0</v>
      </c>
      <c r="N326" s="34" t="s">
        <v>61</v>
      </c>
      <c r="O326" s="33" t="n">
        <f>1983</f>
        <v>1983.0</v>
      </c>
      <c r="P326" s="34" t="s">
        <v>69</v>
      </c>
      <c r="Q326" s="33" t="n">
        <f>2140</f>
        <v>2140.0</v>
      </c>
      <c r="R326" s="34" t="s">
        <v>51</v>
      </c>
      <c r="S326" s="35" t="n">
        <f>2084.63</f>
        <v>2084.63</v>
      </c>
      <c r="T326" s="32" t="n">
        <f>81891</f>
        <v>81891.0</v>
      </c>
      <c r="U326" s="32" t="str">
        <f>"－"</f>
        <v>－</v>
      </c>
      <c r="V326" s="32" t="n">
        <f>170118827</f>
        <v>1.70118827E8</v>
      </c>
      <c r="W326" s="32" t="str">
        <f>"－"</f>
        <v>－</v>
      </c>
      <c r="X326" s="36" t="n">
        <f>19</f>
        <v>19.0</v>
      </c>
    </row>
    <row r="327">
      <c r="A327" s="27" t="s">
        <v>42</v>
      </c>
      <c r="B327" s="27" t="s">
        <v>1025</v>
      </c>
      <c r="C327" s="27" t="s">
        <v>1026</v>
      </c>
      <c r="D327" s="27" t="s">
        <v>1027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1701</f>
        <v>1701.0</v>
      </c>
      <c r="L327" s="34" t="s">
        <v>48</v>
      </c>
      <c r="M327" s="33" t="n">
        <f>1710</f>
        <v>1710.0</v>
      </c>
      <c r="N327" s="34" t="s">
        <v>61</v>
      </c>
      <c r="O327" s="33" t="n">
        <f>1625</f>
        <v>1625.0</v>
      </c>
      <c r="P327" s="34" t="s">
        <v>50</v>
      </c>
      <c r="Q327" s="33" t="n">
        <f>1689</f>
        <v>1689.0</v>
      </c>
      <c r="R327" s="34" t="s">
        <v>51</v>
      </c>
      <c r="S327" s="35" t="n">
        <f>1671.83</f>
        <v>1671.83</v>
      </c>
      <c r="T327" s="32" t="n">
        <f>11362</f>
        <v>11362.0</v>
      </c>
      <c r="U327" s="32" t="str">
        <f>"－"</f>
        <v>－</v>
      </c>
      <c r="V327" s="32" t="n">
        <f>19097336</f>
        <v>1.9097336E7</v>
      </c>
      <c r="W327" s="32" t="str">
        <f>"－"</f>
        <v>－</v>
      </c>
      <c r="X327" s="36" t="n">
        <f>18</f>
        <v>18.0</v>
      </c>
    </row>
    <row r="328">
      <c r="A328" s="27" t="s">
        <v>42</v>
      </c>
      <c r="B328" s="27" t="s">
        <v>1028</v>
      </c>
      <c r="C328" s="27" t="s">
        <v>1029</v>
      </c>
      <c r="D328" s="27" t="s">
        <v>1030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3640</f>
        <v>3640.0</v>
      </c>
      <c r="L328" s="34" t="s">
        <v>48</v>
      </c>
      <c r="M328" s="33" t="n">
        <f>3650</f>
        <v>3650.0</v>
      </c>
      <c r="N328" s="34" t="s">
        <v>71</v>
      </c>
      <c r="O328" s="33" t="n">
        <f>3330</f>
        <v>3330.0</v>
      </c>
      <c r="P328" s="34" t="s">
        <v>50</v>
      </c>
      <c r="Q328" s="33" t="n">
        <f>3585</f>
        <v>3585.0</v>
      </c>
      <c r="R328" s="34" t="s">
        <v>51</v>
      </c>
      <c r="S328" s="35" t="n">
        <f>3470</f>
        <v>3470.0</v>
      </c>
      <c r="T328" s="32" t="n">
        <f>63113</f>
        <v>63113.0</v>
      </c>
      <c r="U328" s="32" t="n">
        <f>1831</f>
        <v>1831.0</v>
      </c>
      <c r="V328" s="32" t="n">
        <f>219741675</f>
        <v>2.19741675E8</v>
      </c>
      <c r="W328" s="32" t="n">
        <f>6365255</f>
        <v>6365255.0</v>
      </c>
      <c r="X328" s="36" t="n">
        <f>19</f>
        <v>19.0</v>
      </c>
    </row>
    <row r="329">
      <c r="A329" s="27" t="s">
        <v>42</v>
      </c>
      <c r="B329" s="27" t="s">
        <v>1031</v>
      </c>
      <c r="C329" s="27" t="s">
        <v>1032</v>
      </c>
      <c r="D329" s="27" t="s">
        <v>1033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3290</f>
        <v>3290.0</v>
      </c>
      <c r="L329" s="34" t="s">
        <v>48</v>
      </c>
      <c r="M329" s="33" t="n">
        <f>3295</f>
        <v>3295.0</v>
      </c>
      <c r="N329" s="34" t="s">
        <v>48</v>
      </c>
      <c r="O329" s="33" t="n">
        <f>3055</f>
        <v>3055.0</v>
      </c>
      <c r="P329" s="34" t="s">
        <v>50</v>
      </c>
      <c r="Q329" s="33" t="n">
        <f>3250</f>
        <v>3250.0</v>
      </c>
      <c r="R329" s="34" t="s">
        <v>51</v>
      </c>
      <c r="S329" s="35" t="n">
        <f>3185</f>
        <v>3185.0</v>
      </c>
      <c r="T329" s="32" t="n">
        <f>169281</f>
        <v>169281.0</v>
      </c>
      <c r="U329" s="32" t="n">
        <f>31722</f>
        <v>31722.0</v>
      </c>
      <c r="V329" s="32" t="n">
        <f>541128360</f>
        <v>5.4112836E8</v>
      </c>
      <c r="W329" s="32" t="n">
        <f>100394740</f>
        <v>1.0039474E8</v>
      </c>
      <c r="X329" s="36" t="n">
        <f>19</f>
        <v>19.0</v>
      </c>
    </row>
    <row r="330">
      <c r="A330" s="27" t="s">
        <v>42</v>
      </c>
      <c r="B330" s="27" t="s">
        <v>1034</v>
      </c>
      <c r="C330" s="27" t="s">
        <v>1035</v>
      </c>
      <c r="D330" s="27" t="s">
        <v>1036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36910</f>
        <v>36910.0</v>
      </c>
      <c r="L330" s="34" t="s">
        <v>48</v>
      </c>
      <c r="M330" s="33" t="n">
        <f>37450</f>
        <v>37450.0</v>
      </c>
      <c r="N330" s="34" t="s">
        <v>49</v>
      </c>
      <c r="O330" s="33" t="n">
        <f>35210</f>
        <v>35210.0</v>
      </c>
      <c r="P330" s="34" t="s">
        <v>50</v>
      </c>
      <c r="Q330" s="33" t="n">
        <f>36680</f>
        <v>36680.0</v>
      </c>
      <c r="R330" s="34" t="s">
        <v>61</v>
      </c>
      <c r="S330" s="35" t="n">
        <f>36348.67</f>
        <v>36348.67</v>
      </c>
      <c r="T330" s="32" t="n">
        <f>166</f>
        <v>166.0</v>
      </c>
      <c r="U330" s="32" t="str">
        <f>"－"</f>
        <v>－</v>
      </c>
      <c r="V330" s="32" t="n">
        <f>6026200</f>
        <v>6026200.0</v>
      </c>
      <c r="W330" s="32" t="str">
        <f>"－"</f>
        <v>－</v>
      </c>
      <c r="X330" s="36" t="n">
        <f>15</f>
        <v>15.0</v>
      </c>
    </row>
    <row r="331">
      <c r="A331" s="27" t="s">
        <v>42</v>
      </c>
      <c r="B331" s="27" t="s">
        <v>1037</v>
      </c>
      <c r="C331" s="27" t="s">
        <v>1038</v>
      </c>
      <c r="D331" s="27" t="s">
        <v>1039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3000</f>
        <v>3000.0</v>
      </c>
      <c r="L331" s="34" t="s">
        <v>48</v>
      </c>
      <c r="M331" s="33" t="n">
        <f>3000</f>
        <v>3000.0</v>
      </c>
      <c r="N331" s="34" t="s">
        <v>48</v>
      </c>
      <c r="O331" s="33" t="n">
        <f>2788</f>
        <v>2788.0</v>
      </c>
      <c r="P331" s="34" t="s">
        <v>69</v>
      </c>
      <c r="Q331" s="33" t="n">
        <f>2967</f>
        <v>2967.0</v>
      </c>
      <c r="R331" s="34" t="s">
        <v>51</v>
      </c>
      <c r="S331" s="35" t="n">
        <f>2908.13</f>
        <v>2908.13</v>
      </c>
      <c r="T331" s="32" t="n">
        <f>9723</f>
        <v>9723.0</v>
      </c>
      <c r="U331" s="32" t="str">
        <f>"－"</f>
        <v>－</v>
      </c>
      <c r="V331" s="32" t="n">
        <f>28598357</f>
        <v>2.8598357E7</v>
      </c>
      <c r="W331" s="32" t="str">
        <f>"－"</f>
        <v>－</v>
      </c>
      <c r="X331" s="36" t="n">
        <f>15</f>
        <v>15.0</v>
      </c>
    </row>
    <row r="332">
      <c r="A332" s="27" t="s">
        <v>42</v>
      </c>
      <c r="B332" s="27" t="s">
        <v>1040</v>
      </c>
      <c r="C332" s="27" t="s">
        <v>1041</v>
      </c>
      <c r="D332" s="27" t="s">
        <v>1042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1777</f>
        <v>1777.0</v>
      </c>
      <c r="L332" s="34" t="s">
        <v>48</v>
      </c>
      <c r="M332" s="33" t="n">
        <f>1971</f>
        <v>1971.0</v>
      </c>
      <c r="N332" s="34" t="s">
        <v>103</v>
      </c>
      <c r="O332" s="33" t="n">
        <f>1734</f>
        <v>1734.0</v>
      </c>
      <c r="P332" s="34" t="s">
        <v>239</v>
      </c>
      <c r="Q332" s="33" t="n">
        <f>1807</f>
        <v>1807.0</v>
      </c>
      <c r="R332" s="34" t="s">
        <v>51</v>
      </c>
      <c r="S332" s="35" t="n">
        <f>1837.05</f>
        <v>1837.05</v>
      </c>
      <c r="T332" s="32" t="n">
        <f>12706498</f>
        <v>1.2706498E7</v>
      </c>
      <c r="U332" s="32" t="n">
        <f>1166232</f>
        <v>1166232.0</v>
      </c>
      <c r="V332" s="32" t="n">
        <f>23367573002</f>
        <v>2.3367573002E10</v>
      </c>
      <c r="W332" s="32" t="n">
        <f>2169143887</f>
        <v>2.169143887E9</v>
      </c>
      <c r="X332" s="36" t="n">
        <f>19</f>
        <v>19.0</v>
      </c>
    </row>
    <row r="333">
      <c r="A333" s="27" t="s">
        <v>42</v>
      </c>
      <c r="B333" s="27" t="s">
        <v>1043</v>
      </c>
      <c r="C333" s="27" t="s">
        <v>1044</v>
      </c>
      <c r="D333" s="27" t="s">
        <v>1045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2431</f>
        <v>2431.0</v>
      </c>
      <c r="L333" s="34" t="s">
        <v>48</v>
      </c>
      <c r="M333" s="33" t="n">
        <f>2593</f>
        <v>2593.0</v>
      </c>
      <c r="N333" s="34" t="s">
        <v>71</v>
      </c>
      <c r="O333" s="33" t="n">
        <f>2326</f>
        <v>2326.0</v>
      </c>
      <c r="P333" s="34" t="s">
        <v>69</v>
      </c>
      <c r="Q333" s="33" t="n">
        <f>2520</f>
        <v>2520.0</v>
      </c>
      <c r="R333" s="34" t="s">
        <v>51</v>
      </c>
      <c r="S333" s="35" t="n">
        <f>2424.83</f>
        <v>2424.83</v>
      </c>
      <c r="T333" s="32" t="n">
        <f>8131</f>
        <v>8131.0</v>
      </c>
      <c r="U333" s="32" t="str">
        <f>"－"</f>
        <v>－</v>
      </c>
      <c r="V333" s="32" t="n">
        <f>19809295</f>
        <v>1.9809295E7</v>
      </c>
      <c r="W333" s="32" t="str">
        <f>"－"</f>
        <v>－</v>
      </c>
      <c r="X333" s="36" t="n">
        <f>18</f>
        <v>18.0</v>
      </c>
    </row>
    <row r="334">
      <c r="A334" s="27" t="s">
        <v>42</v>
      </c>
      <c r="B334" s="27" t="s">
        <v>1046</v>
      </c>
      <c r="C334" s="27" t="s">
        <v>1047</v>
      </c>
      <c r="D334" s="27" t="s">
        <v>1048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1666</f>
        <v>1666.0</v>
      </c>
      <c r="L334" s="34" t="s">
        <v>48</v>
      </c>
      <c r="M334" s="33" t="n">
        <f>1666</f>
        <v>1666.0</v>
      </c>
      <c r="N334" s="34" t="s">
        <v>48</v>
      </c>
      <c r="O334" s="33" t="n">
        <f>1525</f>
        <v>1525.0</v>
      </c>
      <c r="P334" s="34" t="s">
        <v>159</v>
      </c>
      <c r="Q334" s="33" t="n">
        <f>1628</f>
        <v>1628.0</v>
      </c>
      <c r="R334" s="34" t="s">
        <v>51</v>
      </c>
      <c r="S334" s="35" t="n">
        <f>1596.58</f>
        <v>1596.58</v>
      </c>
      <c r="T334" s="32" t="n">
        <f>26088</f>
        <v>26088.0</v>
      </c>
      <c r="U334" s="32" t="n">
        <f>1</f>
        <v>1.0</v>
      </c>
      <c r="V334" s="32" t="n">
        <f>41274650</f>
        <v>4.127465E7</v>
      </c>
      <c r="W334" s="32" t="n">
        <f>1616</f>
        <v>1616.0</v>
      </c>
      <c r="X334" s="36" t="n">
        <f>19</f>
        <v>19.0</v>
      </c>
    </row>
    <row r="335">
      <c r="A335" s="27" t="s">
        <v>42</v>
      </c>
      <c r="B335" s="27" t="s">
        <v>1049</v>
      </c>
      <c r="C335" s="27" t="s">
        <v>1050</v>
      </c>
      <c r="D335" s="27" t="s">
        <v>1051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5745</f>
        <v>5745.0</v>
      </c>
      <c r="L335" s="34" t="s">
        <v>48</v>
      </c>
      <c r="M335" s="33" t="n">
        <f>5764</f>
        <v>5764.0</v>
      </c>
      <c r="N335" s="34" t="s">
        <v>49</v>
      </c>
      <c r="O335" s="33" t="n">
        <f>5659</f>
        <v>5659.0</v>
      </c>
      <c r="P335" s="34" t="s">
        <v>70</v>
      </c>
      <c r="Q335" s="33" t="n">
        <f>5683</f>
        <v>5683.0</v>
      </c>
      <c r="R335" s="34" t="s">
        <v>51</v>
      </c>
      <c r="S335" s="35" t="n">
        <f>5711.56</f>
        <v>5711.56</v>
      </c>
      <c r="T335" s="32" t="n">
        <f>20380</f>
        <v>20380.0</v>
      </c>
      <c r="U335" s="32" t="n">
        <f>20</f>
        <v>20.0</v>
      </c>
      <c r="V335" s="32" t="n">
        <f>116749230</f>
        <v>1.1674923E8</v>
      </c>
      <c r="W335" s="32" t="n">
        <f>113600</f>
        <v>113600.0</v>
      </c>
      <c r="X335" s="36" t="n">
        <f>16</f>
        <v>16.0</v>
      </c>
    </row>
    <row r="336">
      <c r="A336" s="27" t="s">
        <v>42</v>
      </c>
      <c r="B336" s="27" t="s">
        <v>1052</v>
      </c>
      <c r="C336" s="27" t="s">
        <v>1053</v>
      </c>
      <c r="D336" s="27" t="s">
        <v>1054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3521</f>
        <v>3521.0</v>
      </c>
      <c r="L336" s="34" t="s">
        <v>48</v>
      </c>
      <c r="M336" s="33" t="n">
        <f>3644</f>
        <v>3644.0</v>
      </c>
      <c r="N336" s="34" t="s">
        <v>226</v>
      </c>
      <c r="O336" s="33" t="n">
        <f>3485</f>
        <v>3485.0</v>
      </c>
      <c r="P336" s="34" t="s">
        <v>159</v>
      </c>
      <c r="Q336" s="33" t="n">
        <f>3548</f>
        <v>3548.0</v>
      </c>
      <c r="R336" s="34" t="s">
        <v>71</v>
      </c>
      <c r="S336" s="35" t="n">
        <f>3535.44</f>
        <v>3535.44</v>
      </c>
      <c r="T336" s="32" t="n">
        <f>501620</f>
        <v>501620.0</v>
      </c>
      <c r="U336" s="32" t="n">
        <f>279950</f>
        <v>279950.0</v>
      </c>
      <c r="V336" s="32" t="n">
        <f>1755420630</f>
        <v>1.75542063E9</v>
      </c>
      <c r="W336" s="32" t="n">
        <f>975513770</f>
        <v>9.7551377E8</v>
      </c>
      <c r="X336" s="36" t="n">
        <f>18</f>
        <v>18.0</v>
      </c>
    </row>
    <row r="337">
      <c r="A337" s="27" t="s">
        <v>42</v>
      </c>
      <c r="B337" s="27" t="s">
        <v>1055</v>
      </c>
      <c r="C337" s="27" t="s">
        <v>1056</v>
      </c>
      <c r="D337" s="27" t="s">
        <v>1057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606.5</f>
        <v>606.5</v>
      </c>
      <c r="L337" s="34" t="s">
        <v>48</v>
      </c>
      <c r="M337" s="33" t="n">
        <f>609</f>
        <v>609.0</v>
      </c>
      <c r="N337" s="34" t="s">
        <v>116</v>
      </c>
      <c r="O337" s="33" t="n">
        <f>593.1</f>
        <v>593.1</v>
      </c>
      <c r="P337" s="34" t="s">
        <v>69</v>
      </c>
      <c r="Q337" s="33" t="n">
        <f>605.7</f>
        <v>605.7</v>
      </c>
      <c r="R337" s="34" t="s">
        <v>51</v>
      </c>
      <c r="S337" s="35" t="n">
        <f>602.92</f>
        <v>602.92</v>
      </c>
      <c r="T337" s="32" t="n">
        <f>76040</f>
        <v>76040.0</v>
      </c>
      <c r="U337" s="32" t="n">
        <f>30</f>
        <v>30.0</v>
      </c>
      <c r="V337" s="32" t="n">
        <f>45825718</f>
        <v>4.5825718E7</v>
      </c>
      <c r="W337" s="32" t="n">
        <f>18142</f>
        <v>18142.0</v>
      </c>
      <c r="X337" s="36" t="n">
        <f>18</f>
        <v>18.0</v>
      </c>
    </row>
    <row r="338">
      <c r="A338" s="27" t="s">
        <v>42</v>
      </c>
      <c r="B338" s="27" t="s">
        <v>1058</v>
      </c>
      <c r="C338" s="27" t="s">
        <v>1059</v>
      </c>
      <c r="D338" s="27" t="s">
        <v>1060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10345</f>
        <v>10345.0</v>
      </c>
      <c r="L338" s="34" t="s">
        <v>48</v>
      </c>
      <c r="M338" s="33" t="n">
        <f>10650</f>
        <v>10650.0</v>
      </c>
      <c r="N338" s="34" t="s">
        <v>239</v>
      </c>
      <c r="O338" s="33" t="n">
        <f>10020</f>
        <v>10020.0</v>
      </c>
      <c r="P338" s="34" t="s">
        <v>159</v>
      </c>
      <c r="Q338" s="33" t="n">
        <f>10305</f>
        <v>10305.0</v>
      </c>
      <c r="R338" s="34" t="s">
        <v>51</v>
      </c>
      <c r="S338" s="35" t="n">
        <f>10290.79</f>
        <v>10290.79</v>
      </c>
      <c r="T338" s="32" t="n">
        <f>12513</f>
        <v>12513.0</v>
      </c>
      <c r="U338" s="32" t="str">
        <f>"－"</f>
        <v>－</v>
      </c>
      <c r="V338" s="32" t="n">
        <f>128824435</f>
        <v>1.28824435E8</v>
      </c>
      <c r="W338" s="32" t="str">
        <f>"－"</f>
        <v>－</v>
      </c>
      <c r="X338" s="36" t="n">
        <f>19</f>
        <v>19.0</v>
      </c>
    </row>
    <row r="339">
      <c r="A339" s="27" t="s">
        <v>42</v>
      </c>
      <c r="B339" s="27" t="s">
        <v>1061</v>
      </c>
      <c r="C339" s="27" t="s">
        <v>1062</v>
      </c>
      <c r="D339" s="27" t="s">
        <v>1063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1018</f>
        <v>1018.0</v>
      </c>
      <c r="L339" s="34" t="s">
        <v>48</v>
      </c>
      <c r="M339" s="33" t="n">
        <f>1160</f>
        <v>1160.0</v>
      </c>
      <c r="N339" s="34" t="s">
        <v>69</v>
      </c>
      <c r="O339" s="33" t="n">
        <f>981</f>
        <v>981.0</v>
      </c>
      <c r="P339" s="34" t="s">
        <v>239</v>
      </c>
      <c r="Q339" s="33" t="n">
        <f>1017</f>
        <v>1017.0</v>
      </c>
      <c r="R339" s="34" t="s">
        <v>51</v>
      </c>
      <c r="S339" s="35" t="n">
        <f>1041.53</f>
        <v>1041.53</v>
      </c>
      <c r="T339" s="32" t="n">
        <f>1403070</f>
        <v>1403070.0</v>
      </c>
      <c r="U339" s="32" t="n">
        <f>120001</f>
        <v>120001.0</v>
      </c>
      <c r="V339" s="32" t="n">
        <f>1469738040</f>
        <v>1.46973804E9</v>
      </c>
      <c r="W339" s="32" t="n">
        <f>123353805</f>
        <v>1.23353805E8</v>
      </c>
      <c r="X339" s="36" t="n">
        <f>19</f>
        <v>19.0</v>
      </c>
    </row>
    <row r="340">
      <c r="A340" s="27" t="s">
        <v>42</v>
      </c>
      <c r="B340" s="27" t="s">
        <v>1064</v>
      </c>
      <c r="C340" s="27" t="s">
        <v>1065</v>
      </c>
      <c r="D340" s="27" t="s">
        <v>1066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2725</f>
        <v>2725.0</v>
      </c>
      <c r="L340" s="34" t="s">
        <v>48</v>
      </c>
      <c r="M340" s="33" t="n">
        <f>2884</f>
        <v>2884.0</v>
      </c>
      <c r="N340" s="34" t="s">
        <v>51</v>
      </c>
      <c r="O340" s="33" t="n">
        <f>2618</f>
        <v>2618.0</v>
      </c>
      <c r="P340" s="34" t="s">
        <v>50</v>
      </c>
      <c r="Q340" s="33" t="n">
        <f>2884</f>
        <v>2884.0</v>
      </c>
      <c r="R340" s="34" t="s">
        <v>51</v>
      </c>
      <c r="S340" s="35" t="n">
        <f>2704.26</f>
        <v>2704.26</v>
      </c>
      <c r="T340" s="32" t="n">
        <f>2741</f>
        <v>2741.0</v>
      </c>
      <c r="U340" s="32" t="n">
        <f>1</f>
        <v>1.0</v>
      </c>
      <c r="V340" s="32" t="n">
        <f>7414647</f>
        <v>7414647.0</v>
      </c>
      <c r="W340" s="32" t="n">
        <f>2698</f>
        <v>2698.0</v>
      </c>
      <c r="X340" s="36" t="n">
        <f>19</f>
        <v>19.0</v>
      </c>
    </row>
    <row r="341">
      <c r="A341" s="27" t="s">
        <v>42</v>
      </c>
      <c r="B341" s="27" t="s">
        <v>1067</v>
      </c>
      <c r="C341" s="27" t="s">
        <v>1068</v>
      </c>
      <c r="D341" s="27" t="s">
        <v>1069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2285</f>
        <v>2285.0</v>
      </c>
      <c r="L341" s="34" t="s">
        <v>48</v>
      </c>
      <c r="M341" s="33" t="n">
        <f>2327</f>
        <v>2327.0</v>
      </c>
      <c r="N341" s="34" t="s">
        <v>61</v>
      </c>
      <c r="O341" s="33" t="n">
        <f>2162</f>
        <v>2162.0</v>
      </c>
      <c r="P341" s="34" t="s">
        <v>69</v>
      </c>
      <c r="Q341" s="33" t="n">
        <f>2311</f>
        <v>2311.0</v>
      </c>
      <c r="R341" s="34" t="s">
        <v>51</v>
      </c>
      <c r="S341" s="35" t="n">
        <f>2247.89</f>
        <v>2247.89</v>
      </c>
      <c r="T341" s="32" t="n">
        <f>34041</f>
        <v>34041.0</v>
      </c>
      <c r="U341" s="32" t="str">
        <f>"－"</f>
        <v>－</v>
      </c>
      <c r="V341" s="32" t="n">
        <f>76024696</f>
        <v>7.6024696E7</v>
      </c>
      <c r="W341" s="32" t="str">
        <f>"－"</f>
        <v>－</v>
      </c>
      <c r="X341" s="36" t="n">
        <f>19</f>
        <v>19.0</v>
      </c>
    </row>
    <row r="342">
      <c r="A342" s="27" t="s">
        <v>42</v>
      </c>
      <c r="B342" s="27" t="s">
        <v>1070</v>
      </c>
      <c r="C342" s="27" t="s">
        <v>1071</v>
      </c>
      <c r="D342" s="27" t="s">
        <v>1072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8578</f>
        <v>8578.0</v>
      </c>
      <c r="L342" s="34" t="s">
        <v>48</v>
      </c>
      <c r="M342" s="33" t="n">
        <f>8615</f>
        <v>8615.0</v>
      </c>
      <c r="N342" s="34" t="s">
        <v>49</v>
      </c>
      <c r="O342" s="33" t="n">
        <f>8461</f>
        <v>8461.0</v>
      </c>
      <c r="P342" s="34" t="s">
        <v>51</v>
      </c>
      <c r="Q342" s="33" t="n">
        <f>8509</f>
        <v>8509.0</v>
      </c>
      <c r="R342" s="34" t="s">
        <v>51</v>
      </c>
      <c r="S342" s="35" t="n">
        <f>8531.21</f>
        <v>8531.21</v>
      </c>
      <c r="T342" s="32" t="n">
        <f>925003</f>
        <v>925003.0</v>
      </c>
      <c r="U342" s="32" t="n">
        <f>900000</f>
        <v>900000.0</v>
      </c>
      <c r="V342" s="32" t="n">
        <f>7912227601</f>
        <v>7.912227601E9</v>
      </c>
      <c r="W342" s="32" t="n">
        <f>7699080000</f>
        <v>7.69908E9</v>
      </c>
      <c r="X342" s="36" t="n">
        <f>19</f>
        <v>19.0</v>
      </c>
    </row>
    <row r="343">
      <c r="A343" s="27" t="s">
        <v>42</v>
      </c>
      <c r="B343" s="27" t="s">
        <v>1073</v>
      </c>
      <c r="C343" s="27" t="s">
        <v>1074</v>
      </c>
      <c r="D343" s="27" t="s">
        <v>1075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5261</f>
        <v>5261.0</v>
      </c>
      <c r="L343" s="34" t="s">
        <v>48</v>
      </c>
      <c r="M343" s="33" t="n">
        <f>5469</f>
        <v>5469.0</v>
      </c>
      <c r="N343" s="34" t="s">
        <v>116</v>
      </c>
      <c r="O343" s="33" t="n">
        <f>5206</f>
        <v>5206.0</v>
      </c>
      <c r="P343" s="34" t="s">
        <v>159</v>
      </c>
      <c r="Q343" s="33" t="n">
        <f>5302</f>
        <v>5302.0</v>
      </c>
      <c r="R343" s="34" t="s">
        <v>51</v>
      </c>
      <c r="S343" s="35" t="n">
        <f>5282.68</f>
        <v>5282.68</v>
      </c>
      <c r="T343" s="32" t="n">
        <f>387740</f>
        <v>387740.0</v>
      </c>
      <c r="U343" s="32" t="n">
        <f>379102</f>
        <v>379102.0</v>
      </c>
      <c r="V343" s="32" t="n">
        <f>2044791918</f>
        <v>2.044791918E9</v>
      </c>
      <c r="W343" s="32" t="n">
        <f>1999469659</f>
        <v>1.999469659E9</v>
      </c>
      <c r="X343" s="36" t="n">
        <f>19</f>
        <v>19.0</v>
      </c>
    </row>
    <row r="344">
      <c r="A344" s="27" t="s">
        <v>42</v>
      </c>
      <c r="B344" s="27" t="s">
        <v>1076</v>
      </c>
      <c r="C344" s="27" t="s">
        <v>1077</v>
      </c>
      <c r="D344" s="27" t="s">
        <v>1078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1027</f>
        <v>1027.0</v>
      </c>
      <c r="L344" s="34" t="s">
        <v>48</v>
      </c>
      <c r="M344" s="33" t="n">
        <f>1070</f>
        <v>1070.0</v>
      </c>
      <c r="N344" s="34" t="s">
        <v>70</v>
      </c>
      <c r="O344" s="33" t="n">
        <f>1005</f>
        <v>1005.0</v>
      </c>
      <c r="P344" s="34" t="s">
        <v>69</v>
      </c>
      <c r="Q344" s="33" t="n">
        <f>1044</f>
        <v>1044.0</v>
      </c>
      <c r="R344" s="34" t="s">
        <v>51</v>
      </c>
      <c r="S344" s="35" t="n">
        <f>1030.79</f>
        <v>1030.79</v>
      </c>
      <c r="T344" s="32" t="n">
        <f>364001</f>
        <v>364001.0</v>
      </c>
      <c r="U344" s="32" t="str">
        <f>"－"</f>
        <v>－</v>
      </c>
      <c r="V344" s="32" t="n">
        <f>371060236</f>
        <v>3.71060236E8</v>
      </c>
      <c r="W344" s="32" t="str">
        <f>"－"</f>
        <v>－</v>
      </c>
      <c r="X344" s="36" t="n">
        <f>19</f>
        <v>19.0</v>
      </c>
    </row>
    <row r="345">
      <c r="A345" s="27" t="s">
        <v>42</v>
      </c>
      <c r="B345" s="27" t="s">
        <v>1079</v>
      </c>
      <c r="C345" s="27" t="s">
        <v>1080</v>
      </c>
      <c r="D345" s="27" t="s">
        <v>1081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1948</f>
        <v>1948.0</v>
      </c>
      <c r="L345" s="34" t="s">
        <v>48</v>
      </c>
      <c r="M345" s="33" t="n">
        <f>1976</f>
        <v>1976.0</v>
      </c>
      <c r="N345" s="34" t="s">
        <v>70</v>
      </c>
      <c r="O345" s="33" t="n">
        <f>1886</f>
        <v>1886.0</v>
      </c>
      <c r="P345" s="34" t="s">
        <v>159</v>
      </c>
      <c r="Q345" s="33" t="n">
        <f>1933</f>
        <v>1933.0</v>
      </c>
      <c r="R345" s="34" t="s">
        <v>51</v>
      </c>
      <c r="S345" s="35" t="n">
        <f>1929.95</f>
        <v>1929.95</v>
      </c>
      <c r="T345" s="32" t="n">
        <f>3557889</f>
        <v>3557889.0</v>
      </c>
      <c r="U345" s="32" t="n">
        <f>370301</f>
        <v>370301.0</v>
      </c>
      <c r="V345" s="32" t="n">
        <f>6868418175</f>
        <v>6.868418175E9</v>
      </c>
      <c r="W345" s="32" t="n">
        <f>708539713</f>
        <v>7.08539713E8</v>
      </c>
      <c r="X345" s="36" t="n">
        <f>19</f>
        <v>19.0</v>
      </c>
    </row>
    <row r="346">
      <c r="A346" s="27" t="s">
        <v>42</v>
      </c>
      <c r="B346" s="27" t="s">
        <v>1082</v>
      </c>
      <c r="C346" s="27" t="s">
        <v>1083</v>
      </c>
      <c r="D346" s="27" t="s">
        <v>1084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1302</f>
        <v>1302.0</v>
      </c>
      <c r="L346" s="34" t="s">
        <v>48</v>
      </c>
      <c r="M346" s="33" t="n">
        <f>1328</f>
        <v>1328.0</v>
      </c>
      <c r="N346" s="34" t="s">
        <v>70</v>
      </c>
      <c r="O346" s="33" t="n">
        <f>1260</f>
        <v>1260.0</v>
      </c>
      <c r="P346" s="34" t="s">
        <v>159</v>
      </c>
      <c r="Q346" s="33" t="n">
        <f>1305</f>
        <v>1305.0</v>
      </c>
      <c r="R346" s="34" t="s">
        <v>51</v>
      </c>
      <c r="S346" s="35" t="n">
        <f>1295.58</f>
        <v>1295.58</v>
      </c>
      <c r="T346" s="32" t="n">
        <f>3705455</f>
        <v>3705455.0</v>
      </c>
      <c r="U346" s="32" t="n">
        <f>942001</f>
        <v>942001.0</v>
      </c>
      <c r="V346" s="32" t="n">
        <f>4791134125</f>
        <v>4.791134125E9</v>
      </c>
      <c r="W346" s="32" t="n">
        <f>1227937991</f>
        <v>1.227937991E9</v>
      </c>
      <c r="X346" s="36" t="n">
        <f>19</f>
        <v>19.0</v>
      </c>
    </row>
    <row r="347">
      <c r="A347" s="27" t="s">
        <v>42</v>
      </c>
      <c r="B347" s="27" t="s">
        <v>1085</v>
      </c>
      <c r="C347" s="27" t="s">
        <v>1086</v>
      </c>
      <c r="D347" s="27" t="s">
        <v>1087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17275</f>
        <v>17275.0</v>
      </c>
      <c r="L347" s="34" t="s">
        <v>48</v>
      </c>
      <c r="M347" s="33" t="n">
        <f>18650</f>
        <v>18650.0</v>
      </c>
      <c r="N347" s="34" t="s">
        <v>159</v>
      </c>
      <c r="O347" s="33" t="n">
        <f>16915</f>
        <v>16915.0</v>
      </c>
      <c r="P347" s="34" t="s">
        <v>70</v>
      </c>
      <c r="Q347" s="33" t="n">
        <f>17100</f>
        <v>17100.0</v>
      </c>
      <c r="R347" s="34" t="s">
        <v>51</v>
      </c>
      <c r="S347" s="35" t="n">
        <f>17359.21</f>
        <v>17359.21</v>
      </c>
      <c r="T347" s="32" t="n">
        <f>91151</f>
        <v>91151.0</v>
      </c>
      <c r="U347" s="32" t="n">
        <f>39</f>
        <v>39.0</v>
      </c>
      <c r="V347" s="32" t="n">
        <f>1588691570</f>
        <v>1.58869157E9</v>
      </c>
      <c r="W347" s="32" t="n">
        <f>685945</f>
        <v>685945.0</v>
      </c>
      <c r="X347" s="36" t="n">
        <f>19</f>
        <v>19.0</v>
      </c>
    </row>
    <row r="348">
      <c r="A348" s="27" t="s">
        <v>42</v>
      </c>
      <c r="B348" s="27" t="s">
        <v>1088</v>
      </c>
      <c r="C348" s="27" t="s">
        <v>1089</v>
      </c>
      <c r="D348" s="27" t="s">
        <v>1090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10.0</v>
      </c>
      <c r="K348" s="33" t="n">
        <f>3998</f>
        <v>3998.0</v>
      </c>
      <c r="L348" s="34" t="s">
        <v>48</v>
      </c>
      <c r="M348" s="33" t="n">
        <f>4048</f>
        <v>4048.0</v>
      </c>
      <c r="N348" s="34" t="s">
        <v>51</v>
      </c>
      <c r="O348" s="33" t="n">
        <f>3966</f>
        <v>3966.0</v>
      </c>
      <c r="P348" s="34" t="s">
        <v>634</v>
      </c>
      <c r="Q348" s="33" t="n">
        <f>4048</f>
        <v>4048.0</v>
      </c>
      <c r="R348" s="34" t="s">
        <v>51</v>
      </c>
      <c r="S348" s="35" t="n">
        <f>3990.2</f>
        <v>3990.2</v>
      </c>
      <c r="T348" s="32" t="n">
        <f>339490</f>
        <v>339490.0</v>
      </c>
      <c r="U348" s="32" t="n">
        <f>326010</f>
        <v>326010.0</v>
      </c>
      <c r="V348" s="32" t="n">
        <f>1351584320</f>
        <v>1.35158432E9</v>
      </c>
      <c r="W348" s="32" t="n">
        <f>1297630370</f>
        <v>1.29763037E9</v>
      </c>
      <c r="X348" s="36" t="n">
        <f>10</f>
        <v>10.0</v>
      </c>
    </row>
    <row r="349">
      <c r="A349" s="27" t="s">
        <v>42</v>
      </c>
      <c r="B349" s="27" t="s">
        <v>1091</v>
      </c>
      <c r="C349" s="27" t="s">
        <v>1092</v>
      </c>
      <c r="D349" s="27" t="s">
        <v>1093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10.0</v>
      </c>
      <c r="K349" s="33" t="n">
        <f>5104</f>
        <v>5104.0</v>
      </c>
      <c r="L349" s="34" t="s">
        <v>48</v>
      </c>
      <c r="M349" s="33" t="n">
        <f>5194</f>
        <v>5194.0</v>
      </c>
      <c r="N349" s="34" t="s">
        <v>181</v>
      </c>
      <c r="O349" s="33" t="n">
        <f>4975</f>
        <v>4975.0</v>
      </c>
      <c r="P349" s="34" t="s">
        <v>50</v>
      </c>
      <c r="Q349" s="33" t="n">
        <f>5016</f>
        <v>5016.0</v>
      </c>
      <c r="R349" s="34" t="s">
        <v>51</v>
      </c>
      <c r="S349" s="35" t="n">
        <f>5047.95</f>
        <v>5047.95</v>
      </c>
      <c r="T349" s="32" t="n">
        <f>59370</f>
        <v>59370.0</v>
      </c>
      <c r="U349" s="32" t="n">
        <f>3970</f>
        <v>3970.0</v>
      </c>
      <c r="V349" s="32" t="n">
        <f>297320142</f>
        <v>2.97320142E8</v>
      </c>
      <c r="W349" s="32" t="n">
        <f>19965862</f>
        <v>1.9965862E7</v>
      </c>
      <c r="X349" s="36" t="n">
        <f>19</f>
        <v>19.0</v>
      </c>
    </row>
    <row r="350">
      <c r="A350" s="27" t="s">
        <v>42</v>
      </c>
      <c r="B350" s="27" t="s">
        <v>1094</v>
      </c>
      <c r="C350" s="27" t="s">
        <v>1095</v>
      </c>
      <c r="D350" s="27" t="s">
        <v>1096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2724.5</f>
        <v>2724.5</v>
      </c>
      <c r="L350" s="34" t="s">
        <v>48</v>
      </c>
      <c r="M350" s="33" t="n">
        <f>2780</f>
        <v>2780.0</v>
      </c>
      <c r="N350" s="34" t="s">
        <v>103</v>
      </c>
      <c r="O350" s="33" t="n">
        <f>2638.5</f>
        <v>2638.5</v>
      </c>
      <c r="P350" s="34" t="s">
        <v>159</v>
      </c>
      <c r="Q350" s="33" t="n">
        <f>2741.5</f>
        <v>2741.5</v>
      </c>
      <c r="R350" s="34" t="s">
        <v>51</v>
      </c>
      <c r="S350" s="35" t="n">
        <f>2713.18</f>
        <v>2713.18</v>
      </c>
      <c r="T350" s="32" t="n">
        <f>2079810</f>
        <v>2079810.0</v>
      </c>
      <c r="U350" s="32" t="n">
        <f>1067570</f>
        <v>1067570.0</v>
      </c>
      <c r="V350" s="32" t="n">
        <f>5648269385</f>
        <v>5.648269385E9</v>
      </c>
      <c r="W350" s="32" t="n">
        <f>2896051115</f>
        <v>2.896051115E9</v>
      </c>
      <c r="X350" s="36" t="n">
        <f>19</f>
        <v>19.0</v>
      </c>
    </row>
    <row r="351">
      <c r="A351" s="27" t="s">
        <v>42</v>
      </c>
      <c r="B351" s="27" t="s">
        <v>1097</v>
      </c>
      <c r="C351" s="27" t="s">
        <v>1098</v>
      </c>
      <c r="D351" s="27" t="s">
        <v>1099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2198</f>
        <v>2198.0</v>
      </c>
      <c r="L351" s="34" t="s">
        <v>48</v>
      </c>
      <c r="M351" s="33" t="n">
        <f>2296.5</f>
        <v>2296.5</v>
      </c>
      <c r="N351" s="34" t="s">
        <v>51</v>
      </c>
      <c r="O351" s="33" t="n">
        <f>2163.5</f>
        <v>2163.5</v>
      </c>
      <c r="P351" s="34" t="s">
        <v>69</v>
      </c>
      <c r="Q351" s="33" t="n">
        <f>2294.5</f>
        <v>2294.5</v>
      </c>
      <c r="R351" s="34" t="s">
        <v>51</v>
      </c>
      <c r="S351" s="35" t="n">
        <f>2228.13</f>
        <v>2228.13</v>
      </c>
      <c r="T351" s="32" t="n">
        <f>682690</f>
        <v>682690.0</v>
      </c>
      <c r="U351" s="32" t="n">
        <f>222850</f>
        <v>222850.0</v>
      </c>
      <c r="V351" s="32" t="n">
        <f>1529050610</f>
        <v>1.52905061E9</v>
      </c>
      <c r="W351" s="32" t="n">
        <f>501973305</f>
        <v>5.01973305E8</v>
      </c>
      <c r="X351" s="36" t="n">
        <f>19</f>
        <v>19.0</v>
      </c>
    </row>
    <row r="352">
      <c r="A352" s="27" t="s">
        <v>42</v>
      </c>
      <c r="B352" s="27" t="s">
        <v>1100</v>
      </c>
      <c r="C352" s="27" t="s">
        <v>1101</v>
      </c>
      <c r="D352" s="27" t="s">
        <v>1102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1931</f>
        <v>1931.0</v>
      </c>
      <c r="L352" s="34" t="s">
        <v>48</v>
      </c>
      <c r="M352" s="33" t="n">
        <f>1956</f>
        <v>1956.0</v>
      </c>
      <c r="N352" s="34" t="s">
        <v>181</v>
      </c>
      <c r="O352" s="33" t="n">
        <f>1826</f>
        <v>1826.0</v>
      </c>
      <c r="P352" s="34" t="s">
        <v>50</v>
      </c>
      <c r="Q352" s="33" t="n">
        <f>1917</f>
        <v>1917.0</v>
      </c>
      <c r="R352" s="34" t="s">
        <v>51</v>
      </c>
      <c r="S352" s="35" t="n">
        <f>1882.79</f>
        <v>1882.79</v>
      </c>
      <c r="T352" s="32" t="n">
        <f>23227</f>
        <v>23227.0</v>
      </c>
      <c r="U352" s="32" t="str">
        <f>"－"</f>
        <v>－</v>
      </c>
      <c r="V352" s="32" t="n">
        <f>44376669</f>
        <v>4.4376669E7</v>
      </c>
      <c r="W352" s="32" t="str">
        <f>"－"</f>
        <v>－</v>
      </c>
      <c r="X352" s="36" t="n">
        <f>19</f>
        <v>19.0</v>
      </c>
    </row>
    <row r="353">
      <c r="A353" s="27" t="s">
        <v>42</v>
      </c>
      <c r="B353" s="27" t="s">
        <v>1103</v>
      </c>
      <c r="C353" s="27" t="s">
        <v>1104</v>
      </c>
      <c r="D353" s="27" t="s">
        <v>1105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2117</f>
        <v>2117.0</v>
      </c>
      <c r="L353" s="34" t="s">
        <v>48</v>
      </c>
      <c r="M353" s="33" t="n">
        <f>2137</f>
        <v>2137.0</v>
      </c>
      <c r="N353" s="34" t="s">
        <v>61</v>
      </c>
      <c r="O353" s="33" t="n">
        <f>2045</f>
        <v>2045.0</v>
      </c>
      <c r="P353" s="34" t="s">
        <v>50</v>
      </c>
      <c r="Q353" s="33" t="n">
        <f>2129</f>
        <v>2129.0</v>
      </c>
      <c r="R353" s="34" t="s">
        <v>71</v>
      </c>
      <c r="S353" s="35" t="n">
        <f>2098.61</f>
        <v>2098.61</v>
      </c>
      <c r="T353" s="32" t="n">
        <f>143</f>
        <v>143.0</v>
      </c>
      <c r="U353" s="32" t="n">
        <f>2</f>
        <v>2.0</v>
      </c>
      <c r="V353" s="32" t="n">
        <f>301369</f>
        <v>301369.0</v>
      </c>
      <c r="W353" s="32" t="n">
        <f>4236</f>
        <v>4236.0</v>
      </c>
      <c r="X353" s="36" t="n">
        <f>18</f>
        <v>18.0</v>
      </c>
    </row>
    <row r="354">
      <c r="A354" s="27" t="s">
        <v>42</v>
      </c>
      <c r="B354" s="27" t="s">
        <v>1106</v>
      </c>
      <c r="C354" s="27" t="s">
        <v>1107</v>
      </c>
      <c r="D354" s="27" t="s">
        <v>1108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4450</f>
        <v>4450.0</v>
      </c>
      <c r="L354" s="34" t="s">
        <v>48</v>
      </c>
      <c r="M354" s="33" t="n">
        <f>4480</f>
        <v>4480.0</v>
      </c>
      <c r="N354" s="34" t="s">
        <v>61</v>
      </c>
      <c r="O354" s="33" t="n">
        <f>4220</f>
        <v>4220.0</v>
      </c>
      <c r="P354" s="34" t="s">
        <v>69</v>
      </c>
      <c r="Q354" s="33" t="n">
        <f>4460</f>
        <v>4460.0</v>
      </c>
      <c r="R354" s="34" t="s">
        <v>51</v>
      </c>
      <c r="S354" s="35" t="n">
        <f>4349.47</f>
        <v>4349.47</v>
      </c>
      <c r="T354" s="32" t="n">
        <f>18169</f>
        <v>18169.0</v>
      </c>
      <c r="U354" s="32" t="n">
        <f>2</f>
        <v>2.0</v>
      </c>
      <c r="V354" s="32" t="n">
        <f>77444910</f>
        <v>7.744491E7</v>
      </c>
      <c r="W354" s="32" t="n">
        <f>8845</f>
        <v>8845.0</v>
      </c>
      <c r="X354" s="36" t="n">
        <f>19</f>
        <v>19.0</v>
      </c>
    </row>
    <row r="355">
      <c r="A355" s="27" t="s">
        <v>42</v>
      </c>
      <c r="B355" s="27" t="s">
        <v>1109</v>
      </c>
      <c r="C355" s="27" t="s">
        <v>1110</v>
      </c>
      <c r="D355" s="27" t="s">
        <v>1111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2828</f>
        <v>2828.0</v>
      </c>
      <c r="L355" s="34" t="s">
        <v>48</v>
      </c>
      <c r="M355" s="33" t="n">
        <f>2828</f>
        <v>2828.0</v>
      </c>
      <c r="N355" s="34" t="s">
        <v>48</v>
      </c>
      <c r="O355" s="33" t="n">
        <f>1926</f>
        <v>1926.0</v>
      </c>
      <c r="P355" s="34" t="s">
        <v>50</v>
      </c>
      <c r="Q355" s="33" t="n">
        <f>2033.5</f>
        <v>2033.5</v>
      </c>
      <c r="R355" s="34" t="s">
        <v>51</v>
      </c>
      <c r="S355" s="35" t="n">
        <f>2046.29</f>
        <v>2046.29</v>
      </c>
      <c r="T355" s="32" t="n">
        <f>105970</f>
        <v>105970.0</v>
      </c>
      <c r="U355" s="32" t="n">
        <f>20</f>
        <v>20.0</v>
      </c>
      <c r="V355" s="32" t="n">
        <f>217986585</f>
        <v>2.17986585E8</v>
      </c>
      <c r="W355" s="32" t="n">
        <f>40985</f>
        <v>40985.0</v>
      </c>
      <c r="X355" s="36" t="n">
        <f>19</f>
        <v>19.0</v>
      </c>
    </row>
    <row r="356">
      <c r="A356" s="27" t="s">
        <v>42</v>
      </c>
      <c r="B356" s="27" t="s">
        <v>1112</v>
      </c>
      <c r="C356" s="27" t="s">
        <v>1113</v>
      </c>
      <c r="D356" s="27" t="s">
        <v>1114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281.9</f>
        <v>281.9</v>
      </c>
      <c r="L356" s="34" t="s">
        <v>48</v>
      </c>
      <c r="M356" s="33" t="n">
        <f>281.9</f>
        <v>281.9</v>
      </c>
      <c r="N356" s="34" t="s">
        <v>48</v>
      </c>
      <c r="O356" s="33" t="n">
        <f>269.2</f>
        <v>269.2</v>
      </c>
      <c r="P356" s="34" t="s">
        <v>50</v>
      </c>
      <c r="Q356" s="33" t="n">
        <f>281.1</f>
        <v>281.1</v>
      </c>
      <c r="R356" s="34" t="s">
        <v>51</v>
      </c>
      <c r="S356" s="35" t="n">
        <f>275.99</f>
        <v>275.99</v>
      </c>
      <c r="T356" s="32" t="n">
        <f>3080</f>
        <v>3080.0</v>
      </c>
      <c r="U356" s="32" t="n">
        <f>20</f>
        <v>20.0</v>
      </c>
      <c r="V356" s="32" t="n">
        <f>854165</f>
        <v>854165.0</v>
      </c>
      <c r="W356" s="32" t="n">
        <f>5520</f>
        <v>5520.0</v>
      </c>
      <c r="X356" s="36" t="n">
        <f>13</f>
        <v>13.0</v>
      </c>
    </row>
    <row r="357">
      <c r="A357" s="27" t="s">
        <v>42</v>
      </c>
      <c r="B357" s="27" t="s">
        <v>1115</v>
      </c>
      <c r="C357" s="27" t="s">
        <v>1116</v>
      </c>
      <c r="D357" s="27" t="s">
        <v>1117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165</f>
        <v>165.0</v>
      </c>
      <c r="L357" s="34" t="s">
        <v>48</v>
      </c>
      <c r="M357" s="33" t="n">
        <f>170</f>
        <v>170.0</v>
      </c>
      <c r="N357" s="34" t="s">
        <v>61</v>
      </c>
      <c r="O357" s="33" t="n">
        <f>160.7</f>
        <v>160.7</v>
      </c>
      <c r="P357" s="34" t="s">
        <v>159</v>
      </c>
      <c r="Q357" s="33" t="n">
        <f>169.2</f>
        <v>169.2</v>
      </c>
      <c r="R357" s="34" t="s">
        <v>51</v>
      </c>
      <c r="S357" s="35" t="n">
        <f>164.04</f>
        <v>164.04</v>
      </c>
      <c r="T357" s="32" t="n">
        <f>296100</f>
        <v>296100.0</v>
      </c>
      <c r="U357" s="32" t="str">
        <f>"－"</f>
        <v>－</v>
      </c>
      <c r="V357" s="32" t="n">
        <f>48853786</f>
        <v>4.8853786E7</v>
      </c>
      <c r="W357" s="32" t="str">
        <f>"－"</f>
        <v>－</v>
      </c>
      <c r="X357" s="36" t="n">
        <f>19</f>
        <v>19.0</v>
      </c>
    </row>
    <row r="358">
      <c r="A358" s="27" t="s">
        <v>42</v>
      </c>
      <c r="B358" s="27" t="s">
        <v>1118</v>
      </c>
      <c r="C358" s="27" t="s">
        <v>1119</v>
      </c>
      <c r="D358" s="27" t="s">
        <v>1120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656.9</f>
        <v>656.9</v>
      </c>
      <c r="L358" s="34" t="s">
        <v>49</v>
      </c>
      <c r="M358" s="33" t="n">
        <f>665.9</f>
        <v>665.9</v>
      </c>
      <c r="N358" s="34" t="s">
        <v>181</v>
      </c>
      <c r="O358" s="33" t="n">
        <f>637.5</f>
        <v>637.5</v>
      </c>
      <c r="P358" s="34" t="s">
        <v>159</v>
      </c>
      <c r="Q358" s="33" t="n">
        <f>649.8</f>
        <v>649.8</v>
      </c>
      <c r="R358" s="34" t="s">
        <v>51</v>
      </c>
      <c r="S358" s="35" t="n">
        <f>649.14</f>
        <v>649.14</v>
      </c>
      <c r="T358" s="32" t="n">
        <f>1640</f>
        <v>1640.0</v>
      </c>
      <c r="U358" s="32" t="str">
        <f>"－"</f>
        <v>－</v>
      </c>
      <c r="V358" s="32" t="n">
        <f>1054592</f>
        <v>1054592.0</v>
      </c>
      <c r="W358" s="32" t="str">
        <f>"－"</f>
        <v>－</v>
      </c>
      <c r="X358" s="36" t="n">
        <f>14</f>
        <v>14.0</v>
      </c>
    </row>
    <row r="359">
      <c r="A359" s="27" t="s">
        <v>42</v>
      </c>
      <c r="B359" s="27" t="s">
        <v>1121</v>
      </c>
      <c r="C359" s="27" t="s">
        <v>1122</v>
      </c>
      <c r="D359" s="27" t="s">
        <v>1123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1591</f>
        <v>1591.0</v>
      </c>
      <c r="L359" s="34" t="s">
        <v>48</v>
      </c>
      <c r="M359" s="33" t="n">
        <f>1691</f>
        <v>1691.0</v>
      </c>
      <c r="N359" s="34" t="s">
        <v>103</v>
      </c>
      <c r="O359" s="33" t="n">
        <f>1552</f>
        <v>1552.0</v>
      </c>
      <c r="P359" s="34" t="s">
        <v>69</v>
      </c>
      <c r="Q359" s="33" t="n">
        <f>1651</f>
        <v>1651.0</v>
      </c>
      <c r="R359" s="34" t="s">
        <v>51</v>
      </c>
      <c r="S359" s="35" t="n">
        <f>1609.21</f>
        <v>1609.21</v>
      </c>
      <c r="T359" s="32" t="n">
        <f>729029</f>
        <v>729029.0</v>
      </c>
      <c r="U359" s="32" t="n">
        <f>4546</f>
        <v>4546.0</v>
      </c>
      <c r="V359" s="32" t="n">
        <f>1186956173</f>
        <v>1.186956173E9</v>
      </c>
      <c r="W359" s="32" t="n">
        <f>7302387</f>
        <v>7302387.0</v>
      </c>
      <c r="X359" s="36" t="n">
        <f>19</f>
        <v>19.0</v>
      </c>
    </row>
    <row r="360">
      <c r="A360" s="27" t="s">
        <v>42</v>
      </c>
      <c r="B360" s="27" t="s">
        <v>1124</v>
      </c>
      <c r="C360" s="27" t="s">
        <v>1125</v>
      </c>
      <c r="D360" s="27" t="s">
        <v>1126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868</f>
        <v>868.0</v>
      </c>
      <c r="L360" s="34" t="s">
        <v>48</v>
      </c>
      <c r="M360" s="33" t="n">
        <f>898</f>
        <v>898.0</v>
      </c>
      <c r="N360" s="34" t="s">
        <v>61</v>
      </c>
      <c r="O360" s="33" t="n">
        <f>848</f>
        <v>848.0</v>
      </c>
      <c r="P360" s="34" t="s">
        <v>159</v>
      </c>
      <c r="Q360" s="33" t="n">
        <f>892</f>
        <v>892.0</v>
      </c>
      <c r="R360" s="34" t="s">
        <v>51</v>
      </c>
      <c r="S360" s="35" t="n">
        <f>864.21</f>
        <v>864.21</v>
      </c>
      <c r="T360" s="32" t="n">
        <f>20908</f>
        <v>20908.0</v>
      </c>
      <c r="U360" s="32" t="n">
        <f>1</f>
        <v>1.0</v>
      </c>
      <c r="V360" s="32" t="n">
        <f>18423644</f>
        <v>1.8423644E7</v>
      </c>
      <c r="W360" s="32" t="n">
        <f>868</f>
        <v>868.0</v>
      </c>
      <c r="X360" s="36" t="n">
        <f>19</f>
        <v>19.0</v>
      </c>
    </row>
    <row r="361">
      <c r="A361" s="27" t="s">
        <v>42</v>
      </c>
      <c r="B361" s="27" t="s">
        <v>1127</v>
      </c>
      <c r="C361" s="27" t="s">
        <v>1128</v>
      </c>
      <c r="D361" s="27" t="s">
        <v>1129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683.8</f>
        <v>683.8</v>
      </c>
      <c r="L361" s="34" t="s">
        <v>48</v>
      </c>
      <c r="M361" s="33" t="n">
        <f>684</f>
        <v>684.0</v>
      </c>
      <c r="N361" s="34" t="s">
        <v>49</v>
      </c>
      <c r="O361" s="33" t="n">
        <f>671.9</f>
        <v>671.9</v>
      </c>
      <c r="P361" s="34" t="s">
        <v>159</v>
      </c>
      <c r="Q361" s="33" t="n">
        <f>678.6</f>
        <v>678.6</v>
      </c>
      <c r="R361" s="34" t="s">
        <v>51</v>
      </c>
      <c r="S361" s="35" t="n">
        <f>678.14</f>
        <v>678.14</v>
      </c>
      <c r="T361" s="32" t="n">
        <f>658470</f>
        <v>658470.0</v>
      </c>
      <c r="U361" s="32" t="n">
        <f>295030</f>
        <v>295030.0</v>
      </c>
      <c r="V361" s="32" t="n">
        <f>445560867</f>
        <v>4.45560867E8</v>
      </c>
      <c r="W361" s="32" t="n">
        <f>199579261</f>
        <v>1.99579261E8</v>
      </c>
      <c r="X361" s="36" t="n">
        <f>19</f>
        <v>19.0</v>
      </c>
    </row>
    <row r="362">
      <c r="A362" s="27" t="s">
        <v>42</v>
      </c>
      <c r="B362" s="27" t="s">
        <v>1130</v>
      </c>
      <c r="C362" s="27" t="s">
        <v>1131</v>
      </c>
      <c r="D362" s="27" t="s">
        <v>1132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10.0</v>
      </c>
      <c r="K362" s="33" t="n">
        <f>690</f>
        <v>690.0</v>
      </c>
      <c r="L362" s="34" t="s">
        <v>48</v>
      </c>
      <c r="M362" s="33" t="n">
        <f>690</f>
        <v>690.0</v>
      </c>
      <c r="N362" s="34" t="s">
        <v>48</v>
      </c>
      <c r="O362" s="33" t="n">
        <f>665.5</f>
        <v>665.5</v>
      </c>
      <c r="P362" s="34" t="s">
        <v>159</v>
      </c>
      <c r="Q362" s="33" t="n">
        <f>672</f>
        <v>672.0</v>
      </c>
      <c r="R362" s="34" t="s">
        <v>51</v>
      </c>
      <c r="S362" s="35" t="n">
        <f>671.84</f>
        <v>671.84</v>
      </c>
      <c r="T362" s="32" t="n">
        <f>2324760</f>
        <v>2324760.0</v>
      </c>
      <c r="U362" s="32" t="n">
        <f>2240040</f>
        <v>2240040.0</v>
      </c>
      <c r="V362" s="32" t="n">
        <f>1559501216</f>
        <v>1.559501216E9</v>
      </c>
      <c r="W362" s="32" t="n">
        <f>1502688808</f>
        <v>1.502688808E9</v>
      </c>
      <c r="X362" s="36" t="n">
        <f>18</f>
        <v>18.0</v>
      </c>
    </row>
    <row r="363">
      <c r="A363" s="27" t="s">
        <v>42</v>
      </c>
      <c r="B363" s="27" t="s">
        <v>1133</v>
      </c>
      <c r="C363" s="27" t="s">
        <v>1134</v>
      </c>
      <c r="D363" s="27" t="s">
        <v>1135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1215</f>
        <v>1215.0</v>
      </c>
      <c r="L363" s="34" t="s">
        <v>48</v>
      </c>
      <c r="M363" s="33" t="n">
        <f>1230</f>
        <v>1230.0</v>
      </c>
      <c r="N363" s="34" t="s">
        <v>70</v>
      </c>
      <c r="O363" s="33" t="n">
        <f>1185</f>
        <v>1185.0</v>
      </c>
      <c r="P363" s="34" t="s">
        <v>103</v>
      </c>
      <c r="Q363" s="33" t="n">
        <f>1223</f>
        <v>1223.0</v>
      </c>
      <c r="R363" s="34" t="s">
        <v>51</v>
      </c>
      <c r="S363" s="35" t="n">
        <f>1211.74</f>
        <v>1211.74</v>
      </c>
      <c r="T363" s="32" t="n">
        <f>11838</f>
        <v>11838.0</v>
      </c>
      <c r="U363" s="32" t="n">
        <f>2</f>
        <v>2.0</v>
      </c>
      <c r="V363" s="32" t="n">
        <f>14308500</f>
        <v>1.43085E7</v>
      </c>
      <c r="W363" s="32" t="n">
        <f>2424</f>
        <v>2424.0</v>
      </c>
      <c r="X363" s="36" t="n">
        <f>19</f>
        <v>19.0</v>
      </c>
    </row>
    <row r="364">
      <c r="A364" s="27" t="s">
        <v>42</v>
      </c>
      <c r="B364" s="27" t="s">
        <v>1136</v>
      </c>
      <c r="C364" s="27" t="s">
        <v>1137</v>
      </c>
      <c r="D364" s="27" t="s">
        <v>1138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10.0</v>
      </c>
      <c r="K364" s="33" t="n">
        <f>2530</f>
        <v>2530.0</v>
      </c>
      <c r="L364" s="34" t="s">
        <v>48</v>
      </c>
      <c r="M364" s="33" t="n">
        <f>2726</f>
        <v>2726.0</v>
      </c>
      <c r="N364" s="34" t="s">
        <v>51</v>
      </c>
      <c r="O364" s="33" t="n">
        <f>2520</f>
        <v>2520.0</v>
      </c>
      <c r="P364" s="34" t="s">
        <v>48</v>
      </c>
      <c r="Q364" s="33" t="n">
        <f>2724.5</f>
        <v>2724.5</v>
      </c>
      <c r="R364" s="34" t="s">
        <v>51</v>
      </c>
      <c r="S364" s="35" t="n">
        <f>2636.21</f>
        <v>2636.21</v>
      </c>
      <c r="T364" s="32" t="n">
        <f>103690</f>
        <v>103690.0</v>
      </c>
      <c r="U364" s="32" t="n">
        <f>10</f>
        <v>10.0</v>
      </c>
      <c r="V364" s="32" t="n">
        <f>270659780</f>
        <v>2.7065978E8</v>
      </c>
      <c r="W364" s="32" t="n">
        <f>26570</f>
        <v>26570.0</v>
      </c>
      <c r="X364" s="36" t="n">
        <f>19</f>
        <v>19.0</v>
      </c>
    </row>
    <row r="365">
      <c r="A365" s="27" t="s">
        <v>42</v>
      </c>
      <c r="B365" s="27" t="s">
        <v>1139</v>
      </c>
      <c r="C365" s="27" t="s">
        <v>1140</v>
      </c>
      <c r="D365" s="27" t="s">
        <v>1141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10.0</v>
      </c>
      <c r="K365" s="33" t="n">
        <f>2738</f>
        <v>2738.0</v>
      </c>
      <c r="L365" s="34" t="s">
        <v>48</v>
      </c>
      <c r="M365" s="33" t="n">
        <f>2934.5</f>
        <v>2934.5</v>
      </c>
      <c r="N365" s="34" t="s">
        <v>51</v>
      </c>
      <c r="O365" s="33" t="n">
        <f>2701.5</f>
        <v>2701.5</v>
      </c>
      <c r="P365" s="34" t="s">
        <v>48</v>
      </c>
      <c r="Q365" s="33" t="n">
        <f>2934.5</f>
        <v>2934.5</v>
      </c>
      <c r="R365" s="34" t="s">
        <v>51</v>
      </c>
      <c r="S365" s="35" t="n">
        <f>2818.82</f>
        <v>2818.82</v>
      </c>
      <c r="T365" s="32" t="n">
        <f>296620</f>
        <v>296620.0</v>
      </c>
      <c r="U365" s="32" t="n">
        <f>180040</f>
        <v>180040.0</v>
      </c>
      <c r="V365" s="32" t="n">
        <f>826467730</f>
        <v>8.2646773E8</v>
      </c>
      <c r="W365" s="32" t="n">
        <f>492250850</f>
        <v>4.9225085E8</v>
      </c>
      <c r="X365" s="36" t="n">
        <f>19</f>
        <v>19.0</v>
      </c>
    </row>
    <row r="366">
      <c r="A366" s="27" t="s">
        <v>42</v>
      </c>
      <c r="B366" s="27" t="s">
        <v>1142</v>
      </c>
      <c r="C366" s="27" t="s">
        <v>1143</v>
      </c>
      <c r="D366" s="27" t="s">
        <v>1144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10.0</v>
      </c>
      <c r="K366" s="33" t="n">
        <f>5487</f>
        <v>5487.0</v>
      </c>
      <c r="L366" s="34" t="s">
        <v>48</v>
      </c>
      <c r="M366" s="33" t="n">
        <f>5487</f>
        <v>5487.0</v>
      </c>
      <c r="N366" s="34" t="s">
        <v>48</v>
      </c>
      <c r="O366" s="33" t="n">
        <f>5179</f>
        <v>5179.0</v>
      </c>
      <c r="P366" s="34" t="s">
        <v>50</v>
      </c>
      <c r="Q366" s="33" t="n">
        <f>5240</f>
        <v>5240.0</v>
      </c>
      <c r="R366" s="34" t="s">
        <v>51</v>
      </c>
      <c r="S366" s="35" t="n">
        <f>5261.67</f>
        <v>5261.67</v>
      </c>
      <c r="T366" s="32" t="n">
        <f>6970</f>
        <v>6970.0</v>
      </c>
      <c r="U366" s="32" t="n">
        <f>6000</f>
        <v>6000.0</v>
      </c>
      <c r="V366" s="32" t="n">
        <f>36150830</f>
        <v>3.615083E7</v>
      </c>
      <c r="W366" s="32" t="n">
        <f>31060800</f>
        <v>3.10608E7</v>
      </c>
      <c r="X366" s="36" t="n">
        <f>9</f>
        <v>9.0</v>
      </c>
    </row>
    <row r="367">
      <c r="A367" s="27" t="s">
        <v>42</v>
      </c>
      <c r="B367" s="27" t="s">
        <v>1145</v>
      </c>
      <c r="C367" s="27" t="s">
        <v>1146</v>
      </c>
      <c r="D367" s="27" t="s">
        <v>1147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10.0</v>
      </c>
      <c r="K367" s="33" t="n">
        <f>4394</f>
        <v>4394.0</v>
      </c>
      <c r="L367" s="34" t="s">
        <v>48</v>
      </c>
      <c r="M367" s="33" t="n">
        <f>4394</f>
        <v>4394.0</v>
      </c>
      <c r="N367" s="34" t="s">
        <v>48</v>
      </c>
      <c r="O367" s="33" t="n">
        <f>4056</f>
        <v>4056.0</v>
      </c>
      <c r="P367" s="34" t="s">
        <v>159</v>
      </c>
      <c r="Q367" s="33" t="n">
        <f>4100</f>
        <v>4100.0</v>
      </c>
      <c r="R367" s="34" t="s">
        <v>216</v>
      </c>
      <c r="S367" s="35" t="n">
        <f>4094.63</f>
        <v>4094.63</v>
      </c>
      <c r="T367" s="32" t="n">
        <f>36760</f>
        <v>36760.0</v>
      </c>
      <c r="U367" s="32" t="str">
        <f>"－"</f>
        <v>－</v>
      </c>
      <c r="V367" s="32" t="n">
        <f>150753370</f>
        <v>1.5075337E8</v>
      </c>
      <c r="W367" s="32" t="str">
        <f>"－"</f>
        <v>－</v>
      </c>
      <c r="X367" s="36" t="n">
        <f>8</f>
        <v>8.0</v>
      </c>
    </row>
    <row r="368">
      <c r="A368" s="27" t="s">
        <v>42</v>
      </c>
      <c r="B368" s="27" t="s">
        <v>1148</v>
      </c>
      <c r="C368" s="27" t="s">
        <v>1149</v>
      </c>
      <c r="D368" s="27" t="s">
        <v>1150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10.0</v>
      </c>
      <c r="K368" s="33" t="n">
        <f>1864</f>
        <v>1864.0</v>
      </c>
      <c r="L368" s="34" t="s">
        <v>48</v>
      </c>
      <c r="M368" s="33" t="n">
        <f>2245</f>
        <v>2245.0</v>
      </c>
      <c r="N368" s="34" t="s">
        <v>216</v>
      </c>
      <c r="O368" s="33" t="n">
        <f>1841.5</f>
        <v>1841.5</v>
      </c>
      <c r="P368" s="34" t="s">
        <v>69</v>
      </c>
      <c r="Q368" s="33" t="n">
        <f>1883.5</f>
        <v>1883.5</v>
      </c>
      <c r="R368" s="34" t="s">
        <v>71</v>
      </c>
      <c r="S368" s="35" t="n">
        <f>1869.85</f>
        <v>1869.85</v>
      </c>
      <c r="T368" s="32" t="n">
        <f>1320</f>
        <v>1320.0</v>
      </c>
      <c r="U368" s="32" t="str">
        <f>"－"</f>
        <v>－</v>
      </c>
      <c r="V368" s="32" t="n">
        <f>2458885</f>
        <v>2458885.0</v>
      </c>
      <c r="W368" s="32" t="str">
        <f>"－"</f>
        <v>－</v>
      </c>
      <c r="X368" s="36" t="n">
        <f>13</f>
        <v>13.0</v>
      </c>
    </row>
    <row r="369">
      <c r="A369" s="27" t="s">
        <v>42</v>
      </c>
      <c r="B369" s="27" t="s">
        <v>1151</v>
      </c>
      <c r="C369" s="27" t="s">
        <v>1152</v>
      </c>
      <c r="D369" s="27" t="s">
        <v>1153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1286</f>
        <v>1286.0</v>
      </c>
      <c r="L369" s="34" t="s">
        <v>48</v>
      </c>
      <c r="M369" s="33" t="n">
        <f>1348</f>
        <v>1348.0</v>
      </c>
      <c r="N369" s="34" t="s">
        <v>61</v>
      </c>
      <c r="O369" s="33" t="n">
        <f>1247</f>
        <v>1247.0</v>
      </c>
      <c r="P369" s="34" t="s">
        <v>69</v>
      </c>
      <c r="Q369" s="33" t="n">
        <f>1312</f>
        <v>1312.0</v>
      </c>
      <c r="R369" s="34" t="s">
        <v>51</v>
      </c>
      <c r="S369" s="35" t="n">
        <f>1289.58</f>
        <v>1289.58</v>
      </c>
      <c r="T369" s="32" t="n">
        <f>48532</f>
        <v>48532.0</v>
      </c>
      <c r="U369" s="32" t="str">
        <f>"－"</f>
        <v>－</v>
      </c>
      <c r="V369" s="32" t="n">
        <f>62246857</f>
        <v>6.2246857E7</v>
      </c>
      <c r="W369" s="32" t="str">
        <f>"－"</f>
        <v>－</v>
      </c>
      <c r="X369" s="36" t="n">
        <f>19</f>
        <v>19.0</v>
      </c>
    </row>
    <row r="370">
      <c r="A370" s="27" t="s">
        <v>42</v>
      </c>
      <c r="B370" s="27" t="s">
        <v>1154</v>
      </c>
      <c r="C370" s="27" t="s">
        <v>1155</v>
      </c>
      <c r="D370" s="27" t="s">
        <v>1156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1286</f>
        <v>1286.0</v>
      </c>
      <c r="L370" s="34" t="s">
        <v>48</v>
      </c>
      <c r="M370" s="33" t="n">
        <f>1348</f>
        <v>1348.0</v>
      </c>
      <c r="N370" s="34" t="s">
        <v>226</v>
      </c>
      <c r="O370" s="33" t="n">
        <f>1230</f>
        <v>1230.0</v>
      </c>
      <c r="P370" s="34" t="s">
        <v>99</v>
      </c>
      <c r="Q370" s="33" t="n">
        <f>1260</f>
        <v>1260.0</v>
      </c>
      <c r="R370" s="34" t="s">
        <v>51</v>
      </c>
      <c r="S370" s="35" t="n">
        <f>1268.74</f>
        <v>1268.74</v>
      </c>
      <c r="T370" s="32" t="n">
        <f>5160014</f>
        <v>5160014.0</v>
      </c>
      <c r="U370" s="32" t="n">
        <f>460</f>
        <v>460.0</v>
      </c>
      <c r="V370" s="32" t="n">
        <f>6537270025</f>
        <v>6.537270025E9</v>
      </c>
      <c r="W370" s="32" t="n">
        <f>580079</f>
        <v>580079.0</v>
      </c>
      <c r="X370" s="36" t="n">
        <f>19</f>
        <v>19.0</v>
      </c>
    </row>
    <row r="371">
      <c r="A371" s="27" t="s">
        <v>42</v>
      </c>
      <c r="B371" s="27" t="s">
        <v>1157</v>
      </c>
      <c r="C371" s="27" t="s">
        <v>1158</v>
      </c>
      <c r="D371" s="27" t="s">
        <v>1159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1050</f>
        <v>1050.0</v>
      </c>
      <c r="L371" s="34" t="s">
        <v>48</v>
      </c>
      <c r="M371" s="33" t="n">
        <f>1065</f>
        <v>1065.0</v>
      </c>
      <c r="N371" s="34" t="s">
        <v>49</v>
      </c>
      <c r="O371" s="33" t="n">
        <f>1016</f>
        <v>1016.0</v>
      </c>
      <c r="P371" s="34" t="s">
        <v>69</v>
      </c>
      <c r="Q371" s="33" t="n">
        <f>1030</f>
        <v>1030.0</v>
      </c>
      <c r="R371" s="34" t="s">
        <v>51</v>
      </c>
      <c r="S371" s="35" t="n">
        <f>1040.53</f>
        <v>1040.53</v>
      </c>
      <c r="T371" s="32" t="n">
        <f>768819</f>
        <v>768819.0</v>
      </c>
      <c r="U371" s="32" t="n">
        <f>111</f>
        <v>111.0</v>
      </c>
      <c r="V371" s="32" t="n">
        <f>800015269</f>
        <v>8.00015269E8</v>
      </c>
      <c r="W371" s="32" t="n">
        <f>115922</f>
        <v>115922.0</v>
      </c>
      <c r="X371" s="36" t="n">
        <f>19</f>
        <v>19.0</v>
      </c>
    </row>
    <row r="372">
      <c r="A372" s="27" t="s">
        <v>42</v>
      </c>
      <c r="B372" s="27" t="s">
        <v>1160</v>
      </c>
      <c r="C372" s="27" t="s">
        <v>1161</v>
      </c>
      <c r="D372" s="27" t="s">
        <v>1162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1203</f>
        <v>1203.0</v>
      </c>
      <c r="L372" s="34" t="s">
        <v>48</v>
      </c>
      <c r="M372" s="33" t="n">
        <f>1205</f>
        <v>1205.0</v>
      </c>
      <c r="N372" s="34" t="s">
        <v>634</v>
      </c>
      <c r="O372" s="33" t="n">
        <f>1120</f>
        <v>1120.0</v>
      </c>
      <c r="P372" s="34" t="s">
        <v>51</v>
      </c>
      <c r="Q372" s="33" t="n">
        <f>1122</f>
        <v>1122.0</v>
      </c>
      <c r="R372" s="34" t="s">
        <v>51</v>
      </c>
      <c r="S372" s="35" t="n">
        <f>1155.47</f>
        <v>1155.47</v>
      </c>
      <c r="T372" s="32" t="n">
        <f>10033</f>
        <v>10033.0</v>
      </c>
      <c r="U372" s="32" t="str">
        <f>"－"</f>
        <v>－</v>
      </c>
      <c r="V372" s="32" t="n">
        <f>11626689</f>
        <v>1.1626689E7</v>
      </c>
      <c r="W372" s="32" t="str">
        <f>"－"</f>
        <v>－</v>
      </c>
      <c r="X372" s="36" t="n">
        <f>19</f>
        <v>19.0</v>
      </c>
    </row>
    <row r="373">
      <c r="A373" s="27" t="s">
        <v>42</v>
      </c>
      <c r="B373" s="27" t="s">
        <v>1163</v>
      </c>
      <c r="C373" s="27" t="s">
        <v>1164</v>
      </c>
      <c r="D373" s="27" t="s">
        <v>1165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1171</f>
        <v>1171.0</v>
      </c>
      <c r="L373" s="34" t="s">
        <v>48</v>
      </c>
      <c r="M373" s="33" t="n">
        <f>1185</f>
        <v>1185.0</v>
      </c>
      <c r="N373" s="34" t="s">
        <v>226</v>
      </c>
      <c r="O373" s="33" t="n">
        <f>1131</f>
        <v>1131.0</v>
      </c>
      <c r="P373" s="34" t="s">
        <v>69</v>
      </c>
      <c r="Q373" s="33" t="n">
        <f>1140</f>
        <v>1140.0</v>
      </c>
      <c r="R373" s="34" t="s">
        <v>51</v>
      </c>
      <c r="S373" s="35" t="n">
        <f>1149.11</f>
        <v>1149.11</v>
      </c>
      <c r="T373" s="32" t="n">
        <f>1171086</f>
        <v>1171086.0</v>
      </c>
      <c r="U373" s="32" t="n">
        <f>48</f>
        <v>48.0</v>
      </c>
      <c r="V373" s="32" t="n">
        <f>1343155564</f>
        <v>1.343155564E9</v>
      </c>
      <c r="W373" s="32" t="n">
        <f>54642</f>
        <v>54642.0</v>
      </c>
      <c r="X373" s="36" t="n">
        <f>19</f>
        <v>19.0</v>
      </c>
    </row>
    <row r="374">
      <c r="A374" s="27" t="s">
        <v>42</v>
      </c>
      <c r="B374" s="27" t="s">
        <v>1166</v>
      </c>
      <c r="C374" s="27" t="s">
        <v>1167</v>
      </c>
      <c r="D374" s="27" t="s">
        <v>1168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48140</f>
        <v>48140.0</v>
      </c>
      <c r="L374" s="34" t="s">
        <v>48</v>
      </c>
      <c r="M374" s="33" t="n">
        <f>50230</f>
        <v>50230.0</v>
      </c>
      <c r="N374" s="34" t="s">
        <v>70</v>
      </c>
      <c r="O374" s="33" t="n">
        <f>45290</f>
        <v>45290.0</v>
      </c>
      <c r="P374" s="34" t="s">
        <v>159</v>
      </c>
      <c r="Q374" s="33" t="n">
        <f>48840</f>
        <v>48840.0</v>
      </c>
      <c r="R374" s="34" t="s">
        <v>51</v>
      </c>
      <c r="S374" s="35" t="n">
        <f>47844.74</f>
        <v>47844.74</v>
      </c>
      <c r="T374" s="32" t="n">
        <f>362681</f>
        <v>362681.0</v>
      </c>
      <c r="U374" s="32" t="n">
        <f>595</f>
        <v>595.0</v>
      </c>
      <c r="V374" s="32" t="n">
        <f>17353320880</f>
        <v>1.735332088E10</v>
      </c>
      <c r="W374" s="32" t="n">
        <f>28991560</f>
        <v>2.899156E7</v>
      </c>
      <c r="X374" s="36" t="n">
        <f>19</f>
        <v>19.0</v>
      </c>
    </row>
    <row r="375">
      <c r="A375" s="27" t="s">
        <v>42</v>
      </c>
      <c r="B375" s="27" t="s">
        <v>1169</v>
      </c>
      <c r="C375" s="27" t="s">
        <v>1170</v>
      </c>
      <c r="D375" s="27" t="s">
        <v>1171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17135</f>
        <v>17135.0</v>
      </c>
      <c r="L375" s="34" t="s">
        <v>48</v>
      </c>
      <c r="M375" s="33" t="n">
        <f>18255</f>
        <v>18255.0</v>
      </c>
      <c r="N375" s="34" t="s">
        <v>634</v>
      </c>
      <c r="O375" s="33" t="n">
        <f>16235</f>
        <v>16235.0</v>
      </c>
      <c r="P375" s="34" t="s">
        <v>70</v>
      </c>
      <c r="Q375" s="33" t="n">
        <f>16900</f>
        <v>16900.0</v>
      </c>
      <c r="R375" s="34" t="s">
        <v>51</v>
      </c>
      <c r="S375" s="35" t="n">
        <f>17119.47</f>
        <v>17119.47</v>
      </c>
      <c r="T375" s="32" t="n">
        <f>293106</f>
        <v>293106.0</v>
      </c>
      <c r="U375" s="32" t="n">
        <f>601</f>
        <v>601.0</v>
      </c>
      <c r="V375" s="32" t="n">
        <f>5021222270</f>
        <v>5.02122227E9</v>
      </c>
      <c r="W375" s="32" t="n">
        <f>10756375</f>
        <v>1.0756375E7</v>
      </c>
      <c r="X375" s="36" t="n">
        <f>19</f>
        <v>19.0</v>
      </c>
    </row>
    <row r="376">
      <c r="A376" s="27" t="s">
        <v>42</v>
      </c>
      <c r="B376" s="27" t="s">
        <v>1172</v>
      </c>
      <c r="C376" s="27" t="s">
        <v>1173</v>
      </c>
      <c r="D376" s="27" t="s">
        <v>1174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2083</f>
        <v>2083.0</v>
      </c>
      <c r="L376" s="34" t="s">
        <v>48</v>
      </c>
      <c r="M376" s="33" t="n">
        <f>2094</f>
        <v>2094.0</v>
      </c>
      <c r="N376" s="34" t="s">
        <v>70</v>
      </c>
      <c r="O376" s="33" t="n">
        <f>1993</f>
        <v>1993.0</v>
      </c>
      <c r="P376" s="34" t="s">
        <v>50</v>
      </c>
      <c r="Q376" s="33" t="n">
        <f>2084</f>
        <v>2084.0</v>
      </c>
      <c r="R376" s="34" t="s">
        <v>71</v>
      </c>
      <c r="S376" s="35" t="n">
        <f>2055.88</f>
        <v>2055.88</v>
      </c>
      <c r="T376" s="32" t="n">
        <f>440</f>
        <v>440.0</v>
      </c>
      <c r="U376" s="32" t="str">
        <f>"－"</f>
        <v>－</v>
      </c>
      <c r="V376" s="32" t="n">
        <f>907935</f>
        <v>907935.0</v>
      </c>
      <c r="W376" s="32" t="str">
        <f>"－"</f>
        <v>－</v>
      </c>
      <c r="X376" s="36" t="n">
        <f>16</f>
        <v>16.0</v>
      </c>
    </row>
    <row r="377">
      <c r="A377" s="27" t="s">
        <v>42</v>
      </c>
      <c r="B377" s="27" t="s">
        <v>1175</v>
      </c>
      <c r="C377" s="27" t="s">
        <v>1176</v>
      </c>
      <c r="D377" s="27" t="s">
        <v>1177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10500</f>
        <v>10500.0</v>
      </c>
      <c r="L377" s="34" t="s">
        <v>48</v>
      </c>
      <c r="M377" s="33" t="n">
        <f>10845</f>
        <v>10845.0</v>
      </c>
      <c r="N377" s="34" t="s">
        <v>50</v>
      </c>
      <c r="O377" s="33" t="n">
        <f>10470</f>
        <v>10470.0</v>
      </c>
      <c r="P377" s="34" t="s">
        <v>48</v>
      </c>
      <c r="Q377" s="33" t="n">
        <f>10610</f>
        <v>10610.0</v>
      </c>
      <c r="R377" s="34" t="s">
        <v>51</v>
      </c>
      <c r="S377" s="35" t="n">
        <f>10640</f>
        <v>10640.0</v>
      </c>
      <c r="T377" s="32" t="n">
        <f>8909</f>
        <v>8909.0</v>
      </c>
      <c r="U377" s="32" t="n">
        <f>2</f>
        <v>2.0</v>
      </c>
      <c r="V377" s="32" t="n">
        <f>94617995</f>
        <v>9.4617995E7</v>
      </c>
      <c r="W377" s="32" t="n">
        <f>21160</f>
        <v>21160.0</v>
      </c>
      <c r="X377" s="36" t="n">
        <f>19</f>
        <v>19.0</v>
      </c>
    </row>
    <row r="378">
      <c r="A378" s="27" t="s">
        <v>42</v>
      </c>
      <c r="B378" s="27" t="s">
        <v>1178</v>
      </c>
      <c r="C378" s="27" t="s">
        <v>1179</v>
      </c>
      <c r="D378" s="27" t="s">
        <v>1180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112600</f>
        <v>112600.0</v>
      </c>
      <c r="L378" s="34" t="s">
        <v>48</v>
      </c>
      <c r="M378" s="33" t="n">
        <f>116100</f>
        <v>116100.0</v>
      </c>
      <c r="N378" s="34" t="s">
        <v>239</v>
      </c>
      <c r="O378" s="33" t="n">
        <f>110800</f>
        <v>110800.0</v>
      </c>
      <c r="P378" s="34" t="s">
        <v>71</v>
      </c>
      <c r="Q378" s="33" t="n">
        <f>111700</f>
        <v>111700.0</v>
      </c>
      <c r="R378" s="34" t="s">
        <v>51</v>
      </c>
      <c r="S378" s="35" t="n">
        <f>112789.47</f>
        <v>112789.47</v>
      </c>
      <c r="T378" s="32" t="n">
        <f>25590</f>
        <v>25590.0</v>
      </c>
      <c r="U378" s="32" t="n">
        <f>2279</f>
        <v>2279.0</v>
      </c>
      <c r="V378" s="32" t="n">
        <f>2895828128</f>
        <v>2.895828128E9</v>
      </c>
      <c r="W378" s="32" t="n">
        <f>256996728</f>
        <v>2.56996728E8</v>
      </c>
      <c r="X378" s="36" t="n">
        <f>19</f>
        <v>19.0</v>
      </c>
    </row>
    <row r="379">
      <c r="A379" s="27" t="s">
        <v>42</v>
      </c>
      <c r="B379" s="27" t="s">
        <v>1181</v>
      </c>
      <c r="C379" s="27" t="s">
        <v>1182</v>
      </c>
      <c r="D379" s="27" t="s">
        <v>1183</v>
      </c>
      <c r="E379" s="28" t="s">
        <v>46</v>
      </c>
      <c r="F379" s="29" t="s">
        <v>46</v>
      </c>
      <c r="G379" s="30" t="s">
        <v>46</v>
      </c>
      <c r="H379" s="31"/>
      <c r="I379" s="31" t="s">
        <v>414</v>
      </c>
      <c r="J379" s="32" t="n">
        <v>1.0</v>
      </c>
      <c r="K379" s="33" t="n">
        <f>76800</f>
        <v>76800.0</v>
      </c>
      <c r="L379" s="34" t="s">
        <v>48</v>
      </c>
      <c r="M379" s="33" t="n">
        <f>84900</f>
        <v>84900.0</v>
      </c>
      <c r="N379" s="34" t="s">
        <v>61</v>
      </c>
      <c r="O379" s="33" t="n">
        <f>75300</f>
        <v>75300.0</v>
      </c>
      <c r="P379" s="34" t="s">
        <v>159</v>
      </c>
      <c r="Q379" s="33" t="n">
        <f>82700</f>
        <v>82700.0</v>
      </c>
      <c r="R379" s="34" t="s">
        <v>51</v>
      </c>
      <c r="S379" s="35" t="n">
        <f>78052.63</f>
        <v>78052.63</v>
      </c>
      <c r="T379" s="32" t="n">
        <f>40468</f>
        <v>40468.0</v>
      </c>
      <c r="U379" s="32" t="n">
        <f>5962</f>
        <v>5962.0</v>
      </c>
      <c r="V379" s="32" t="n">
        <f>3222248489</f>
        <v>3.222248489E9</v>
      </c>
      <c r="W379" s="32" t="n">
        <f>475453889</f>
        <v>4.75453889E8</v>
      </c>
      <c r="X379" s="36" t="n">
        <f>19</f>
        <v>19.0</v>
      </c>
    </row>
    <row r="380">
      <c r="A380" s="27" t="s">
        <v>42</v>
      </c>
      <c r="B380" s="27" t="s">
        <v>1184</v>
      </c>
      <c r="C380" s="27" t="s">
        <v>1185</v>
      </c>
      <c r="D380" s="27" t="s">
        <v>1186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106000</f>
        <v>106000.0</v>
      </c>
      <c r="L380" s="34" t="s">
        <v>48</v>
      </c>
      <c r="M380" s="33" t="n">
        <f>113300</f>
        <v>113300.0</v>
      </c>
      <c r="N380" s="34" t="s">
        <v>239</v>
      </c>
      <c r="O380" s="33" t="n">
        <f>104600</f>
        <v>104600.0</v>
      </c>
      <c r="P380" s="34" t="s">
        <v>159</v>
      </c>
      <c r="Q380" s="33" t="n">
        <f>110600</f>
        <v>110600.0</v>
      </c>
      <c r="R380" s="34" t="s">
        <v>51</v>
      </c>
      <c r="S380" s="35" t="n">
        <f>107989.47</f>
        <v>107989.47</v>
      </c>
      <c r="T380" s="32" t="n">
        <f>43404</f>
        <v>43404.0</v>
      </c>
      <c r="U380" s="32" t="n">
        <f>7030</f>
        <v>7030.0</v>
      </c>
      <c r="V380" s="32" t="n">
        <f>4712826841</f>
        <v>4.712826841E9</v>
      </c>
      <c r="W380" s="32" t="n">
        <f>763450441</f>
        <v>7.63450441E8</v>
      </c>
      <c r="X380" s="36" t="n">
        <f>19</f>
        <v>19.0</v>
      </c>
    </row>
    <row r="381">
      <c r="A381" s="27" t="s">
        <v>42</v>
      </c>
      <c r="B381" s="27" t="s">
        <v>1187</v>
      </c>
      <c r="C381" s="27" t="s">
        <v>1188</v>
      </c>
      <c r="D381" s="27" t="s">
        <v>1189</v>
      </c>
      <c r="E381" s="28" t="s">
        <v>46</v>
      </c>
      <c r="F381" s="29" t="s">
        <v>46</v>
      </c>
      <c r="G381" s="30" t="s">
        <v>46</v>
      </c>
      <c r="H381" s="31"/>
      <c r="I381" s="31" t="s">
        <v>414</v>
      </c>
      <c r="J381" s="32" t="n">
        <v>1.0</v>
      </c>
      <c r="K381" s="33" t="n">
        <f>108500</f>
        <v>108500.0</v>
      </c>
      <c r="L381" s="34" t="s">
        <v>48</v>
      </c>
      <c r="M381" s="33" t="n">
        <f>111000</f>
        <v>111000.0</v>
      </c>
      <c r="N381" s="34" t="s">
        <v>49</v>
      </c>
      <c r="O381" s="33" t="n">
        <f>103200</f>
        <v>103200.0</v>
      </c>
      <c r="P381" s="34" t="s">
        <v>51</v>
      </c>
      <c r="Q381" s="33" t="n">
        <f>103300</f>
        <v>103300.0</v>
      </c>
      <c r="R381" s="34" t="s">
        <v>51</v>
      </c>
      <c r="S381" s="35" t="n">
        <f>106678.95</f>
        <v>106678.95</v>
      </c>
      <c r="T381" s="32" t="n">
        <f>45020</f>
        <v>45020.0</v>
      </c>
      <c r="U381" s="32" t="n">
        <f>2031</f>
        <v>2031.0</v>
      </c>
      <c r="V381" s="32" t="n">
        <f>4795253023</f>
        <v>4.795253023E9</v>
      </c>
      <c r="W381" s="32" t="n">
        <f>216276223</f>
        <v>2.16276223E8</v>
      </c>
      <c r="X381" s="36" t="n">
        <f>19</f>
        <v>19.0</v>
      </c>
    </row>
    <row r="382">
      <c r="A382" s="27" t="s">
        <v>42</v>
      </c>
      <c r="B382" s="27" t="s">
        <v>1190</v>
      </c>
      <c r="C382" s="27" t="s">
        <v>1191</v>
      </c>
      <c r="D382" s="27" t="s">
        <v>1192</v>
      </c>
      <c r="E382" s="28" t="s">
        <v>1193</v>
      </c>
      <c r="F382" s="29" t="s">
        <v>1194</v>
      </c>
      <c r="G382" s="30" t="s">
        <v>1195</v>
      </c>
      <c r="H382" s="31"/>
      <c r="I382" s="31" t="s">
        <v>47</v>
      </c>
      <c r="J382" s="32" t="n">
        <v>10.0</v>
      </c>
      <c r="K382" s="33" t="n">
        <f>204.2</f>
        <v>204.2</v>
      </c>
      <c r="L382" s="34" t="s">
        <v>216</v>
      </c>
      <c r="M382" s="33" t="n">
        <f>207</f>
        <v>207.0</v>
      </c>
      <c r="N382" s="34" t="s">
        <v>239</v>
      </c>
      <c r="O382" s="33" t="n">
        <f>198.1</f>
        <v>198.1</v>
      </c>
      <c r="P382" s="34" t="s">
        <v>50</v>
      </c>
      <c r="Q382" s="33" t="n">
        <f>202.6</f>
        <v>202.6</v>
      </c>
      <c r="R382" s="34" t="s">
        <v>51</v>
      </c>
      <c r="S382" s="35" t="n">
        <f>203.13</f>
        <v>203.13</v>
      </c>
      <c r="T382" s="32" t="n">
        <f>9374150</f>
        <v>9374150.0</v>
      </c>
      <c r="U382" s="32" t="str">
        <f>"－"</f>
        <v>－</v>
      </c>
      <c r="V382" s="32" t="n">
        <f>1892972675</f>
        <v>1.892972675E9</v>
      </c>
      <c r="W382" s="32" t="str">
        <f>"－"</f>
        <v>－</v>
      </c>
      <c r="X382" s="36" t="n">
        <f>12</f>
        <v>12.0</v>
      </c>
    </row>
    <row r="383">
      <c r="A383" s="27" t="s">
        <v>42</v>
      </c>
      <c r="B383" s="27" t="s">
        <v>1196</v>
      </c>
      <c r="C383" s="27" t="s">
        <v>1197</v>
      </c>
      <c r="D383" s="27" t="s">
        <v>1198</v>
      </c>
      <c r="E383" s="28" t="s">
        <v>1193</v>
      </c>
      <c r="F383" s="29" t="s">
        <v>1194</v>
      </c>
      <c r="G383" s="30" t="s">
        <v>1195</v>
      </c>
      <c r="H383" s="31"/>
      <c r="I383" s="31" t="s">
        <v>47</v>
      </c>
      <c r="J383" s="32" t="n">
        <v>10.0</v>
      </c>
      <c r="K383" s="33" t="n">
        <f>203.9</f>
        <v>203.9</v>
      </c>
      <c r="L383" s="34" t="s">
        <v>216</v>
      </c>
      <c r="M383" s="33" t="n">
        <f>220</f>
        <v>220.0</v>
      </c>
      <c r="N383" s="34" t="s">
        <v>181</v>
      </c>
      <c r="O383" s="33" t="n">
        <f>199.8</f>
        <v>199.8</v>
      </c>
      <c r="P383" s="34" t="s">
        <v>116</v>
      </c>
      <c r="Q383" s="33" t="n">
        <f>205.6</f>
        <v>205.6</v>
      </c>
      <c r="R383" s="34" t="s">
        <v>51</v>
      </c>
      <c r="S383" s="35" t="n">
        <f>204.62</f>
        <v>204.62</v>
      </c>
      <c r="T383" s="32" t="n">
        <f>7487570</f>
        <v>7487570.0</v>
      </c>
      <c r="U383" s="32" t="n">
        <f>90</f>
        <v>90.0</v>
      </c>
      <c r="V383" s="32" t="n">
        <f>1520010035</f>
        <v>1.520010035E9</v>
      </c>
      <c r="W383" s="32" t="n">
        <f>18540</f>
        <v>18540.0</v>
      </c>
      <c r="X383" s="36" t="n">
        <f>12</f>
        <v>12.0</v>
      </c>
    </row>
    <row r="384">
      <c r="A384" s="27" t="s">
        <v>42</v>
      </c>
      <c r="B384" s="27" t="s">
        <v>1199</v>
      </c>
      <c r="C384" s="27" t="s">
        <v>1200</v>
      </c>
      <c r="D384" s="27" t="s">
        <v>1201</v>
      </c>
      <c r="E384" s="28" t="s">
        <v>1193</v>
      </c>
      <c r="F384" s="29" t="s">
        <v>1194</v>
      </c>
      <c r="G384" s="30" t="s">
        <v>1202</v>
      </c>
      <c r="H384" s="31"/>
      <c r="I384" s="31" t="s">
        <v>47</v>
      </c>
      <c r="J384" s="32" t="n">
        <v>1.0</v>
      </c>
      <c r="K384" s="33" t="n">
        <f>1001</f>
        <v>1001.0</v>
      </c>
      <c r="L384" s="34" t="s">
        <v>634</v>
      </c>
      <c r="M384" s="33" t="n">
        <f>1037</f>
        <v>1037.0</v>
      </c>
      <c r="N384" s="34" t="s">
        <v>71</v>
      </c>
      <c r="O384" s="33" t="n">
        <f>959</f>
        <v>959.0</v>
      </c>
      <c r="P384" s="34" t="s">
        <v>50</v>
      </c>
      <c r="Q384" s="33" t="n">
        <f>1035</f>
        <v>1035.0</v>
      </c>
      <c r="R384" s="34" t="s">
        <v>51</v>
      </c>
      <c r="S384" s="35" t="n">
        <f>1000.31</f>
        <v>1000.31</v>
      </c>
      <c r="T384" s="32" t="n">
        <f>5504261</f>
        <v>5504261.0</v>
      </c>
      <c r="U384" s="32" t="n">
        <f>4502000</f>
        <v>4502000.0</v>
      </c>
      <c r="V384" s="32" t="n">
        <f>5629015777</f>
        <v>5.629015777E9</v>
      </c>
      <c r="W384" s="32" t="n">
        <f>4625509490</f>
        <v>4.62550949E9</v>
      </c>
      <c r="X384" s="36" t="n">
        <f>16</f>
        <v>16.0</v>
      </c>
    </row>
    <row r="385">
      <c r="A385" s="27" t="s">
        <v>42</v>
      </c>
      <c r="B385" s="27" t="s">
        <v>1203</v>
      </c>
      <c r="C385" s="27" t="s">
        <v>1204</v>
      </c>
      <c r="D385" s="27" t="s">
        <v>1205</v>
      </c>
      <c r="E385" s="28" t="s">
        <v>1193</v>
      </c>
      <c r="F385" s="29" t="s">
        <v>1194</v>
      </c>
      <c r="G385" s="30" t="s">
        <v>1206</v>
      </c>
      <c r="H385" s="31"/>
      <c r="I385" s="31" t="s">
        <v>47</v>
      </c>
      <c r="J385" s="32" t="n">
        <v>1.0</v>
      </c>
      <c r="K385" s="33" t="n">
        <f>1947</f>
        <v>1947.0</v>
      </c>
      <c r="L385" s="34" t="s">
        <v>99</v>
      </c>
      <c r="M385" s="33" t="n">
        <f>2020</f>
        <v>2020.0</v>
      </c>
      <c r="N385" s="34" t="s">
        <v>70</v>
      </c>
      <c r="O385" s="33" t="n">
        <f>1886</f>
        <v>1886.0</v>
      </c>
      <c r="P385" s="34" t="s">
        <v>159</v>
      </c>
      <c r="Q385" s="33" t="n">
        <f>1956</f>
        <v>1956.0</v>
      </c>
      <c r="R385" s="34" t="s">
        <v>51</v>
      </c>
      <c r="S385" s="35" t="n">
        <f>1949.27</f>
        <v>1949.27</v>
      </c>
      <c r="T385" s="32" t="n">
        <f>18245562</f>
        <v>1.8245562E7</v>
      </c>
      <c r="U385" s="32" t="n">
        <f>157107</f>
        <v>157107.0</v>
      </c>
      <c r="V385" s="32" t="n">
        <f>35532319715</f>
        <v>3.5532319715E10</v>
      </c>
      <c r="W385" s="32" t="n">
        <f>305388515</f>
        <v>3.05388515E8</v>
      </c>
      <c r="X385" s="36" t="n">
        <f>15</f>
        <v>15.0</v>
      </c>
    </row>
    <row r="386">
      <c r="A386" s="27" t="s">
        <v>42</v>
      </c>
      <c r="B386" s="27" t="s">
        <v>1207</v>
      </c>
      <c r="C386" s="27" t="s">
        <v>1208</v>
      </c>
      <c r="D386" s="27" t="s">
        <v>1209</v>
      </c>
      <c r="E386" s="28" t="s">
        <v>1193</v>
      </c>
      <c r="F386" s="29" t="s">
        <v>1194</v>
      </c>
      <c r="G386" s="30" t="s">
        <v>1210</v>
      </c>
      <c r="H386" s="31"/>
      <c r="I386" s="31" t="s">
        <v>47</v>
      </c>
      <c r="J386" s="32" t="n">
        <v>10.0</v>
      </c>
      <c r="K386" s="33" t="n">
        <f>1040</f>
        <v>1040.0</v>
      </c>
      <c r="L386" s="34" t="s">
        <v>159</v>
      </c>
      <c r="M386" s="33" t="n">
        <f>1040</f>
        <v>1040.0</v>
      </c>
      <c r="N386" s="34" t="s">
        <v>159</v>
      </c>
      <c r="O386" s="33" t="n">
        <f>867</f>
        <v>867.0</v>
      </c>
      <c r="P386" s="34" t="s">
        <v>62</v>
      </c>
      <c r="Q386" s="33" t="n">
        <f>875.2</f>
        <v>875.2</v>
      </c>
      <c r="R386" s="34" t="s">
        <v>51</v>
      </c>
      <c r="S386" s="35" t="n">
        <f>916.3</f>
        <v>916.3</v>
      </c>
      <c r="T386" s="32" t="n">
        <f>754680</f>
        <v>754680.0</v>
      </c>
      <c r="U386" s="32" t="n">
        <f>250</f>
        <v>250.0</v>
      </c>
      <c r="V386" s="32" t="n">
        <f>685785683</f>
        <v>6.85785683E8</v>
      </c>
      <c r="W386" s="32" t="n">
        <f>206732</f>
        <v>206732.0</v>
      </c>
      <c r="X386" s="36" t="n">
        <f>13</f>
        <v>13.0</v>
      </c>
    </row>
    <row r="387">
      <c r="A387" s="27" t="s">
        <v>42</v>
      </c>
      <c r="B387" s="27" t="s">
        <v>1211</v>
      </c>
      <c r="C387" s="27" t="s">
        <v>1212</v>
      </c>
      <c r="D387" s="27" t="s">
        <v>1213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589000</f>
        <v>589000.0</v>
      </c>
      <c r="L387" s="34" t="s">
        <v>48</v>
      </c>
      <c r="M387" s="33" t="n">
        <f>595000</f>
        <v>595000.0</v>
      </c>
      <c r="N387" s="34" t="s">
        <v>48</v>
      </c>
      <c r="O387" s="33" t="n">
        <f>569000</f>
        <v>569000.0</v>
      </c>
      <c r="P387" s="34" t="s">
        <v>103</v>
      </c>
      <c r="Q387" s="33" t="n">
        <f>584000</f>
        <v>584000.0</v>
      </c>
      <c r="R387" s="34" t="s">
        <v>51</v>
      </c>
      <c r="S387" s="35" t="n">
        <f>580000</f>
        <v>580000.0</v>
      </c>
      <c r="T387" s="32" t="n">
        <f>26023</f>
        <v>26023.0</v>
      </c>
      <c r="U387" s="32" t="n">
        <f>6839</f>
        <v>6839.0</v>
      </c>
      <c r="V387" s="32" t="n">
        <f>15114910303</f>
        <v>1.5114910303E10</v>
      </c>
      <c r="W387" s="32" t="n">
        <f>3962992303</f>
        <v>3.962992303E9</v>
      </c>
      <c r="X387" s="36" t="n">
        <f>19</f>
        <v>19.0</v>
      </c>
    </row>
    <row r="388">
      <c r="A388" s="27" t="s">
        <v>42</v>
      </c>
      <c r="B388" s="27" t="s">
        <v>1214</v>
      </c>
      <c r="C388" s="27" t="s">
        <v>1215</v>
      </c>
      <c r="D388" s="27" t="s">
        <v>1216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125900</f>
        <v>125900.0</v>
      </c>
      <c r="L388" s="34" t="s">
        <v>48</v>
      </c>
      <c r="M388" s="33" t="n">
        <f>127800</f>
        <v>127800.0</v>
      </c>
      <c r="N388" s="34" t="s">
        <v>61</v>
      </c>
      <c r="O388" s="33" t="n">
        <f>121700</f>
        <v>121700.0</v>
      </c>
      <c r="P388" s="34" t="s">
        <v>159</v>
      </c>
      <c r="Q388" s="33" t="n">
        <f>125600</f>
        <v>125600.0</v>
      </c>
      <c r="R388" s="34" t="s">
        <v>51</v>
      </c>
      <c r="S388" s="35" t="n">
        <f>123878.95</f>
        <v>123878.95</v>
      </c>
      <c r="T388" s="32" t="n">
        <f>94185</f>
        <v>94185.0</v>
      </c>
      <c r="U388" s="32" t="n">
        <f>15977</f>
        <v>15977.0</v>
      </c>
      <c r="V388" s="32" t="n">
        <f>11723938765</f>
        <v>1.1723938765E10</v>
      </c>
      <c r="W388" s="32" t="n">
        <f>1986069165</f>
        <v>1.986069165E9</v>
      </c>
      <c r="X388" s="36" t="n">
        <f>19</f>
        <v>19.0</v>
      </c>
    </row>
    <row r="389">
      <c r="A389" s="27" t="s">
        <v>42</v>
      </c>
      <c r="B389" s="27" t="s">
        <v>1217</v>
      </c>
      <c r="C389" s="27" t="s">
        <v>1218</v>
      </c>
      <c r="D389" s="27" t="s">
        <v>1219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116000</f>
        <v>116000.0</v>
      </c>
      <c r="L389" s="34" t="s">
        <v>48</v>
      </c>
      <c r="M389" s="33" t="n">
        <f>119900</f>
        <v>119900.0</v>
      </c>
      <c r="N389" s="34" t="s">
        <v>239</v>
      </c>
      <c r="O389" s="33" t="n">
        <f>113700</f>
        <v>113700.0</v>
      </c>
      <c r="P389" s="34" t="s">
        <v>69</v>
      </c>
      <c r="Q389" s="33" t="n">
        <f>116000</f>
        <v>116000.0</v>
      </c>
      <c r="R389" s="34" t="s">
        <v>51</v>
      </c>
      <c r="S389" s="35" t="n">
        <f>115873.68</f>
        <v>115873.68</v>
      </c>
      <c r="T389" s="32" t="n">
        <f>204596</f>
        <v>204596.0</v>
      </c>
      <c r="U389" s="32" t="n">
        <f>29272</f>
        <v>29272.0</v>
      </c>
      <c r="V389" s="32" t="n">
        <f>23789393712</f>
        <v>2.3789393712E10</v>
      </c>
      <c r="W389" s="32" t="n">
        <f>3398889512</f>
        <v>3.398889512E9</v>
      </c>
      <c r="X389" s="36" t="n">
        <f>19</f>
        <v>19.0</v>
      </c>
    </row>
    <row r="390">
      <c r="A390" s="27" t="s">
        <v>42</v>
      </c>
      <c r="B390" s="27" t="s">
        <v>1220</v>
      </c>
      <c r="C390" s="27" t="s">
        <v>1221</v>
      </c>
      <c r="D390" s="27" t="s">
        <v>1222</v>
      </c>
      <c r="E390" s="28" t="s">
        <v>1223</v>
      </c>
      <c r="F390" s="29" t="s">
        <v>1224</v>
      </c>
      <c r="G390" s="30" t="s">
        <v>46</v>
      </c>
      <c r="H390" s="31"/>
      <c r="I390" s="31" t="s">
        <v>47</v>
      </c>
      <c r="J390" s="32" t="n">
        <v>1.0</v>
      </c>
      <c r="K390" s="33" t="n">
        <f>294400</f>
        <v>294400.0</v>
      </c>
      <c r="L390" s="34" t="s">
        <v>48</v>
      </c>
      <c r="M390" s="33" t="n">
        <f>297000</f>
        <v>297000.0</v>
      </c>
      <c r="N390" s="34" t="s">
        <v>48</v>
      </c>
      <c r="O390" s="33" t="n">
        <f>283700</f>
        <v>283700.0</v>
      </c>
      <c r="P390" s="34" t="s">
        <v>103</v>
      </c>
      <c r="Q390" s="33" t="n">
        <f>293500</f>
        <v>293500.0</v>
      </c>
      <c r="R390" s="34" t="s">
        <v>61</v>
      </c>
      <c r="S390" s="35" t="n">
        <f>289752.94</f>
        <v>289752.94</v>
      </c>
      <c r="T390" s="32" t="n">
        <f>62543</f>
        <v>62543.0</v>
      </c>
      <c r="U390" s="32" t="n">
        <f>11091</f>
        <v>11091.0</v>
      </c>
      <c r="V390" s="32" t="n">
        <f>18166702011</f>
        <v>1.8166702011E10</v>
      </c>
      <c r="W390" s="32" t="n">
        <f>3221431911</f>
        <v>3.221431911E9</v>
      </c>
      <c r="X390" s="36" t="n">
        <f>17</f>
        <v>17.0</v>
      </c>
    </row>
    <row r="391">
      <c r="A391" s="27" t="s">
        <v>42</v>
      </c>
      <c r="B391" s="27" t="s">
        <v>1220</v>
      </c>
      <c r="C391" s="27" t="s">
        <v>1221</v>
      </c>
      <c r="D391" s="27" t="s">
        <v>1222</v>
      </c>
      <c r="E391" s="28" t="s">
        <v>1223</v>
      </c>
      <c r="F391" s="29" t="s">
        <v>1224</v>
      </c>
      <c r="G391" s="30" t="s">
        <v>46</v>
      </c>
      <c r="H391" s="31"/>
      <c r="I391" s="31" t="s">
        <v>47</v>
      </c>
      <c r="J391" s="32" t="n">
        <v>1.0</v>
      </c>
      <c r="K391" s="33" t="n">
        <f>145100</f>
        <v>145100.0</v>
      </c>
      <c r="L391" s="34" t="s">
        <v>71</v>
      </c>
      <c r="M391" s="33" t="n">
        <f>145800</f>
        <v>145800.0</v>
      </c>
      <c r="N391" s="34" t="s">
        <v>71</v>
      </c>
      <c r="O391" s="33" t="n">
        <f>142900</f>
        <v>142900.0</v>
      </c>
      <c r="P391" s="34" t="s">
        <v>51</v>
      </c>
      <c r="Q391" s="33" t="n">
        <f>142900</f>
        <v>142900.0</v>
      </c>
      <c r="R391" s="34" t="s">
        <v>51</v>
      </c>
      <c r="S391" s="35" t="n">
        <f>144000</f>
        <v>144000.0</v>
      </c>
      <c r="T391" s="32" t="n">
        <f>15238</f>
        <v>15238.0</v>
      </c>
      <c r="U391" s="32" t="n">
        <f>2564</f>
        <v>2564.0</v>
      </c>
      <c r="V391" s="32" t="n">
        <f>2195709770</f>
        <v>2.19570977E9</v>
      </c>
      <c r="W391" s="32" t="n">
        <f>369119170</f>
        <v>3.6911917E8</v>
      </c>
      <c r="X391" s="36" t="n">
        <f>2</f>
        <v>2.0</v>
      </c>
    </row>
    <row r="392">
      <c r="A392" s="27" t="s">
        <v>42</v>
      </c>
      <c r="B392" s="27" t="s">
        <v>1225</v>
      </c>
      <c r="C392" s="27" t="s">
        <v>1226</v>
      </c>
      <c r="D392" s="27" t="s">
        <v>1227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331000</f>
        <v>331000.0</v>
      </c>
      <c r="L392" s="34" t="s">
        <v>48</v>
      </c>
      <c r="M392" s="33" t="n">
        <f>342000</f>
        <v>342000.0</v>
      </c>
      <c r="N392" s="34" t="s">
        <v>61</v>
      </c>
      <c r="O392" s="33" t="n">
        <f>317500</f>
        <v>317500.0</v>
      </c>
      <c r="P392" s="34" t="s">
        <v>116</v>
      </c>
      <c r="Q392" s="33" t="n">
        <f>338000</f>
        <v>338000.0</v>
      </c>
      <c r="R392" s="34" t="s">
        <v>51</v>
      </c>
      <c r="S392" s="35" t="n">
        <f>331657.89</f>
        <v>331657.89</v>
      </c>
      <c r="T392" s="32" t="n">
        <f>67044</f>
        <v>67044.0</v>
      </c>
      <c r="U392" s="32" t="n">
        <f>16512</f>
        <v>16512.0</v>
      </c>
      <c r="V392" s="32" t="n">
        <f>22204302367</f>
        <v>2.2204302367E10</v>
      </c>
      <c r="W392" s="32" t="n">
        <f>5471959367</f>
        <v>5.471959367E9</v>
      </c>
      <c r="X392" s="36" t="n">
        <f>19</f>
        <v>19.0</v>
      </c>
    </row>
    <row r="393">
      <c r="A393" s="27" t="s">
        <v>42</v>
      </c>
      <c r="B393" s="27" t="s">
        <v>1228</v>
      </c>
      <c r="C393" s="27" t="s">
        <v>1229</v>
      </c>
      <c r="D393" s="27" t="s">
        <v>1230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124800</f>
        <v>124800.0</v>
      </c>
      <c r="L393" s="34" t="s">
        <v>48</v>
      </c>
      <c r="M393" s="33" t="n">
        <f>128200</f>
        <v>128200.0</v>
      </c>
      <c r="N393" s="34" t="s">
        <v>239</v>
      </c>
      <c r="O393" s="33" t="n">
        <f>120100</f>
        <v>120100.0</v>
      </c>
      <c r="P393" s="34" t="s">
        <v>159</v>
      </c>
      <c r="Q393" s="33" t="n">
        <f>127200</f>
        <v>127200.0</v>
      </c>
      <c r="R393" s="34" t="s">
        <v>51</v>
      </c>
      <c r="S393" s="35" t="n">
        <f>123442.11</f>
        <v>123442.11</v>
      </c>
      <c r="T393" s="32" t="n">
        <f>265397</f>
        <v>265397.0</v>
      </c>
      <c r="U393" s="32" t="n">
        <f>63657</f>
        <v>63657.0</v>
      </c>
      <c r="V393" s="32" t="n">
        <f>32905795147</f>
        <v>3.2905795147E10</v>
      </c>
      <c r="W393" s="32" t="n">
        <f>7904745147</f>
        <v>7.904745147E9</v>
      </c>
      <c r="X393" s="36" t="n">
        <f>19</f>
        <v>19.0</v>
      </c>
    </row>
    <row r="394">
      <c r="A394" s="27" t="s">
        <v>42</v>
      </c>
      <c r="B394" s="27" t="s">
        <v>1231</v>
      </c>
      <c r="C394" s="27" t="s">
        <v>1232</v>
      </c>
      <c r="D394" s="27" t="s">
        <v>1233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280600</f>
        <v>280600.0</v>
      </c>
      <c r="L394" s="34" t="s">
        <v>48</v>
      </c>
      <c r="M394" s="33" t="n">
        <f>283700</f>
        <v>283700.0</v>
      </c>
      <c r="N394" s="34" t="s">
        <v>48</v>
      </c>
      <c r="O394" s="33" t="n">
        <f>268100</f>
        <v>268100.0</v>
      </c>
      <c r="P394" s="34" t="s">
        <v>103</v>
      </c>
      <c r="Q394" s="33" t="n">
        <f>271600</f>
        <v>271600.0</v>
      </c>
      <c r="R394" s="34" t="s">
        <v>51</v>
      </c>
      <c r="S394" s="35" t="n">
        <f>275421.05</f>
        <v>275421.05</v>
      </c>
      <c r="T394" s="32" t="n">
        <f>52122</f>
        <v>52122.0</v>
      </c>
      <c r="U394" s="32" t="n">
        <f>9653</f>
        <v>9653.0</v>
      </c>
      <c r="V394" s="32" t="n">
        <f>14377166183</f>
        <v>1.4377166183E10</v>
      </c>
      <c r="W394" s="32" t="n">
        <f>2667733183</f>
        <v>2.667733183E9</v>
      </c>
      <c r="X394" s="36" t="n">
        <f>19</f>
        <v>19.0</v>
      </c>
    </row>
    <row r="395">
      <c r="A395" s="27" t="s">
        <v>42</v>
      </c>
      <c r="B395" s="27" t="s">
        <v>1234</v>
      </c>
      <c r="C395" s="27" t="s">
        <v>1235</v>
      </c>
      <c r="D395" s="27" t="s">
        <v>1236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224200</f>
        <v>224200.0</v>
      </c>
      <c r="L395" s="34" t="s">
        <v>48</v>
      </c>
      <c r="M395" s="33" t="n">
        <f>240200</f>
        <v>240200.0</v>
      </c>
      <c r="N395" s="34" t="s">
        <v>239</v>
      </c>
      <c r="O395" s="33" t="n">
        <f>221000</f>
        <v>221000.0</v>
      </c>
      <c r="P395" s="34" t="s">
        <v>634</v>
      </c>
      <c r="Q395" s="33" t="n">
        <f>236900</f>
        <v>236900.0</v>
      </c>
      <c r="R395" s="34" t="s">
        <v>51</v>
      </c>
      <c r="S395" s="35" t="n">
        <f>229857.89</f>
        <v>229857.89</v>
      </c>
      <c r="T395" s="32" t="n">
        <f>165152</f>
        <v>165152.0</v>
      </c>
      <c r="U395" s="32" t="n">
        <f>38462</f>
        <v>38462.0</v>
      </c>
      <c r="V395" s="32" t="n">
        <f>37990332513</f>
        <v>3.7990332513E10</v>
      </c>
      <c r="W395" s="32" t="n">
        <f>8844821713</f>
        <v>8.844821713E9</v>
      </c>
      <c r="X395" s="36" t="n">
        <f>19</f>
        <v>19.0</v>
      </c>
    </row>
    <row r="396">
      <c r="A396" s="27" t="s">
        <v>42</v>
      </c>
      <c r="B396" s="27" t="s">
        <v>1237</v>
      </c>
      <c r="C396" s="27" t="s">
        <v>1238</v>
      </c>
      <c r="D396" s="27" t="s">
        <v>1239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225000</f>
        <v>225000.0</v>
      </c>
      <c r="L396" s="34" t="s">
        <v>48</v>
      </c>
      <c r="M396" s="33" t="n">
        <f>227900</f>
        <v>227900.0</v>
      </c>
      <c r="N396" s="34" t="s">
        <v>48</v>
      </c>
      <c r="O396" s="33" t="n">
        <f>202500</f>
        <v>202500.0</v>
      </c>
      <c r="P396" s="34" t="s">
        <v>70</v>
      </c>
      <c r="Q396" s="33" t="n">
        <f>207200</f>
        <v>207200.0</v>
      </c>
      <c r="R396" s="34" t="s">
        <v>51</v>
      </c>
      <c r="S396" s="35" t="n">
        <f>210178.95</f>
        <v>210178.95</v>
      </c>
      <c r="T396" s="32" t="n">
        <f>77218</f>
        <v>77218.0</v>
      </c>
      <c r="U396" s="32" t="n">
        <f>19121</f>
        <v>19121.0</v>
      </c>
      <c r="V396" s="32" t="n">
        <f>16224270068</f>
        <v>1.6224270068E10</v>
      </c>
      <c r="W396" s="32" t="n">
        <f>4002380168</f>
        <v>4.002380168E9</v>
      </c>
      <c r="X396" s="36" t="n">
        <f>19</f>
        <v>19.0</v>
      </c>
    </row>
    <row r="397">
      <c r="A397" s="27" t="s">
        <v>42</v>
      </c>
      <c r="B397" s="27" t="s">
        <v>1240</v>
      </c>
      <c r="C397" s="27" t="s">
        <v>1241</v>
      </c>
      <c r="D397" s="27" t="s">
        <v>1242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233000</f>
        <v>233000.0</v>
      </c>
      <c r="L397" s="34" t="s">
        <v>48</v>
      </c>
      <c r="M397" s="33" t="n">
        <f>247000</f>
        <v>247000.0</v>
      </c>
      <c r="N397" s="34" t="s">
        <v>239</v>
      </c>
      <c r="O397" s="33" t="n">
        <f>232500</f>
        <v>232500.0</v>
      </c>
      <c r="P397" s="34" t="s">
        <v>159</v>
      </c>
      <c r="Q397" s="33" t="n">
        <f>242000</f>
        <v>242000.0</v>
      </c>
      <c r="R397" s="34" t="s">
        <v>51</v>
      </c>
      <c r="S397" s="35" t="n">
        <f>237257.89</f>
        <v>237257.89</v>
      </c>
      <c r="T397" s="32" t="n">
        <f>19139</f>
        <v>19139.0</v>
      </c>
      <c r="U397" s="32" t="n">
        <f>3130</f>
        <v>3130.0</v>
      </c>
      <c r="V397" s="32" t="n">
        <f>4550688270</f>
        <v>4.55068827E9</v>
      </c>
      <c r="W397" s="32" t="n">
        <f>742514670</f>
        <v>7.4251467E8</v>
      </c>
      <c r="X397" s="36" t="n">
        <f>19</f>
        <v>19.0</v>
      </c>
    </row>
    <row r="398">
      <c r="A398" s="27" t="s">
        <v>42</v>
      </c>
      <c r="B398" s="27" t="s">
        <v>1243</v>
      </c>
      <c r="C398" s="27" t="s">
        <v>1244</v>
      </c>
      <c r="D398" s="27" t="s">
        <v>1245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127500</f>
        <v>127500.0</v>
      </c>
      <c r="L398" s="34" t="s">
        <v>48</v>
      </c>
      <c r="M398" s="33" t="n">
        <f>128100</f>
        <v>128100.0</v>
      </c>
      <c r="N398" s="34" t="s">
        <v>48</v>
      </c>
      <c r="O398" s="33" t="n">
        <f>122800</f>
        <v>122800.0</v>
      </c>
      <c r="P398" s="34" t="s">
        <v>50</v>
      </c>
      <c r="Q398" s="33" t="n">
        <f>125400</f>
        <v>125400.0</v>
      </c>
      <c r="R398" s="34" t="s">
        <v>51</v>
      </c>
      <c r="S398" s="35" t="n">
        <f>124736.84</f>
        <v>124736.84</v>
      </c>
      <c r="T398" s="32" t="n">
        <f>111700</f>
        <v>111700.0</v>
      </c>
      <c r="U398" s="32" t="n">
        <f>17091</f>
        <v>17091.0</v>
      </c>
      <c r="V398" s="32" t="n">
        <f>13977435041</f>
        <v>1.3977435041E10</v>
      </c>
      <c r="W398" s="32" t="n">
        <f>2136242641</f>
        <v>2.136242641E9</v>
      </c>
      <c r="X398" s="36" t="n">
        <f>19</f>
        <v>19.0</v>
      </c>
    </row>
    <row r="399">
      <c r="A399" s="27" t="s">
        <v>42</v>
      </c>
      <c r="B399" s="27" t="s">
        <v>1246</v>
      </c>
      <c r="C399" s="27" t="s">
        <v>1247</v>
      </c>
      <c r="D399" s="27" t="s">
        <v>1248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139300</f>
        <v>139300.0</v>
      </c>
      <c r="L399" s="34" t="s">
        <v>48</v>
      </c>
      <c r="M399" s="33" t="n">
        <f>142600</f>
        <v>142600.0</v>
      </c>
      <c r="N399" s="34" t="s">
        <v>71</v>
      </c>
      <c r="O399" s="33" t="n">
        <f>135200</f>
        <v>135200.0</v>
      </c>
      <c r="P399" s="34" t="s">
        <v>159</v>
      </c>
      <c r="Q399" s="33" t="n">
        <f>141800</f>
        <v>141800.0</v>
      </c>
      <c r="R399" s="34" t="s">
        <v>51</v>
      </c>
      <c r="S399" s="35" t="n">
        <f>138268.42</f>
        <v>138268.42</v>
      </c>
      <c r="T399" s="32" t="n">
        <f>64439</f>
        <v>64439.0</v>
      </c>
      <c r="U399" s="32" t="n">
        <f>11005</f>
        <v>11005.0</v>
      </c>
      <c r="V399" s="32" t="n">
        <f>8940320441</f>
        <v>8.940320441E9</v>
      </c>
      <c r="W399" s="32" t="n">
        <f>1524947041</f>
        <v>1.524947041E9</v>
      </c>
      <c r="X399" s="36" t="n">
        <f>19</f>
        <v>19.0</v>
      </c>
    </row>
    <row r="400">
      <c r="A400" s="27" t="s">
        <v>42</v>
      </c>
      <c r="B400" s="27" t="s">
        <v>1249</v>
      </c>
      <c r="C400" s="27" t="s">
        <v>1250</v>
      </c>
      <c r="D400" s="27" t="s">
        <v>1251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76400</f>
        <v>76400.0</v>
      </c>
      <c r="L400" s="34" t="s">
        <v>48</v>
      </c>
      <c r="M400" s="33" t="n">
        <f>83100</f>
        <v>83100.0</v>
      </c>
      <c r="N400" s="34" t="s">
        <v>239</v>
      </c>
      <c r="O400" s="33" t="n">
        <f>76200</f>
        <v>76200.0</v>
      </c>
      <c r="P400" s="34" t="s">
        <v>159</v>
      </c>
      <c r="Q400" s="33" t="n">
        <f>81500</f>
        <v>81500.0</v>
      </c>
      <c r="R400" s="34" t="s">
        <v>51</v>
      </c>
      <c r="S400" s="35" t="n">
        <f>78473.68</f>
        <v>78473.68</v>
      </c>
      <c r="T400" s="32" t="n">
        <f>154783</f>
        <v>154783.0</v>
      </c>
      <c r="U400" s="32" t="n">
        <f>32470</f>
        <v>32470.0</v>
      </c>
      <c r="V400" s="32" t="n">
        <f>12200260720</f>
        <v>1.220026072E10</v>
      </c>
      <c r="W400" s="32" t="n">
        <f>2574377520</f>
        <v>2.57437752E9</v>
      </c>
      <c r="X400" s="36" t="n">
        <f>19</f>
        <v>19.0</v>
      </c>
    </row>
    <row r="401">
      <c r="A401" s="27" t="s">
        <v>42</v>
      </c>
      <c r="B401" s="27" t="s">
        <v>1252</v>
      </c>
      <c r="C401" s="27" t="s">
        <v>1253</v>
      </c>
      <c r="D401" s="27" t="s">
        <v>1254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77600</f>
        <v>77600.0</v>
      </c>
      <c r="L401" s="34" t="s">
        <v>48</v>
      </c>
      <c r="M401" s="33" t="n">
        <f>80800</f>
        <v>80800.0</v>
      </c>
      <c r="N401" s="34" t="s">
        <v>239</v>
      </c>
      <c r="O401" s="33" t="n">
        <f>75900</f>
        <v>75900.0</v>
      </c>
      <c r="P401" s="34" t="s">
        <v>99</v>
      </c>
      <c r="Q401" s="33" t="n">
        <f>79400</f>
        <v>79400.0</v>
      </c>
      <c r="R401" s="34" t="s">
        <v>51</v>
      </c>
      <c r="S401" s="35" t="n">
        <f>77710.53</f>
        <v>77710.53</v>
      </c>
      <c r="T401" s="32" t="n">
        <f>243824</f>
        <v>243824.0</v>
      </c>
      <c r="U401" s="32" t="n">
        <f>49088</f>
        <v>49088.0</v>
      </c>
      <c r="V401" s="32" t="n">
        <f>18972547440</f>
        <v>1.897254744E10</v>
      </c>
      <c r="W401" s="32" t="n">
        <f>3815661740</f>
        <v>3.81566174E9</v>
      </c>
      <c r="X401" s="36" t="n">
        <f>19</f>
        <v>19.0</v>
      </c>
    </row>
    <row r="402">
      <c r="A402" s="27" t="s">
        <v>42</v>
      </c>
      <c r="B402" s="27" t="s">
        <v>1255</v>
      </c>
      <c r="C402" s="27" t="s">
        <v>1256</v>
      </c>
      <c r="D402" s="27" t="s">
        <v>1257</v>
      </c>
      <c r="E402" s="28" t="s">
        <v>46</v>
      </c>
      <c r="F402" s="29" t="s">
        <v>46</v>
      </c>
      <c r="G402" s="30" t="s">
        <v>46</v>
      </c>
      <c r="H402" s="31"/>
      <c r="I402" s="31" t="s">
        <v>414</v>
      </c>
      <c r="J402" s="32" t="n">
        <v>1.0</v>
      </c>
      <c r="K402" s="33" t="n">
        <f>126100</f>
        <v>126100.0</v>
      </c>
      <c r="L402" s="34" t="s">
        <v>48</v>
      </c>
      <c r="M402" s="33" t="n">
        <f>130500</f>
        <v>130500.0</v>
      </c>
      <c r="N402" s="34" t="s">
        <v>61</v>
      </c>
      <c r="O402" s="33" t="n">
        <f>124600</f>
        <v>124600.0</v>
      </c>
      <c r="P402" s="34" t="s">
        <v>159</v>
      </c>
      <c r="Q402" s="33" t="n">
        <f>128600</f>
        <v>128600.0</v>
      </c>
      <c r="R402" s="34" t="s">
        <v>51</v>
      </c>
      <c r="S402" s="35" t="n">
        <f>126647.37</f>
        <v>126647.37</v>
      </c>
      <c r="T402" s="32" t="n">
        <f>18436</f>
        <v>18436.0</v>
      </c>
      <c r="U402" s="32" t="n">
        <f>1944</f>
        <v>1944.0</v>
      </c>
      <c r="V402" s="32" t="n">
        <f>2340079214</f>
        <v>2.340079214E9</v>
      </c>
      <c r="W402" s="32" t="n">
        <f>246993614</f>
        <v>2.46993614E8</v>
      </c>
      <c r="X402" s="36" t="n">
        <f>19</f>
        <v>19.0</v>
      </c>
    </row>
    <row r="403">
      <c r="A403" s="27" t="s">
        <v>42</v>
      </c>
      <c r="B403" s="27" t="s">
        <v>1258</v>
      </c>
      <c r="C403" s="27" t="s">
        <v>1259</v>
      </c>
      <c r="D403" s="27" t="s">
        <v>1260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107300</f>
        <v>107300.0</v>
      </c>
      <c r="L403" s="34" t="s">
        <v>48</v>
      </c>
      <c r="M403" s="33" t="n">
        <f>109300</f>
        <v>109300.0</v>
      </c>
      <c r="N403" s="34" t="s">
        <v>239</v>
      </c>
      <c r="O403" s="33" t="n">
        <f>105100</f>
        <v>105100.0</v>
      </c>
      <c r="P403" s="34" t="s">
        <v>50</v>
      </c>
      <c r="Q403" s="33" t="n">
        <f>106000</f>
        <v>106000.0</v>
      </c>
      <c r="R403" s="34" t="s">
        <v>51</v>
      </c>
      <c r="S403" s="35" t="n">
        <f>106531.58</f>
        <v>106531.58</v>
      </c>
      <c r="T403" s="32" t="n">
        <f>30796</f>
        <v>30796.0</v>
      </c>
      <c r="U403" s="32" t="n">
        <f>3344</f>
        <v>3344.0</v>
      </c>
      <c r="V403" s="32" t="n">
        <f>3299071958</f>
        <v>3.299071958E9</v>
      </c>
      <c r="W403" s="32" t="n">
        <f>356519958</f>
        <v>3.56519958E8</v>
      </c>
      <c r="X403" s="36" t="n">
        <f>19</f>
        <v>19.0</v>
      </c>
    </row>
    <row r="404">
      <c r="A404" s="27" t="s">
        <v>42</v>
      </c>
      <c r="B404" s="27" t="s">
        <v>1261</v>
      </c>
      <c r="C404" s="27" t="s">
        <v>1262</v>
      </c>
      <c r="D404" s="27" t="s">
        <v>1263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94500</f>
        <v>94500.0</v>
      </c>
      <c r="L404" s="34" t="s">
        <v>48</v>
      </c>
      <c r="M404" s="33" t="n">
        <f>96900</f>
        <v>96900.0</v>
      </c>
      <c r="N404" s="34" t="s">
        <v>49</v>
      </c>
      <c r="O404" s="33" t="n">
        <f>92300</f>
        <v>92300.0</v>
      </c>
      <c r="P404" s="34" t="s">
        <v>71</v>
      </c>
      <c r="Q404" s="33" t="n">
        <f>93300</f>
        <v>93300.0</v>
      </c>
      <c r="R404" s="34" t="s">
        <v>51</v>
      </c>
      <c r="S404" s="35" t="n">
        <f>94610.53</f>
        <v>94610.53</v>
      </c>
      <c r="T404" s="32" t="n">
        <f>36895</f>
        <v>36895.0</v>
      </c>
      <c r="U404" s="32" t="n">
        <f>2987</f>
        <v>2987.0</v>
      </c>
      <c r="V404" s="32" t="n">
        <f>3502929690</f>
        <v>3.50292969E9</v>
      </c>
      <c r="W404" s="32" t="n">
        <f>282720690</f>
        <v>2.8272069E8</v>
      </c>
      <c r="X404" s="36" t="n">
        <f>19</f>
        <v>19.0</v>
      </c>
    </row>
    <row r="405">
      <c r="A405" s="27" t="s">
        <v>42</v>
      </c>
      <c r="B405" s="27" t="s">
        <v>1264</v>
      </c>
      <c r="C405" s="27" t="s">
        <v>1265</v>
      </c>
      <c r="D405" s="27" t="s">
        <v>1266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138700</f>
        <v>138700.0</v>
      </c>
      <c r="L405" s="34" t="s">
        <v>48</v>
      </c>
      <c r="M405" s="33" t="n">
        <f>150900</f>
        <v>150900.0</v>
      </c>
      <c r="N405" s="34" t="s">
        <v>71</v>
      </c>
      <c r="O405" s="33" t="n">
        <f>138400</f>
        <v>138400.0</v>
      </c>
      <c r="P405" s="34" t="s">
        <v>203</v>
      </c>
      <c r="Q405" s="33" t="n">
        <f>149500</f>
        <v>149500.0</v>
      </c>
      <c r="R405" s="34" t="s">
        <v>51</v>
      </c>
      <c r="S405" s="35" t="n">
        <f>142368.42</f>
        <v>142368.42</v>
      </c>
      <c r="T405" s="32" t="n">
        <f>238800</f>
        <v>238800.0</v>
      </c>
      <c r="U405" s="32" t="n">
        <f>52133</f>
        <v>52133.0</v>
      </c>
      <c r="V405" s="32" t="n">
        <f>34266535920</f>
        <v>3.426653592E10</v>
      </c>
      <c r="W405" s="32" t="n">
        <f>7465283220</f>
        <v>7.46528322E9</v>
      </c>
      <c r="X405" s="36" t="n">
        <f>19</f>
        <v>19.0</v>
      </c>
    </row>
    <row r="406">
      <c r="A406" s="27" t="s">
        <v>42</v>
      </c>
      <c r="B406" s="27" t="s">
        <v>1267</v>
      </c>
      <c r="C406" s="27" t="s">
        <v>1268</v>
      </c>
      <c r="D406" s="27" t="s">
        <v>1269</v>
      </c>
      <c r="E406" s="28" t="s">
        <v>46</v>
      </c>
      <c r="F406" s="29" t="s">
        <v>46</v>
      </c>
      <c r="G406" s="30" t="s">
        <v>46</v>
      </c>
      <c r="H406" s="31"/>
      <c r="I406" s="31" t="s">
        <v>414</v>
      </c>
      <c r="J406" s="32" t="n">
        <v>1.0</v>
      </c>
      <c r="K406" s="33" t="n">
        <f>154300</f>
        <v>154300.0</v>
      </c>
      <c r="L406" s="34" t="s">
        <v>48</v>
      </c>
      <c r="M406" s="33" t="n">
        <f>156300</f>
        <v>156300.0</v>
      </c>
      <c r="N406" s="34" t="s">
        <v>48</v>
      </c>
      <c r="O406" s="33" t="n">
        <f>123600</f>
        <v>123600.0</v>
      </c>
      <c r="P406" s="34" t="s">
        <v>71</v>
      </c>
      <c r="Q406" s="33" t="n">
        <f>129000</f>
        <v>129000.0</v>
      </c>
      <c r="R406" s="34" t="s">
        <v>51</v>
      </c>
      <c r="S406" s="35" t="n">
        <f>142078.95</f>
        <v>142078.95</v>
      </c>
      <c r="T406" s="32" t="n">
        <f>102827</f>
        <v>102827.0</v>
      </c>
      <c r="U406" s="32" t="n">
        <f>4703</f>
        <v>4703.0</v>
      </c>
      <c r="V406" s="32" t="n">
        <f>14373484227</f>
        <v>1.4373484227E10</v>
      </c>
      <c r="W406" s="32" t="n">
        <f>663512027</f>
        <v>6.63512027E8</v>
      </c>
      <c r="X406" s="36" t="n">
        <f>19</f>
        <v>19.0</v>
      </c>
    </row>
    <row r="407">
      <c r="A407" s="27" t="s">
        <v>42</v>
      </c>
      <c r="B407" s="27" t="s">
        <v>1270</v>
      </c>
      <c r="C407" s="27" t="s">
        <v>1271</v>
      </c>
      <c r="D407" s="27" t="s">
        <v>1272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143200</f>
        <v>143200.0</v>
      </c>
      <c r="L407" s="34" t="s">
        <v>48</v>
      </c>
      <c r="M407" s="33" t="n">
        <f>145300</f>
        <v>145300.0</v>
      </c>
      <c r="N407" s="34" t="s">
        <v>239</v>
      </c>
      <c r="O407" s="33" t="n">
        <f>139800</f>
        <v>139800.0</v>
      </c>
      <c r="P407" s="34" t="s">
        <v>103</v>
      </c>
      <c r="Q407" s="33" t="n">
        <f>143400</f>
        <v>143400.0</v>
      </c>
      <c r="R407" s="34" t="s">
        <v>51</v>
      </c>
      <c r="S407" s="35" t="n">
        <f>142173.68</f>
        <v>142173.68</v>
      </c>
      <c r="T407" s="32" t="n">
        <f>105306</f>
        <v>105306.0</v>
      </c>
      <c r="U407" s="32" t="n">
        <f>25059</f>
        <v>25059.0</v>
      </c>
      <c r="V407" s="32" t="n">
        <f>15006063627</f>
        <v>1.5006063627E10</v>
      </c>
      <c r="W407" s="32" t="n">
        <f>3571461027</f>
        <v>3.571461027E9</v>
      </c>
      <c r="X407" s="36" t="n">
        <f>19</f>
        <v>19.0</v>
      </c>
    </row>
    <row r="408">
      <c r="A408" s="27" t="s">
        <v>42</v>
      </c>
      <c r="B408" s="27" t="s">
        <v>1273</v>
      </c>
      <c r="C408" s="27" t="s">
        <v>1274</v>
      </c>
      <c r="D408" s="27" t="s">
        <v>1275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52300</f>
        <v>52300.0</v>
      </c>
      <c r="L408" s="34" t="s">
        <v>48</v>
      </c>
      <c r="M408" s="33" t="n">
        <f>53900</f>
        <v>53900.0</v>
      </c>
      <c r="N408" s="34" t="s">
        <v>239</v>
      </c>
      <c r="O408" s="33" t="n">
        <f>51400</f>
        <v>51400.0</v>
      </c>
      <c r="P408" s="34" t="s">
        <v>159</v>
      </c>
      <c r="Q408" s="33" t="n">
        <f>51700</f>
        <v>51700.0</v>
      </c>
      <c r="R408" s="34" t="s">
        <v>51</v>
      </c>
      <c r="S408" s="35" t="n">
        <f>52057.89</f>
        <v>52057.89</v>
      </c>
      <c r="T408" s="32" t="n">
        <f>241469</f>
        <v>241469.0</v>
      </c>
      <c r="U408" s="32" t="n">
        <f>37141</f>
        <v>37141.0</v>
      </c>
      <c r="V408" s="32" t="n">
        <f>12616480374</f>
        <v>1.2616480374E10</v>
      </c>
      <c r="W408" s="32" t="n">
        <f>1936801974</f>
        <v>1.936801974E9</v>
      </c>
      <c r="X408" s="36" t="n">
        <f>19</f>
        <v>19.0</v>
      </c>
    </row>
    <row r="409">
      <c r="A409" s="27" t="s">
        <v>42</v>
      </c>
      <c r="B409" s="27" t="s">
        <v>1276</v>
      </c>
      <c r="C409" s="27" t="s">
        <v>1277</v>
      </c>
      <c r="D409" s="27" t="s">
        <v>1278</v>
      </c>
      <c r="E409" s="28" t="s">
        <v>46</v>
      </c>
      <c r="F409" s="29" t="s">
        <v>46</v>
      </c>
      <c r="G409" s="30" t="s">
        <v>46</v>
      </c>
      <c r="H409" s="31"/>
      <c r="I409" s="31" t="s">
        <v>414</v>
      </c>
      <c r="J409" s="32" t="n">
        <v>1.0</v>
      </c>
      <c r="K409" s="33" t="n">
        <f>105700</f>
        <v>105700.0</v>
      </c>
      <c r="L409" s="34" t="s">
        <v>48</v>
      </c>
      <c r="M409" s="33" t="n">
        <f>110300</f>
        <v>110300.0</v>
      </c>
      <c r="N409" s="34" t="s">
        <v>51</v>
      </c>
      <c r="O409" s="33" t="n">
        <f>104700</f>
        <v>104700.0</v>
      </c>
      <c r="P409" s="34" t="s">
        <v>69</v>
      </c>
      <c r="Q409" s="33" t="n">
        <f>109700</f>
        <v>109700.0</v>
      </c>
      <c r="R409" s="34" t="s">
        <v>51</v>
      </c>
      <c r="S409" s="35" t="n">
        <f>106663.16</f>
        <v>106663.16</v>
      </c>
      <c r="T409" s="32" t="n">
        <f>24322</f>
        <v>24322.0</v>
      </c>
      <c r="U409" s="32" t="n">
        <f>2010</f>
        <v>2010.0</v>
      </c>
      <c r="V409" s="32" t="n">
        <f>2599617716</f>
        <v>2.599617716E9</v>
      </c>
      <c r="W409" s="32" t="n">
        <f>215569116</f>
        <v>2.15569116E8</v>
      </c>
      <c r="X409" s="36" t="n">
        <f>19</f>
        <v>19.0</v>
      </c>
    </row>
    <row r="410">
      <c r="A410" s="27" t="s">
        <v>42</v>
      </c>
      <c r="B410" s="27" t="s">
        <v>1279</v>
      </c>
      <c r="C410" s="27" t="s">
        <v>1280</v>
      </c>
      <c r="D410" s="27" t="s">
        <v>1281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102300</f>
        <v>102300.0</v>
      </c>
      <c r="L410" s="34" t="s">
        <v>48</v>
      </c>
      <c r="M410" s="33" t="n">
        <f>103100</f>
        <v>103100.0</v>
      </c>
      <c r="N410" s="34" t="s">
        <v>48</v>
      </c>
      <c r="O410" s="33" t="n">
        <f>97500</f>
        <v>97500.0</v>
      </c>
      <c r="P410" s="34" t="s">
        <v>103</v>
      </c>
      <c r="Q410" s="33" t="n">
        <f>102100</f>
        <v>102100.0</v>
      </c>
      <c r="R410" s="34" t="s">
        <v>51</v>
      </c>
      <c r="S410" s="35" t="n">
        <f>100063.16</f>
        <v>100063.16</v>
      </c>
      <c r="T410" s="32" t="n">
        <f>221337</f>
        <v>221337.0</v>
      </c>
      <c r="U410" s="32" t="n">
        <f>53750</f>
        <v>53750.0</v>
      </c>
      <c r="V410" s="32" t="n">
        <f>22156878631</f>
        <v>2.2156878631E10</v>
      </c>
      <c r="W410" s="32" t="n">
        <f>5363707631</f>
        <v>5.363707631E9</v>
      </c>
      <c r="X410" s="36" t="n">
        <f>19</f>
        <v>19.0</v>
      </c>
    </row>
    <row r="411">
      <c r="A411" s="27" t="s">
        <v>42</v>
      </c>
      <c r="B411" s="27" t="s">
        <v>1282</v>
      </c>
      <c r="C411" s="27" t="s">
        <v>1283</v>
      </c>
      <c r="D411" s="27" t="s">
        <v>1284</v>
      </c>
      <c r="E411" s="28" t="s">
        <v>46</v>
      </c>
      <c r="F411" s="29" t="s">
        <v>46</v>
      </c>
      <c r="G411" s="30" t="s">
        <v>46</v>
      </c>
      <c r="H411" s="31"/>
      <c r="I411" s="31" t="s">
        <v>414</v>
      </c>
      <c r="J411" s="32" t="n">
        <v>1.0</v>
      </c>
      <c r="K411" s="33" t="n">
        <f>65900</f>
        <v>65900.0</v>
      </c>
      <c r="L411" s="34" t="s">
        <v>48</v>
      </c>
      <c r="M411" s="33" t="n">
        <f>68400</f>
        <v>68400.0</v>
      </c>
      <c r="N411" s="34" t="s">
        <v>239</v>
      </c>
      <c r="O411" s="33" t="n">
        <f>63300</f>
        <v>63300.0</v>
      </c>
      <c r="P411" s="34" t="s">
        <v>50</v>
      </c>
      <c r="Q411" s="33" t="n">
        <f>66400</f>
        <v>66400.0</v>
      </c>
      <c r="R411" s="34" t="s">
        <v>51</v>
      </c>
      <c r="S411" s="35" t="n">
        <f>65410.53</f>
        <v>65410.53</v>
      </c>
      <c r="T411" s="32" t="n">
        <f>40657</f>
        <v>40657.0</v>
      </c>
      <c r="U411" s="32" t="n">
        <f>2208</f>
        <v>2208.0</v>
      </c>
      <c r="V411" s="32" t="n">
        <f>2680680668</f>
        <v>2.680680668E9</v>
      </c>
      <c r="W411" s="32" t="n">
        <f>145253568</f>
        <v>1.45253568E8</v>
      </c>
      <c r="X411" s="36" t="n">
        <f>19</f>
        <v>19.0</v>
      </c>
    </row>
    <row r="412">
      <c r="A412" s="27" t="s">
        <v>42</v>
      </c>
      <c r="B412" s="27" t="s">
        <v>1285</v>
      </c>
      <c r="C412" s="27" t="s">
        <v>1286</v>
      </c>
      <c r="D412" s="27" t="s">
        <v>1287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41350</f>
        <v>41350.0</v>
      </c>
      <c r="L412" s="34" t="s">
        <v>48</v>
      </c>
      <c r="M412" s="33" t="n">
        <f>42100</f>
        <v>42100.0</v>
      </c>
      <c r="N412" s="34" t="s">
        <v>61</v>
      </c>
      <c r="O412" s="33" t="n">
        <f>40000</f>
        <v>40000.0</v>
      </c>
      <c r="P412" s="34" t="s">
        <v>159</v>
      </c>
      <c r="Q412" s="33" t="n">
        <f>41500</f>
        <v>41500.0</v>
      </c>
      <c r="R412" s="34" t="s">
        <v>51</v>
      </c>
      <c r="S412" s="35" t="n">
        <f>40781.58</f>
        <v>40781.58</v>
      </c>
      <c r="T412" s="32" t="n">
        <f>109110</f>
        <v>109110.0</v>
      </c>
      <c r="U412" s="32" t="n">
        <f>18338</f>
        <v>18338.0</v>
      </c>
      <c r="V412" s="32" t="n">
        <f>4469014701</f>
        <v>4.469014701E9</v>
      </c>
      <c r="W412" s="32" t="n">
        <f>751951901</f>
        <v>7.51951901E8</v>
      </c>
      <c r="X412" s="36" t="n">
        <f>19</f>
        <v>19.0</v>
      </c>
    </row>
    <row r="413">
      <c r="A413" s="27" t="s">
        <v>42</v>
      </c>
      <c r="B413" s="27" t="s">
        <v>1288</v>
      </c>
      <c r="C413" s="27" t="s">
        <v>1289</v>
      </c>
      <c r="D413" s="27" t="s">
        <v>1290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349000</f>
        <v>349000.0</v>
      </c>
      <c r="L413" s="34" t="s">
        <v>48</v>
      </c>
      <c r="M413" s="33" t="n">
        <f>359000</f>
        <v>359000.0</v>
      </c>
      <c r="N413" s="34" t="s">
        <v>239</v>
      </c>
      <c r="O413" s="33" t="n">
        <f>339500</f>
        <v>339500.0</v>
      </c>
      <c r="P413" s="34" t="s">
        <v>159</v>
      </c>
      <c r="Q413" s="33" t="n">
        <f>356000</f>
        <v>356000.0</v>
      </c>
      <c r="R413" s="34" t="s">
        <v>51</v>
      </c>
      <c r="S413" s="35" t="n">
        <f>347473.68</f>
        <v>347473.68</v>
      </c>
      <c r="T413" s="32" t="n">
        <f>28491</f>
        <v>28491.0</v>
      </c>
      <c r="U413" s="32" t="n">
        <f>5855</f>
        <v>5855.0</v>
      </c>
      <c r="V413" s="32" t="n">
        <f>9929488561</f>
        <v>9.929488561E9</v>
      </c>
      <c r="W413" s="32" t="n">
        <f>2041911061</f>
        <v>2.041911061E9</v>
      </c>
      <c r="X413" s="36" t="n">
        <f>19</f>
        <v>19.0</v>
      </c>
    </row>
    <row r="414">
      <c r="A414" s="27" t="s">
        <v>42</v>
      </c>
      <c r="B414" s="27" t="s">
        <v>1291</v>
      </c>
      <c r="C414" s="27" t="s">
        <v>1292</v>
      </c>
      <c r="D414" s="27" t="s">
        <v>1293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139000</f>
        <v>139000.0</v>
      </c>
      <c r="L414" s="34" t="s">
        <v>48</v>
      </c>
      <c r="M414" s="33" t="n">
        <f>156000</f>
        <v>156000.0</v>
      </c>
      <c r="N414" s="34" t="s">
        <v>61</v>
      </c>
      <c r="O414" s="33" t="n">
        <f>137400</f>
        <v>137400.0</v>
      </c>
      <c r="P414" s="34" t="s">
        <v>159</v>
      </c>
      <c r="Q414" s="33" t="n">
        <f>150500</f>
        <v>150500.0</v>
      </c>
      <c r="R414" s="34" t="s">
        <v>51</v>
      </c>
      <c r="S414" s="35" t="n">
        <f>142963.16</f>
        <v>142963.16</v>
      </c>
      <c r="T414" s="32" t="n">
        <f>54357</f>
        <v>54357.0</v>
      </c>
      <c r="U414" s="32" t="n">
        <f>11403</f>
        <v>11403.0</v>
      </c>
      <c r="V414" s="32" t="n">
        <f>7868614298</f>
        <v>7.868614298E9</v>
      </c>
      <c r="W414" s="32" t="n">
        <f>1653685798</f>
        <v>1.653685798E9</v>
      </c>
      <c r="X414" s="36" t="n">
        <f>19</f>
        <v>19.0</v>
      </c>
    </row>
    <row r="415">
      <c r="A415" s="27" t="s">
        <v>42</v>
      </c>
      <c r="B415" s="27" t="s">
        <v>1294</v>
      </c>
      <c r="C415" s="27" t="s">
        <v>1295</v>
      </c>
      <c r="D415" s="27" t="s">
        <v>1296</v>
      </c>
      <c r="E415" s="28" t="s">
        <v>46</v>
      </c>
      <c r="F415" s="29" t="s">
        <v>46</v>
      </c>
      <c r="G415" s="30" t="s">
        <v>46</v>
      </c>
      <c r="H415" s="31"/>
      <c r="I415" s="31" t="s">
        <v>414</v>
      </c>
      <c r="J415" s="32" t="n">
        <v>1.0</v>
      </c>
      <c r="K415" s="33" t="n">
        <f>112900</f>
        <v>112900.0</v>
      </c>
      <c r="L415" s="34" t="s">
        <v>48</v>
      </c>
      <c r="M415" s="33" t="n">
        <f>118100</f>
        <v>118100.0</v>
      </c>
      <c r="N415" s="34" t="s">
        <v>61</v>
      </c>
      <c r="O415" s="33" t="n">
        <f>112900</f>
        <v>112900.0</v>
      </c>
      <c r="P415" s="34" t="s">
        <v>48</v>
      </c>
      <c r="Q415" s="33" t="n">
        <f>116300</f>
        <v>116300.0</v>
      </c>
      <c r="R415" s="34" t="s">
        <v>51</v>
      </c>
      <c r="S415" s="35" t="n">
        <f>114963.16</f>
        <v>114963.16</v>
      </c>
      <c r="T415" s="32" t="n">
        <f>21661</f>
        <v>21661.0</v>
      </c>
      <c r="U415" s="32" t="n">
        <f>2846</f>
        <v>2846.0</v>
      </c>
      <c r="V415" s="32" t="n">
        <f>2493762242</f>
        <v>2.493762242E9</v>
      </c>
      <c r="W415" s="32" t="n">
        <f>328257442</f>
        <v>3.28257442E8</v>
      </c>
      <c r="X415" s="36" t="n">
        <f>19</f>
        <v>19.0</v>
      </c>
    </row>
    <row r="416">
      <c r="A416" s="27" t="s">
        <v>42</v>
      </c>
      <c r="B416" s="27" t="s">
        <v>1297</v>
      </c>
      <c r="C416" s="27" t="s">
        <v>1298</v>
      </c>
      <c r="D416" s="27" t="s">
        <v>1299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87100</f>
        <v>87100.0</v>
      </c>
      <c r="L416" s="34" t="s">
        <v>48</v>
      </c>
      <c r="M416" s="33" t="n">
        <f>89200</f>
        <v>89200.0</v>
      </c>
      <c r="N416" s="34" t="s">
        <v>61</v>
      </c>
      <c r="O416" s="33" t="n">
        <f>85700</f>
        <v>85700.0</v>
      </c>
      <c r="P416" s="34" t="s">
        <v>99</v>
      </c>
      <c r="Q416" s="33" t="n">
        <f>88600</f>
        <v>88600.0</v>
      </c>
      <c r="R416" s="34" t="s">
        <v>51</v>
      </c>
      <c r="S416" s="35" t="n">
        <f>87100</f>
        <v>87100.0</v>
      </c>
      <c r="T416" s="32" t="n">
        <f>71242</f>
        <v>71242.0</v>
      </c>
      <c r="U416" s="32" t="n">
        <f>9827</f>
        <v>9827.0</v>
      </c>
      <c r="V416" s="32" t="n">
        <f>6217412064</f>
        <v>6.217412064E9</v>
      </c>
      <c r="W416" s="32" t="n">
        <f>857592764</f>
        <v>8.57592764E8</v>
      </c>
      <c r="X416" s="36" t="n">
        <f>19</f>
        <v>19.0</v>
      </c>
    </row>
    <row r="417">
      <c r="A417" s="27" t="s">
        <v>42</v>
      </c>
      <c r="B417" s="27" t="s">
        <v>1300</v>
      </c>
      <c r="C417" s="27" t="s">
        <v>1301</v>
      </c>
      <c r="D417" s="27" t="s">
        <v>1302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1.0</v>
      </c>
      <c r="K417" s="33" t="n">
        <f>123200</f>
        <v>123200.0</v>
      </c>
      <c r="L417" s="34" t="s">
        <v>48</v>
      </c>
      <c r="M417" s="33" t="n">
        <f>125700</f>
        <v>125700.0</v>
      </c>
      <c r="N417" s="34" t="s">
        <v>61</v>
      </c>
      <c r="O417" s="33" t="n">
        <f>117600</f>
        <v>117600.0</v>
      </c>
      <c r="P417" s="34" t="s">
        <v>103</v>
      </c>
      <c r="Q417" s="33" t="n">
        <f>123500</f>
        <v>123500.0</v>
      </c>
      <c r="R417" s="34" t="s">
        <v>51</v>
      </c>
      <c r="S417" s="35" t="n">
        <f>121526.32</f>
        <v>121526.32</v>
      </c>
      <c r="T417" s="32" t="n">
        <f>467105</f>
        <v>467105.0</v>
      </c>
      <c r="U417" s="32" t="n">
        <f>90004</f>
        <v>90004.0</v>
      </c>
      <c r="V417" s="32" t="n">
        <f>56889509139</f>
        <v>5.6889509139E10</v>
      </c>
      <c r="W417" s="32" t="n">
        <f>10982133739</f>
        <v>1.0982133739E10</v>
      </c>
      <c r="X417" s="36" t="n">
        <f>19</f>
        <v>19.0</v>
      </c>
    </row>
    <row r="418">
      <c r="A418" s="27" t="s">
        <v>42</v>
      </c>
      <c r="B418" s="27" t="s">
        <v>1303</v>
      </c>
      <c r="C418" s="27" t="s">
        <v>1304</v>
      </c>
      <c r="D418" s="27" t="s">
        <v>1305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108900</f>
        <v>108900.0</v>
      </c>
      <c r="L418" s="34" t="s">
        <v>48</v>
      </c>
      <c r="M418" s="33" t="n">
        <f>112200</f>
        <v>112200.0</v>
      </c>
      <c r="N418" s="34" t="s">
        <v>61</v>
      </c>
      <c r="O418" s="33" t="n">
        <f>102300</f>
        <v>102300.0</v>
      </c>
      <c r="P418" s="34" t="s">
        <v>103</v>
      </c>
      <c r="Q418" s="33" t="n">
        <f>109400</f>
        <v>109400.0</v>
      </c>
      <c r="R418" s="34" t="s">
        <v>51</v>
      </c>
      <c r="S418" s="35" t="n">
        <f>106126.32</f>
        <v>106126.32</v>
      </c>
      <c r="T418" s="32" t="n">
        <f>597568</f>
        <v>597568.0</v>
      </c>
      <c r="U418" s="32" t="n">
        <f>120496</f>
        <v>120496.0</v>
      </c>
      <c r="V418" s="32" t="n">
        <f>63672004562</f>
        <v>6.3672004562E10</v>
      </c>
      <c r="W418" s="32" t="n">
        <f>12806175662</f>
        <v>1.2806175662E10</v>
      </c>
      <c r="X418" s="36" t="n">
        <f>19</f>
        <v>19.0</v>
      </c>
    </row>
    <row r="419">
      <c r="A419" s="27" t="s">
        <v>42</v>
      </c>
      <c r="B419" s="27" t="s">
        <v>1306</v>
      </c>
      <c r="C419" s="27" t="s">
        <v>1307</v>
      </c>
      <c r="D419" s="27" t="s">
        <v>1308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91600</f>
        <v>91600.0</v>
      </c>
      <c r="L419" s="34" t="s">
        <v>48</v>
      </c>
      <c r="M419" s="33" t="n">
        <f>95900</f>
        <v>95900.0</v>
      </c>
      <c r="N419" s="34" t="s">
        <v>61</v>
      </c>
      <c r="O419" s="33" t="n">
        <f>87800</f>
        <v>87800.0</v>
      </c>
      <c r="P419" s="34" t="s">
        <v>50</v>
      </c>
      <c r="Q419" s="33" t="n">
        <f>94500</f>
        <v>94500.0</v>
      </c>
      <c r="R419" s="34" t="s">
        <v>51</v>
      </c>
      <c r="S419" s="35" t="n">
        <f>90473.68</f>
        <v>90473.68</v>
      </c>
      <c r="T419" s="32" t="n">
        <f>557240</f>
        <v>557240.0</v>
      </c>
      <c r="U419" s="32" t="n">
        <f>135313</f>
        <v>135313.0</v>
      </c>
      <c r="V419" s="32" t="n">
        <f>50672560709</f>
        <v>5.0672560709E10</v>
      </c>
      <c r="W419" s="32" t="n">
        <f>12281796109</f>
        <v>1.2281796109E10</v>
      </c>
      <c r="X419" s="36" t="n">
        <f>19</f>
        <v>19.0</v>
      </c>
    </row>
    <row r="420">
      <c r="A420" s="27" t="s">
        <v>42</v>
      </c>
      <c r="B420" s="27" t="s">
        <v>1309</v>
      </c>
      <c r="C420" s="27" t="s">
        <v>1310</v>
      </c>
      <c r="D420" s="27" t="s">
        <v>1311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165400</f>
        <v>165400.0</v>
      </c>
      <c r="L420" s="34" t="s">
        <v>48</v>
      </c>
      <c r="M420" s="33" t="n">
        <f>174400</f>
        <v>174400.0</v>
      </c>
      <c r="N420" s="34" t="s">
        <v>61</v>
      </c>
      <c r="O420" s="33" t="n">
        <f>159900</f>
        <v>159900.0</v>
      </c>
      <c r="P420" s="34" t="s">
        <v>159</v>
      </c>
      <c r="Q420" s="33" t="n">
        <f>172400</f>
        <v>172400.0</v>
      </c>
      <c r="R420" s="34" t="s">
        <v>51</v>
      </c>
      <c r="S420" s="35" t="n">
        <f>165426.32</f>
        <v>165426.32</v>
      </c>
      <c r="T420" s="32" t="n">
        <f>178379</f>
        <v>178379.0</v>
      </c>
      <c r="U420" s="32" t="n">
        <f>39064</f>
        <v>39064.0</v>
      </c>
      <c r="V420" s="32" t="n">
        <f>29646291778</f>
        <v>2.9646291778E10</v>
      </c>
      <c r="W420" s="32" t="n">
        <f>6499346578</f>
        <v>6.499346578E9</v>
      </c>
      <c r="X420" s="36" t="n">
        <f>19</f>
        <v>19.0</v>
      </c>
    </row>
    <row r="421">
      <c r="A421" s="27" t="s">
        <v>42</v>
      </c>
      <c r="B421" s="27" t="s">
        <v>1312</v>
      </c>
      <c r="C421" s="27" t="s">
        <v>1313</v>
      </c>
      <c r="D421" s="27" t="s">
        <v>1314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317500</f>
        <v>317500.0</v>
      </c>
      <c r="L421" s="34" t="s">
        <v>48</v>
      </c>
      <c r="M421" s="33" t="n">
        <f>348000</f>
        <v>348000.0</v>
      </c>
      <c r="N421" s="34" t="s">
        <v>239</v>
      </c>
      <c r="O421" s="33" t="n">
        <f>317000</f>
        <v>317000.0</v>
      </c>
      <c r="P421" s="34" t="s">
        <v>634</v>
      </c>
      <c r="Q421" s="33" t="n">
        <f>342000</f>
        <v>342000.0</v>
      </c>
      <c r="R421" s="34" t="s">
        <v>51</v>
      </c>
      <c r="S421" s="35" t="n">
        <f>326657.89</f>
        <v>326657.89</v>
      </c>
      <c r="T421" s="32" t="n">
        <f>48517</f>
        <v>48517.0</v>
      </c>
      <c r="U421" s="32" t="n">
        <f>13570</f>
        <v>13570.0</v>
      </c>
      <c r="V421" s="32" t="n">
        <f>15928379407</f>
        <v>1.5928379407E10</v>
      </c>
      <c r="W421" s="32" t="n">
        <f>4452097407</f>
        <v>4.452097407E9</v>
      </c>
      <c r="X421" s="36" t="n">
        <f>19</f>
        <v>19.0</v>
      </c>
    </row>
    <row r="422">
      <c r="A422" s="27" t="s">
        <v>42</v>
      </c>
      <c r="B422" s="27" t="s">
        <v>1315</v>
      </c>
      <c r="C422" s="27" t="s">
        <v>1316</v>
      </c>
      <c r="D422" s="27" t="s">
        <v>1317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121400</f>
        <v>121400.0</v>
      </c>
      <c r="L422" s="34" t="s">
        <v>48</v>
      </c>
      <c r="M422" s="33" t="n">
        <f>135800</f>
        <v>135800.0</v>
      </c>
      <c r="N422" s="34" t="s">
        <v>61</v>
      </c>
      <c r="O422" s="33" t="n">
        <f>116700</f>
        <v>116700.0</v>
      </c>
      <c r="P422" s="34" t="s">
        <v>99</v>
      </c>
      <c r="Q422" s="33" t="n">
        <f>132200</f>
        <v>132200.0</v>
      </c>
      <c r="R422" s="34" t="s">
        <v>51</v>
      </c>
      <c r="S422" s="35" t="n">
        <f>122068.42</f>
        <v>122068.42</v>
      </c>
      <c r="T422" s="32" t="n">
        <f>194741</f>
        <v>194741.0</v>
      </c>
      <c r="U422" s="32" t="n">
        <f>37504</f>
        <v>37504.0</v>
      </c>
      <c r="V422" s="32" t="n">
        <f>24679150093</f>
        <v>2.4679150093E10</v>
      </c>
      <c r="W422" s="32" t="n">
        <f>4768932293</f>
        <v>4.768932293E9</v>
      </c>
      <c r="X422" s="36" t="n">
        <f>19</f>
        <v>19.0</v>
      </c>
    </row>
    <row r="423">
      <c r="A423" s="27" t="s">
        <v>42</v>
      </c>
      <c r="B423" s="27" t="s">
        <v>1318</v>
      </c>
      <c r="C423" s="27" t="s">
        <v>1319</v>
      </c>
      <c r="D423" s="27" t="s">
        <v>1320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158800</f>
        <v>158800.0</v>
      </c>
      <c r="L423" s="34" t="s">
        <v>48</v>
      </c>
      <c r="M423" s="33" t="n">
        <f>166000</f>
        <v>166000.0</v>
      </c>
      <c r="N423" s="34" t="s">
        <v>61</v>
      </c>
      <c r="O423" s="33" t="n">
        <f>153800</f>
        <v>153800.0</v>
      </c>
      <c r="P423" s="34" t="s">
        <v>159</v>
      </c>
      <c r="Q423" s="33" t="n">
        <f>162500</f>
        <v>162500.0</v>
      </c>
      <c r="R423" s="34" t="s">
        <v>51</v>
      </c>
      <c r="S423" s="35" t="n">
        <f>157694.74</f>
        <v>157694.74</v>
      </c>
      <c r="T423" s="32" t="n">
        <f>66325</f>
        <v>66325.0</v>
      </c>
      <c r="U423" s="32" t="n">
        <f>8292</f>
        <v>8292.0</v>
      </c>
      <c r="V423" s="32" t="n">
        <f>10558911881</f>
        <v>1.0558911881E10</v>
      </c>
      <c r="W423" s="32" t="n">
        <f>1316560181</f>
        <v>1.316560181E9</v>
      </c>
      <c r="X423" s="36" t="n">
        <f>19</f>
        <v>19.0</v>
      </c>
    </row>
    <row r="424">
      <c r="A424" s="27" t="s">
        <v>42</v>
      </c>
      <c r="B424" s="27" t="s">
        <v>1321</v>
      </c>
      <c r="C424" s="27" t="s">
        <v>1322</v>
      </c>
      <c r="D424" s="27" t="s">
        <v>1323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100000</f>
        <v>100000.0</v>
      </c>
      <c r="L424" s="34" t="s">
        <v>48</v>
      </c>
      <c r="M424" s="33" t="n">
        <f>106700</f>
        <v>106700.0</v>
      </c>
      <c r="N424" s="34" t="s">
        <v>239</v>
      </c>
      <c r="O424" s="33" t="n">
        <f>98700</f>
        <v>98700.0</v>
      </c>
      <c r="P424" s="34" t="s">
        <v>159</v>
      </c>
      <c r="Q424" s="33" t="n">
        <f>105300</f>
        <v>105300.0</v>
      </c>
      <c r="R424" s="34" t="s">
        <v>51</v>
      </c>
      <c r="S424" s="35" t="n">
        <f>101736.84</f>
        <v>101736.84</v>
      </c>
      <c r="T424" s="32" t="n">
        <f>80692</f>
        <v>80692.0</v>
      </c>
      <c r="U424" s="32" t="n">
        <f>16236</f>
        <v>16236.0</v>
      </c>
      <c r="V424" s="32" t="n">
        <f>8269675616</f>
        <v>8.269675616E9</v>
      </c>
      <c r="W424" s="32" t="n">
        <f>1667309316</f>
        <v>1.667309316E9</v>
      </c>
      <c r="X424" s="36" t="n">
        <f>19</f>
        <v>19.0</v>
      </c>
    </row>
    <row r="425">
      <c r="A425" s="27" t="s">
        <v>42</v>
      </c>
      <c r="B425" s="27" t="s">
        <v>1324</v>
      </c>
      <c r="C425" s="27" t="s">
        <v>1325</v>
      </c>
      <c r="D425" s="27" t="s">
        <v>1326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142700</f>
        <v>142700.0</v>
      </c>
      <c r="L425" s="34" t="s">
        <v>48</v>
      </c>
      <c r="M425" s="33" t="n">
        <f>152400</f>
        <v>152400.0</v>
      </c>
      <c r="N425" s="34" t="s">
        <v>239</v>
      </c>
      <c r="O425" s="33" t="n">
        <f>140400</f>
        <v>140400.0</v>
      </c>
      <c r="P425" s="34" t="s">
        <v>634</v>
      </c>
      <c r="Q425" s="33" t="n">
        <f>150400</f>
        <v>150400.0</v>
      </c>
      <c r="R425" s="34" t="s">
        <v>51</v>
      </c>
      <c r="S425" s="35" t="n">
        <f>145084.21</f>
        <v>145084.21</v>
      </c>
      <c r="T425" s="32" t="n">
        <f>227112</f>
        <v>227112.0</v>
      </c>
      <c r="U425" s="32" t="n">
        <f>55747</f>
        <v>55747.0</v>
      </c>
      <c r="V425" s="32" t="n">
        <f>32985757036</f>
        <v>3.2985757036E10</v>
      </c>
      <c r="W425" s="32" t="n">
        <f>8090338536</f>
        <v>8.090338536E9</v>
      </c>
      <c r="X425" s="36" t="n">
        <f>19</f>
        <v>19.0</v>
      </c>
    </row>
    <row r="426">
      <c r="A426" s="27" t="s">
        <v>42</v>
      </c>
      <c r="B426" s="27" t="s">
        <v>1327</v>
      </c>
      <c r="C426" s="27" t="s">
        <v>1328</v>
      </c>
      <c r="D426" s="27" t="s">
        <v>1329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62400</f>
        <v>62400.0</v>
      </c>
      <c r="L426" s="34" t="s">
        <v>48</v>
      </c>
      <c r="M426" s="33" t="n">
        <f>63900</f>
        <v>63900.0</v>
      </c>
      <c r="N426" s="34" t="s">
        <v>239</v>
      </c>
      <c r="O426" s="33" t="n">
        <f>61300</f>
        <v>61300.0</v>
      </c>
      <c r="P426" s="34" t="s">
        <v>69</v>
      </c>
      <c r="Q426" s="33" t="n">
        <f>63300</f>
        <v>63300.0</v>
      </c>
      <c r="R426" s="34" t="s">
        <v>51</v>
      </c>
      <c r="S426" s="35" t="n">
        <f>62210.53</f>
        <v>62210.53</v>
      </c>
      <c r="T426" s="32" t="n">
        <f>128862</f>
        <v>128862.0</v>
      </c>
      <c r="U426" s="32" t="n">
        <f>29774</f>
        <v>29774.0</v>
      </c>
      <c r="V426" s="32" t="n">
        <f>8044848897</f>
        <v>8.044848897E9</v>
      </c>
      <c r="W426" s="32" t="n">
        <f>1855866397</f>
        <v>1.855866397E9</v>
      </c>
      <c r="X426" s="36" t="n">
        <f>19</f>
        <v>19.0</v>
      </c>
    </row>
    <row r="427">
      <c r="A427" s="27" t="s">
        <v>42</v>
      </c>
      <c r="B427" s="27" t="s">
        <v>1330</v>
      </c>
      <c r="C427" s="27" t="s">
        <v>1331</v>
      </c>
      <c r="D427" s="27" t="s">
        <v>1332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66500</f>
        <v>66500.0</v>
      </c>
      <c r="L427" s="34" t="s">
        <v>48</v>
      </c>
      <c r="M427" s="33" t="n">
        <f>69000</f>
        <v>69000.0</v>
      </c>
      <c r="N427" s="34" t="s">
        <v>239</v>
      </c>
      <c r="O427" s="33" t="n">
        <f>64900</f>
        <v>64900.0</v>
      </c>
      <c r="P427" s="34" t="s">
        <v>634</v>
      </c>
      <c r="Q427" s="33" t="n">
        <f>67800</f>
        <v>67800.0</v>
      </c>
      <c r="R427" s="34" t="s">
        <v>51</v>
      </c>
      <c r="S427" s="35" t="n">
        <f>66636.84</f>
        <v>66636.84</v>
      </c>
      <c r="T427" s="32" t="n">
        <f>599817</f>
        <v>599817.0</v>
      </c>
      <c r="U427" s="32" t="n">
        <f>145295</f>
        <v>145295.0</v>
      </c>
      <c r="V427" s="32" t="n">
        <f>40051602092</f>
        <v>4.0051602092E10</v>
      </c>
      <c r="W427" s="32" t="n">
        <f>9675178992</f>
        <v>9.675178992E9</v>
      </c>
      <c r="X427" s="36" t="n">
        <f>19</f>
        <v>19.0</v>
      </c>
    </row>
    <row r="428">
      <c r="A428" s="27" t="s">
        <v>42</v>
      </c>
      <c r="B428" s="27" t="s">
        <v>1333</v>
      </c>
      <c r="C428" s="27" t="s">
        <v>1334</v>
      </c>
      <c r="D428" s="27" t="s">
        <v>1335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78100</f>
        <v>78100.0</v>
      </c>
      <c r="L428" s="34" t="s">
        <v>48</v>
      </c>
      <c r="M428" s="33" t="n">
        <f>81700</f>
        <v>81700.0</v>
      </c>
      <c r="N428" s="34" t="s">
        <v>239</v>
      </c>
      <c r="O428" s="33" t="n">
        <f>77000</f>
        <v>77000.0</v>
      </c>
      <c r="P428" s="34" t="s">
        <v>634</v>
      </c>
      <c r="Q428" s="33" t="n">
        <f>81000</f>
        <v>81000.0</v>
      </c>
      <c r="R428" s="34" t="s">
        <v>51</v>
      </c>
      <c r="S428" s="35" t="n">
        <f>78831.58</f>
        <v>78831.58</v>
      </c>
      <c r="T428" s="32" t="n">
        <f>148604</f>
        <v>148604.0</v>
      </c>
      <c r="U428" s="32" t="n">
        <f>33524</f>
        <v>33524.0</v>
      </c>
      <c r="V428" s="32" t="n">
        <f>11732668467</f>
        <v>1.1732668467E10</v>
      </c>
      <c r="W428" s="32" t="n">
        <f>2645408667</f>
        <v>2.645408667E9</v>
      </c>
      <c r="X428" s="36" t="n">
        <f>19</f>
        <v>19.0</v>
      </c>
    </row>
    <row r="429">
      <c r="A429" s="27" t="s">
        <v>42</v>
      </c>
      <c r="B429" s="27" t="s">
        <v>1336</v>
      </c>
      <c r="C429" s="27" t="s">
        <v>1337</v>
      </c>
      <c r="D429" s="27" t="s">
        <v>1338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121900</f>
        <v>121900.0</v>
      </c>
      <c r="L429" s="34" t="s">
        <v>48</v>
      </c>
      <c r="M429" s="33" t="n">
        <f>130200</f>
        <v>130200.0</v>
      </c>
      <c r="N429" s="34" t="s">
        <v>239</v>
      </c>
      <c r="O429" s="33" t="n">
        <f>121500</f>
        <v>121500.0</v>
      </c>
      <c r="P429" s="34" t="s">
        <v>48</v>
      </c>
      <c r="Q429" s="33" t="n">
        <f>128200</f>
        <v>128200.0</v>
      </c>
      <c r="R429" s="34" t="s">
        <v>51</v>
      </c>
      <c r="S429" s="35" t="n">
        <f>125057.89</f>
        <v>125057.89</v>
      </c>
      <c r="T429" s="32" t="n">
        <f>77087</f>
        <v>77087.0</v>
      </c>
      <c r="U429" s="32" t="n">
        <f>14291</f>
        <v>14291.0</v>
      </c>
      <c r="V429" s="32" t="n">
        <f>9651075513</f>
        <v>9.651075513E9</v>
      </c>
      <c r="W429" s="32" t="n">
        <f>1788097413</f>
        <v>1.788097413E9</v>
      </c>
      <c r="X429" s="36" t="n">
        <f>19</f>
        <v>19.0</v>
      </c>
    </row>
    <row r="430">
      <c r="A430" s="27" t="s">
        <v>42</v>
      </c>
      <c r="B430" s="27" t="s">
        <v>1339</v>
      </c>
      <c r="C430" s="27" t="s">
        <v>1340</v>
      </c>
      <c r="D430" s="27" t="s">
        <v>1341</v>
      </c>
      <c r="E430" s="28" t="s">
        <v>1223</v>
      </c>
      <c r="F430" s="29" t="s">
        <v>1224</v>
      </c>
      <c r="G430" s="30" t="s">
        <v>46</v>
      </c>
      <c r="H430" s="31"/>
      <c r="I430" s="31" t="s">
        <v>47</v>
      </c>
      <c r="J430" s="32" t="n">
        <v>1.0</v>
      </c>
      <c r="K430" s="33" t="n">
        <f>265600</f>
        <v>265600.0</v>
      </c>
      <c r="L430" s="34" t="s">
        <v>48</v>
      </c>
      <c r="M430" s="33" t="n">
        <f>275700</f>
        <v>275700.0</v>
      </c>
      <c r="N430" s="34" t="s">
        <v>61</v>
      </c>
      <c r="O430" s="33" t="n">
        <f>258000</f>
        <v>258000.0</v>
      </c>
      <c r="P430" s="34" t="s">
        <v>159</v>
      </c>
      <c r="Q430" s="33" t="n">
        <f>270500</f>
        <v>270500.0</v>
      </c>
      <c r="R430" s="34" t="s">
        <v>61</v>
      </c>
      <c r="S430" s="35" t="n">
        <f>264111.76</f>
        <v>264111.76</v>
      </c>
      <c r="T430" s="32" t="n">
        <f>43101</f>
        <v>43101.0</v>
      </c>
      <c r="U430" s="32" t="n">
        <f>7677</f>
        <v>7677.0</v>
      </c>
      <c r="V430" s="32" t="n">
        <f>11470435668</f>
        <v>1.1470435668E10</v>
      </c>
      <c r="W430" s="32" t="n">
        <f>2033606668</f>
        <v>2.033606668E9</v>
      </c>
      <c r="X430" s="36" t="n">
        <f>17</f>
        <v>17.0</v>
      </c>
    </row>
    <row r="431">
      <c r="A431" s="27" t="s">
        <v>42</v>
      </c>
      <c r="B431" s="27" t="s">
        <v>1339</v>
      </c>
      <c r="C431" s="27" t="s">
        <v>1340</v>
      </c>
      <c r="D431" s="27" t="s">
        <v>1341</v>
      </c>
      <c r="E431" s="28" t="s">
        <v>1223</v>
      </c>
      <c r="F431" s="29" t="s">
        <v>1224</v>
      </c>
      <c r="G431" s="30" t="s">
        <v>46</v>
      </c>
      <c r="H431" s="31"/>
      <c r="I431" s="31" t="s">
        <v>47</v>
      </c>
      <c r="J431" s="32" t="n">
        <v>1.0</v>
      </c>
      <c r="K431" s="33" t="n">
        <f>88700</f>
        <v>88700.0</v>
      </c>
      <c r="L431" s="34" t="s">
        <v>71</v>
      </c>
      <c r="M431" s="33" t="n">
        <f>90200</f>
        <v>90200.0</v>
      </c>
      <c r="N431" s="34" t="s">
        <v>51</v>
      </c>
      <c r="O431" s="33" t="n">
        <f>87900</f>
        <v>87900.0</v>
      </c>
      <c r="P431" s="34" t="s">
        <v>71</v>
      </c>
      <c r="Q431" s="33" t="n">
        <f>89900</f>
        <v>89900.0</v>
      </c>
      <c r="R431" s="34" t="s">
        <v>51</v>
      </c>
      <c r="S431" s="35" t="n">
        <f>89400</f>
        <v>89400.0</v>
      </c>
      <c r="T431" s="32" t="n">
        <f>19978</f>
        <v>19978.0</v>
      </c>
      <c r="U431" s="32" t="n">
        <f>4362</f>
        <v>4362.0</v>
      </c>
      <c r="V431" s="32" t="n">
        <f>1782728520</f>
        <v>1.78272852E9</v>
      </c>
      <c r="W431" s="32" t="n">
        <f>389283720</f>
        <v>3.8928372E8</v>
      </c>
      <c r="X431" s="36" t="n">
        <f>2</f>
        <v>2.0</v>
      </c>
    </row>
    <row r="432">
      <c r="A432" s="27" t="s">
        <v>42</v>
      </c>
      <c r="B432" s="27" t="s">
        <v>1342</v>
      </c>
      <c r="C432" s="27" t="s">
        <v>1343</v>
      </c>
      <c r="D432" s="27" t="s">
        <v>1344</v>
      </c>
      <c r="E432" s="28" t="s">
        <v>46</v>
      </c>
      <c r="F432" s="29" t="s">
        <v>46</v>
      </c>
      <c r="G432" s="30" t="s">
        <v>46</v>
      </c>
      <c r="H432" s="31"/>
      <c r="I432" s="31" t="s">
        <v>47</v>
      </c>
      <c r="J432" s="32" t="n">
        <v>1.0</v>
      </c>
      <c r="K432" s="33" t="n">
        <f>147900</f>
        <v>147900.0</v>
      </c>
      <c r="L432" s="34" t="s">
        <v>48</v>
      </c>
      <c r="M432" s="33" t="n">
        <f>149400</f>
        <v>149400.0</v>
      </c>
      <c r="N432" s="34" t="s">
        <v>61</v>
      </c>
      <c r="O432" s="33" t="n">
        <f>142200</f>
        <v>142200.0</v>
      </c>
      <c r="P432" s="34" t="s">
        <v>103</v>
      </c>
      <c r="Q432" s="33" t="n">
        <f>147100</f>
        <v>147100.0</v>
      </c>
      <c r="R432" s="34" t="s">
        <v>51</v>
      </c>
      <c r="S432" s="35" t="n">
        <f>145531.58</f>
        <v>145531.58</v>
      </c>
      <c r="T432" s="32" t="n">
        <f>51376</f>
        <v>51376.0</v>
      </c>
      <c r="U432" s="32" t="n">
        <f>7697</f>
        <v>7697.0</v>
      </c>
      <c r="V432" s="32" t="n">
        <f>7493330682</f>
        <v>7.493330682E9</v>
      </c>
      <c r="W432" s="32" t="n">
        <f>1123233782</f>
        <v>1.123233782E9</v>
      </c>
      <c r="X432" s="36" t="n">
        <f>19</f>
        <v>19.0</v>
      </c>
    </row>
    <row r="433">
      <c r="A433" s="27" t="s">
        <v>42</v>
      </c>
      <c r="B433" s="27" t="s">
        <v>1345</v>
      </c>
      <c r="C433" s="27" t="s">
        <v>1346</v>
      </c>
      <c r="D433" s="27" t="s">
        <v>1347</v>
      </c>
      <c r="E433" s="28" t="s">
        <v>46</v>
      </c>
      <c r="F433" s="29" t="s">
        <v>46</v>
      </c>
      <c r="G433" s="30" t="s">
        <v>46</v>
      </c>
      <c r="H433" s="31"/>
      <c r="I433" s="31" t="s">
        <v>47</v>
      </c>
      <c r="J433" s="32" t="n">
        <v>1.0</v>
      </c>
      <c r="K433" s="33" t="n">
        <f>151900</f>
        <v>151900.0</v>
      </c>
      <c r="L433" s="34" t="s">
        <v>48</v>
      </c>
      <c r="M433" s="33" t="n">
        <f>158400</f>
        <v>158400.0</v>
      </c>
      <c r="N433" s="34" t="s">
        <v>239</v>
      </c>
      <c r="O433" s="33" t="n">
        <f>144200</f>
        <v>144200.0</v>
      </c>
      <c r="P433" s="34" t="s">
        <v>50</v>
      </c>
      <c r="Q433" s="33" t="n">
        <f>155100</f>
        <v>155100.0</v>
      </c>
      <c r="R433" s="34" t="s">
        <v>51</v>
      </c>
      <c r="S433" s="35" t="n">
        <f>149336.84</f>
        <v>149336.84</v>
      </c>
      <c r="T433" s="32" t="n">
        <f>294672</f>
        <v>294672.0</v>
      </c>
      <c r="U433" s="32" t="n">
        <f>84002</f>
        <v>84002.0</v>
      </c>
      <c r="V433" s="32" t="n">
        <f>44136493543</f>
        <v>4.4136493543E10</v>
      </c>
      <c r="W433" s="32" t="n">
        <f>12549664943</f>
        <v>1.2549664943E10</v>
      </c>
      <c r="X433" s="36" t="n">
        <f>19</f>
        <v>19.0</v>
      </c>
    </row>
    <row r="434">
      <c r="A434" s="27" t="s">
        <v>42</v>
      </c>
      <c r="B434" s="27" t="s">
        <v>1348</v>
      </c>
      <c r="C434" s="27" t="s">
        <v>1349</v>
      </c>
      <c r="D434" s="27" t="s">
        <v>1350</v>
      </c>
      <c r="E434" s="28" t="s">
        <v>46</v>
      </c>
      <c r="F434" s="29" t="s">
        <v>46</v>
      </c>
      <c r="G434" s="30" t="s">
        <v>46</v>
      </c>
      <c r="H434" s="31"/>
      <c r="I434" s="31" t="s">
        <v>47</v>
      </c>
      <c r="J434" s="32" t="n">
        <v>1.0</v>
      </c>
      <c r="K434" s="33" t="n">
        <f>80900</f>
        <v>80900.0</v>
      </c>
      <c r="L434" s="34" t="s">
        <v>48</v>
      </c>
      <c r="M434" s="33" t="n">
        <f>85500</f>
        <v>85500.0</v>
      </c>
      <c r="N434" s="34" t="s">
        <v>239</v>
      </c>
      <c r="O434" s="33" t="n">
        <f>79400</f>
        <v>79400.0</v>
      </c>
      <c r="P434" s="34" t="s">
        <v>69</v>
      </c>
      <c r="Q434" s="33" t="n">
        <f>82900</f>
        <v>82900.0</v>
      </c>
      <c r="R434" s="34" t="s">
        <v>51</v>
      </c>
      <c r="S434" s="35" t="n">
        <f>81315.79</f>
        <v>81315.79</v>
      </c>
      <c r="T434" s="32" t="n">
        <f>75316</f>
        <v>75316.0</v>
      </c>
      <c r="U434" s="32" t="n">
        <f>13410</f>
        <v>13410.0</v>
      </c>
      <c r="V434" s="32" t="n">
        <f>6158217775</f>
        <v>6.158217775E9</v>
      </c>
      <c r="W434" s="32" t="n">
        <f>1093731775</f>
        <v>1.093731775E9</v>
      </c>
      <c r="X434" s="36" t="n">
        <f>19</f>
        <v>19.0</v>
      </c>
    </row>
    <row r="435">
      <c r="A435" s="27" t="s">
        <v>42</v>
      </c>
      <c r="B435" s="27" t="s">
        <v>1351</v>
      </c>
      <c r="C435" s="27" t="s">
        <v>1352</v>
      </c>
      <c r="D435" s="27" t="s">
        <v>1353</v>
      </c>
      <c r="E435" s="28" t="s">
        <v>46</v>
      </c>
      <c r="F435" s="29" t="s">
        <v>46</v>
      </c>
      <c r="G435" s="30" t="s">
        <v>46</v>
      </c>
      <c r="H435" s="31"/>
      <c r="I435" s="31" t="s">
        <v>47</v>
      </c>
      <c r="J435" s="32" t="n">
        <v>1.0</v>
      </c>
      <c r="K435" s="33" t="n">
        <f>288500</f>
        <v>288500.0</v>
      </c>
      <c r="L435" s="34" t="s">
        <v>48</v>
      </c>
      <c r="M435" s="33" t="n">
        <f>296600</f>
        <v>296600.0</v>
      </c>
      <c r="N435" s="34" t="s">
        <v>51</v>
      </c>
      <c r="O435" s="33" t="n">
        <f>272000</f>
        <v>272000.0</v>
      </c>
      <c r="P435" s="34" t="s">
        <v>103</v>
      </c>
      <c r="Q435" s="33" t="n">
        <f>294500</f>
        <v>294500.0</v>
      </c>
      <c r="R435" s="34" t="s">
        <v>51</v>
      </c>
      <c r="S435" s="35" t="n">
        <f>287442.11</f>
        <v>287442.11</v>
      </c>
      <c r="T435" s="32" t="n">
        <f>58260</f>
        <v>58260.0</v>
      </c>
      <c r="U435" s="32" t="n">
        <f>14763</f>
        <v>14763.0</v>
      </c>
      <c r="V435" s="32" t="n">
        <f>16691056461</f>
        <v>1.6691056461E10</v>
      </c>
      <c r="W435" s="32" t="n">
        <f>4240453261</f>
        <v>4.240453261E9</v>
      </c>
      <c r="X435" s="36" t="n">
        <f>19</f>
        <v>19.0</v>
      </c>
    </row>
    <row r="436">
      <c r="A436" s="27" t="s">
        <v>42</v>
      </c>
      <c r="B436" s="27" t="s">
        <v>1354</v>
      </c>
      <c r="C436" s="27" t="s">
        <v>1355</v>
      </c>
      <c r="D436" s="27" t="s">
        <v>1356</v>
      </c>
      <c r="E436" s="28" t="s">
        <v>46</v>
      </c>
      <c r="F436" s="29" t="s">
        <v>46</v>
      </c>
      <c r="G436" s="30" t="s">
        <v>46</v>
      </c>
      <c r="H436" s="31"/>
      <c r="I436" s="31" t="s">
        <v>47</v>
      </c>
      <c r="J436" s="32" t="n">
        <v>1.0</v>
      </c>
      <c r="K436" s="33" t="n">
        <f>124000</f>
        <v>124000.0</v>
      </c>
      <c r="L436" s="34" t="s">
        <v>48</v>
      </c>
      <c r="M436" s="33" t="n">
        <f>128900</f>
        <v>128900.0</v>
      </c>
      <c r="N436" s="34" t="s">
        <v>61</v>
      </c>
      <c r="O436" s="33" t="n">
        <f>121800</f>
        <v>121800.0</v>
      </c>
      <c r="P436" s="34" t="s">
        <v>69</v>
      </c>
      <c r="Q436" s="33" t="n">
        <f>128100</f>
        <v>128100.0</v>
      </c>
      <c r="R436" s="34" t="s">
        <v>51</v>
      </c>
      <c r="S436" s="35" t="n">
        <f>124400</f>
        <v>124400.0</v>
      </c>
      <c r="T436" s="32" t="n">
        <f>49532</f>
        <v>49532.0</v>
      </c>
      <c r="U436" s="32" t="n">
        <f>10236</f>
        <v>10236.0</v>
      </c>
      <c r="V436" s="32" t="n">
        <f>6172901434</f>
        <v>6.172901434E9</v>
      </c>
      <c r="W436" s="32" t="n">
        <f>1271154534</f>
        <v>1.271154534E9</v>
      </c>
      <c r="X436" s="36" t="n">
        <f>19</f>
        <v>19.0</v>
      </c>
    </row>
    <row r="437">
      <c r="A437" s="27" t="s">
        <v>42</v>
      </c>
      <c r="B437" s="27" t="s">
        <v>1357</v>
      </c>
      <c r="C437" s="27" t="s">
        <v>1358</v>
      </c>
      <c r="D437" s="27" t="s">
        <v>1359</v>
      </c>
      <c r="E437" s="28" t="s">
        <v>46</v>
      </c>
      <c r="F437" s="29" t="s">
        <v>46</v>
      </c>
      <c r="G437" s="30" t="s">
        <v>46</v>
      </c>
      <c r="H437" s="31"/>
      <c r="I437" s="31" t="s">
        <v>414</v>
      </c>
      <c r="J437" s="32" t="n">
        <v>1.0</v>
      </c>
      <c r="K437" s="33" t="n">
        <f>174200</f>
        <v>174200.0</v>
      </c>
      <c r="L437" s="34" t="s">
        <v>48</v>
      </c>
      <c r="M437" s="33" t="n">
        <f>180900</f>
        <v>180900.0</v>
      </c>
      <c r="N437" s="34" t="s">
        <v>239</v>
      </c>
      <c r="O437" s="33" t="n">
        <f>171500</f>
        <v>171500.0</v>
      </c>
      <c r="P437" s="34" t="s">
        <v>216</v>
      </c>
      <c r="Q437" s="33" t="n">
        <f>175600</f>
        <v>175600.0</v>
      </c>
      <c r="R437" s="34" t="s">
        <v>51</v>
      </c>
      <c r="S437" s="35" t="n">
        <f>174947.37</f>
        <v>174947.37</v>
      </c>
      <c r="T437" s="32" t="n">
        <f>17276</f>
        <v>17276.0</v>
      </c>
      <c r="U437" s="32" t="n">
        <f>2628</f>
        <v>2628.0</v>
      </c>
      <c r="V437" s="32" t="n">
        <f>3027794694</f>
        <v>3.027794694E9</v>
      </c>
      <c r="W437" s="32" t="n">
        <f>460230194</f>
        <v>4.60230194E8</v>
      </c>
      <c r="X437" s="36" t="n">
        <f>19</f>
        <v>19.0</v>
      </c>
    </row>
    <row r="438">
      <c r="A438" s="27" t="s">
        <v>42</v>
      </c>
      <c r="B438" s="27" t="s">
        <v>1360</v>
      </c>
      <c r="C438" s="27" t="s">
        <v>1361</v>
      </c>
      <c r="D438" s="27" t="s">
        <v>1362</v>
      </c>
      <c r="E438" s="28" t="s">
        <v>46</v>
      </c>
      <c r="F438" s="29" t="s">
        <v>46</v>
      </c>
      <c r="G438" s="30" t="s">
        <v>46</v>
      </c>
      <c r="H438" s="31"/>
      <c r="I438" s="31" t="s">
        <v>47</v>
      </c>
      <c r="J438" s="32" t="n">
        <v>1.0</v>
      </c>
      <c r="K438" s="33" t="n">
        <f>233900</f>
        <v>233900.0</v>
      </c>
      <c r="L438" s="34" t="s">
        <v>48</v>
      </c>
      <c r="M438" s="33" t="n">
        <f>247000</f>
        <v>247000.0</v>
      </c>
      <c r="N438" s="34" t="s">
        <v>71</v>
      </c>
      <c r="O438" s="33" t="n">
        <f>227700</f>
        <v>227700.0</v>
      </c>
      <c r="P438" s="34" t="s">
        <v>69</v>
      </c>
      <c r="Q438" s="33" t="n">
        <f>244300</f>
        <v>244300.0</v>
      </c>
      <c r="R438" s="34" t="s">
        <v>51</v>
      </c>
      <c r="S438" s="35" t="n">
        <f>233826.32</f>
        <v>233826.32</v>
      </c>
      <c r="T438" s="32" t="n">
        <f>123942</f>
        <v>123942.0</v>
      </c>
      <c r="U438" s="32" t="n">
        <f>23534</f>
        <v>23534.0</v>
      </c>
      <c r="V438" s="32" t="n">
        <f>29207237867</f>
        <v>2.9207237867E10</v>
      </c>
      <c r="W438" s="32" t="n">
        <f>5555045267</f>
        <v>5.555045267E9</v>
      </c>
      <c r="X438" s="36" t="n">
        <f>19</f>
        <v>19.0</v>
      </c>
    </row>
    <row r="439">
      <c r="A439" s="27" t="s">
        <v>42</v>
      </c>
      <c r="B439" s="27" t="s">
        <v>1363</v>
      </c>
      <c r="C439" s="27" t="s">
        <v>1364</v>
      </c>
      <c r="D439" s="27" t="s">
        <v>1365</v>
      </c>
      <c r="E439" s="28" t="s">
        <v>46</v>
      </c>
      <c r="F439" s="29" t="s">
        <v>46</v>
      </c>
      <c r="G439" s="30" t="s">
        <v>46</v>
      </c>
      <c r="H439" s="31"/>
      <c r="I439" s="31" t="s">
        <v>47</v>
      </c>
      <c r="J439" s="32" t="n">
        <v>1.0</v>
      </c>
      <c r="K439" s="33" t="n">
        <f>70900</f>
        <v>70900.0</v>
      </c>
      <c r="L439" s="34" t="s">
        <v>48</v>
      </c>
      <c r="M439" s="33" t="n">
        <f>74200</f>
        <v>74200.0</v>
      </c>
      <c r="N439" s="34" t="s">
        <v>181</v>
      </c>
      <c r="O439" s="33" t="n">
        <f>69400</f>
        <v>69400.0</v>
      </c>
      <c r="P439" s="34" t="s">
        <v>159</v>
      </c>
      <c r="Q439" s="33" t="n">
        <f>72000</f>
        <v>72000.0</v>
      </c>
      <c r="R439" s="34" t="s">
        <v>51</v>
      </c>
      <c r="S439" s="35" t="n">
        <f>70952.63</f>
        <v>70952.63</v>
      </c>
      <c r="T439" s="32" t="n">
        <f>489220</f>
        <v>489220.0</v>
      </c>
      <c r="U439" s="32" t="n">
        <f>116655</f>
        <v>116655.0</v>
      </c>
      <c r="V439" s="32" t="n">
        <f>34826657471</f>
        <v>3.4826657471E10</v>
      </c>
      <c r="W439" s="32" t="n">
        <f>8301769271</f>
        <v>8.301769271E9</v>
      </c>
      <c r="X439" s="36" t="n">
        <f>19</f>
        <v>19.0</v>
      </c>
    </row>
    <row r="440">
      <c r="A440" s="27" t="s">
        <v>42</v>
      </c>
      <c r="B440" s="27" t="s">
        <v>1366</v>
      </c>
      <c r="C440" s="27" t="s">
        <v>1367</v>
      </c>
      <c r="D440" s="27" t="s">
        <v>1368</v>
      </c>
      <c r="E440" s="28" t="s">
        <v>46</v>
      </c>
      <c r="F440" s="29" t="s">
        <v>46</v>
      </c>
      <c r="G440" s="30" t="s">
        <v>46</v>
      </c>
      <c r="H440" s="31"/>
      <c r="I440" s="31" t="s">
        <v>47</v>
      </c>
      <c r="J440" s="32" t="n">
        <v>1.0</v>
      </c>
      <c r="K440" s="33" t="n">
        <f>90000</f>
        <v>90000.0</v>
      </c>
      <c r="L440" s="34" t="s">
        <v>48</v>
      </c>
      <c r="M440" s="33" t="n">
        <f>90800</f>
        <v>90800.0</v>
      </c>
      <c r="N440" s="34" t="s">
        <v>48</v>
      </c>
      <c r="O440" s="33" t="n">
        <f>86600</f>
        <v>86600.0</v>
      </c>
      <c r="P440" s="34" t="s">
        <v>103</v>
      </c>
      <c r="Q440" s="33" t="n">
        <f>89400</f>
        <v>89400.0</v>
      </c>
      <c r="R440" s="34" t="s">
        <v>51</v>
      </c>
      <c r="S440" s="35" t="n">
        <f>88589.47</f>
        <v>88589.47</v>
      </c>
      <c r="T440" s="32" t="n">
        <f>142214</f>
        <v>142214.0</v>
      </c>
      <c r="U440" s="32" t="n">
        <f>33974</f>
        <v>33974.0</v>
      </c>
      <c r="V440" s="32" t="n">
        <f>12626680502</f>
        <v>1.2626680502E10</v>
      </c>
      <c r="W440" s="32" t="n">
        <f>3017274602</f>
        <v>3.017274602E9</v>
      </c>
      <c r="X440" s="36" t="n">
        <f>19</f>
        <v>19.0</v>
      </c>
    </row>
    <row r="441">
      <c r="A441" s="27" t="s">
        <v>42</v>
      </c>
      <c r="B441" s="27" t="s">
        <v>1369</v>
      </c>
      <c r="C441" s="27" t="s">
        <v>1370</v>
      </c>
      <c r="D441" s="27" t="s">
        <v>1371</v>
      </c>
      <c r="E441" s="28" t="s">
        <v>46</v>
      </c>
      <c r="F441" s="29" t="s">
        <v>46</v>
      </c>
      <c r="G441" s="30" t="s">
        <v>46</v>
      </c>
      <c r="H441" s="31"/>
      <c r="I441" s="31" t="s">
        <v>47</v>
      </c>
      <c r="J441" s="32" t="n">
        <v>1.0</v>
      </c>
      <c r="K441" s="33" t="n">
        <f>116800</f>
        <v>116800.0</v>
      </c>
      <c r="L441" s="34" t="s">
        <v>48</v>
      </c>
      <c r="M441" s="33" t="n">
        <f>126900</f>
        <v>126900.0</v>
      </c>
      <c r="N441" s="34" t="s">
        <v>239</v>
      </c>
      <c r="O441" s="33" t="n">
        <f>116300</f>
        <v>116300.0</v>
      </c>
      <c r="P441" s="34" t="s">
        <v>159</v>
      </c>
      <c r="Q441" s="33" t="n">
        <f>125500</f>
        <v>125500.0</v>
      </c>
      <c r="R441" s="34" t="s">
        <v>51</v>
      </c>
      <c r="S441" s="35" t="n">
        <f>120110.53</f>
        <v>120110.53</v>
      </c>
      <c r="T441" s="32" t="n">
        <f>80325</f>
        <v>80325.0</v>
      </c>
      <c r="U441" s="32" t="n">
        <f>20018</f>
        <v>20018.0</v>
      </c>
      <c r="V441" s="32" t="n">
        <f>9723452020</f>
        <v>9.72345202E9</v>
      </c>
      <c r="W441" s="32" t="n">
        <f>2427061420</f>
        <v>2.42706142E9</v>
      </c>
      <c r="X441" s="36" t="n">
        <f>19</f>
        <v>19.0</v>
      </c>
    </row>
    <row r="442">
      <c r="A442" s="27" t="s">
        <v>42</v>
      </c>
      <c r="B442" s="27" t="s">
        <v>1372</v>
      </c>
      <c r="C442" s="27" t="s">
        <v>1373</v>
      </c>
      <c r="D442" s="27" t="s">
        <v>1374</v>
      </c>
      <c r="E442" s="28" t="s">
        <v>46</v>
      </c>
      <c r="F442" s="29" t="s">
        <v>46</v>
      </c>
      <c r="G442" s="30" t="s">
        <v>46</v>
      </c>
      <c r="H442" s="31"/>
      <c r="I442" s="31" t="s">
        <v>414</v>
      </c>
      <c r="J442" s="32" t="n">
        <v>1.0</v>
      </c>
      <c r="K442" s="33" t="n">
        <f>43650</f>
        <v>43650.0</v>
      </c>
      <c r="L442" s="34" t="s">
        <v>48</v>
      </c>
      <c r="M442" s="33" t="n">
        <f>47450</f>
        <v>47450.0</v>
      </c>
      <c r="N442" s="34" t="s">
        <v>226</v>
      </c>
      <c r="O442" s="33" t="n">
        <f>42200</f>
        <v>42200.0</v>
      </c>
      <c r="P442" s="34" t="s">
        <v>116</v>
      </c>
      <c r="Q442" s="33" t="n">
        <f>44750</f>
        <v>44750.0</v>
      </c>
      <c r="R442" s="34" t="s">
        <v>51</v>
      </c>
      <c r="S442" s="35" t="n">
        <f>44336.84</f>
        <v>44336.84</v>
      </c>
      <c r="T442" s="32" t="n">
        <f>6651</f>
        <v>6651.0</v>
      </c>
      <c r="U442" s="32" t="n">
        <f>3</f>
        <v>3.0</v>
      </c>
      <c r="V442" s="32" t="n">
        <f>296563500</f>
        <v>2.965635E8</v>
      </c>
      <c r="W442" s="32" t="n">
        <f>120000</f>
        <v>120000.0</v>
      </c>
      <c r="X442" s="36" t="n">
        <f>19</f>
        <v>19.0</v>
      </c>
    </row>
    <row r="443">
      <c r="A443" s="27" t="s">
        <v>42</v>
      </c>
      <c r="B443" s="27" t="s">
        <v>1375</v>
      </c>
      <c r="C443" s="27" t="s">
        <v>1376</v>
      </c>
      <c r="D443" s="27" t="s">
        <v>1377</v>
      </c>
      <c r="E443" s="28" t="s">
        <v>46</v>
      </c>
      <c r="F443" s="29" t="s">
        <v>46</v>
      </c>
      <c r="G443" s="30" t="s">
        <v>46</v>
      </c>
      <c r="H443" s="31"/>
      <c r="I443" s="31" t="s">
        <v>414</v>
      </c>
      <c r="J443" s="32" t="n">
        <v>1.0</v>
      </c>
      <c r="K443" s="33" t="n">
        <f>77800</f>
        <v>77800.0</v>
      </c>
      <c r="L443" s="34" t="s">
        <v>48</v>
      </c>
      <c r="M443" s="33" t="n">
        <f>81200</f>
        <v>81200.0</v>
      </c>
      <c r="N443" s="34" t="s">
        <v>49</v>
      </c>
      <c r="O443" s="33" t="n">
        <f>71500</f>
        <v>71500.0</v>
      </c>
      <c r="P443" s="34" t="s">
        <v>103</v>
      </c>
      <c r="Q443" s="33" t="n">
        <f>73900</f>
        <v>73900.0</v>
      </c>
      <c r="R443" s="34" t="s">
        <v>51</v>
      </c>
      <c r="S443" s="35" t="n">
        <f>74657.89</f>
        <v>74657.89</v>
      </c>
      <c r="T443" s="32" t="n">
        <f>36699</f>
        <v>36699.0</v>
      </c>
      <c r="U443" s="32" t="n">
        <f>526</f>
        <v>526.0</v>
      </c>
      <c r="V443" s="32" t="n">
        <f>2759881165</f>
        <v>2.759881165E9</v>
      </c>
      <c r="W443" s="32" t="n">
        <f>40143565</f>
        <v>4.0143565E7</v>
      </c>
      <c r="X443" s="36" t="n">
        <f>19</f>
        <v>19.0</v>
      </c>
    </row>
    <row r="444">
      <c r="A444" s="27" t="s">
        <v>42</v>
      </c>
      <c r="B444" s="27" t="s">
        <v>1378</v>
      </c>
      <c r="C444" s="27" t="s">
        <v>1379</v>
      </c>
      <c r="D444" s="27" t="s">
        <v>1380</v>
      </c>
      <c r="E444" s="28" t="s">
        <v>46</v>
      </c>
      <c r="F444" s="29" t="s">
        <v>46</v>
      </c>
      <c r="G444" s="30" t="s">
        <v>46</v>
      </c>
      <c r="H444" s="31"/>
      <c r="I444" s="31" t="s">
        <v>414</v>
      </c>
      <c r="J444" s="32" t="n">
        <v>1.0</v>
      </c>
      <c r="K444" s="33" t="n">
        <f>48700</f>
        <v>48700.0</v>
      </c>
      <c r="L444" s="34" t="s">
        <v>48</v>
      </c>
      <c r="M444" s="33" t="n">
        <f>54900</f>
        <v>54900.0</v>
      </c>
      <c r="N444" s="34" t="s">
        <v>226</v>
      </c>
      <c r="O444" s="33" t="n">
        <f>46750</f>
        <v>46750.0</v>
      </c>
      <c r="P444" s="34" t="s">
        <v>103</v>
      </c>
      <c r="Q444" s="33" t="n">
        <f>47750</f>
        <v>47750.0</v>
      </c>
      <c r="R444" s="34" t="s">
        <v>51</v>
      </c>
      <c r="S444" s="35" t="n">
        <f>49013.16</f>
        <v>49013.16</v>
      </c>
      <c r="T444" s="32" t="n">
        <f>15707</f>
        <v>15707.0</v>
      </c>
      <c r="U444" s="32" t="n">
        <f>1</f>
        <v>1.0</v>
      </c>
      <c r="V444" s="32" t="n">
        <f>784852850</f>
        <v>7.8485285E8</v>
      </c>
      <c r="W444" s="32" t="n">
        <f>48000</f>
        <v>48000.0</v>
      </c>
      <c r="X444" s="36" t="n">
        <f>19</f>
        <v>19.0</v>
      </c>
    </row>
    <row r="445">
      <c r="A445" s="27" t="s">
        <v>42</v>
      </c>
      <c r="B445" s="27" t="s">
        <v>1381</v>
      </c>
      <c r="C445" s="27" t="s">
        <v>1382</v>
      </c>
      <c r="D445" s="27" t="s">
        <v>1383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50000</f>
        <v>50000.0</v>
      </c>
      <c r="L445" s="34" t="s">
        <v>48</v>
      </c>
      <c r="M445" s="33" t="n">
        <f>54800</f>
        <v>54800.0</v>
      </c>
      <c r="N445" s="34" t="s">
        <v>49</v>
      </c>
      <c r="O445" s="33" t="n">
        <f>46000</f>
        <v>46000.0</v>
      </c>
      <c r="P445" s="34" t="s">
        <v>116</v>
      </c>
      <c r="Q445" s="33" t="n">
        <f>47750</f>
        <v>47750.0</v>
      </c>
      <c r="R445" s="34" t="s">
        <v>51</v>
      </c>
      <c r="S445" s="35" t="n">
        <f>49489.47</f>
        <v>49489.47</v>
      </c>
      <c r="T445" s="32" t="n">
        <f>55752</f>
        <v>55752.0</v>
      </c>
      <c r="U445" s="32" t="n">
        <f>1939</f>
        <v>1939.0</v>
      </c>
      <c r="V445" s="32" t="n">
        <f>2780164938</f>
        <v>2.780164938E9</v>
      </c>
      <c r="W445" s="32" t="n">
        <f>101660588</f>
        <v>1.01660588E8</v>
      </c>
      <c r="X445" s="36" t="n">
        <f>19</f>
        <v>19.0</v>
      </c>
    </row>
    <row r="446">
      <c r="A446" s="27" t="s">
        <v>42</v>
      </c>
      <c r="B446" s="27" t="s">
        <v>1384</v>
      </c>
      <c r="C446" s="27" t="s">
        <v>1385</v>
      </c>
      <c r="D446" s="27" t="s">
        <v>1386</v>
      </c>
      <c r="E446" s="28" t="s">
        <v>46</v>
      </c>
      <c r="F446" s="29" t="s">
        <v>46</v>
      </c>
      <c r="G446" s="30" t="s">
        <v>46</v>
      </c>
      <c r="H446" s="31"/>
      <c r="I446" s="31" t="s">
        <v>414</v>
      </c>
      <c r="J446" s="32" t="n">
        <v>1.0</v>
      </c>
      <c r="K446" s="33" t="n">
        <f>44750</f>
        <v>44750.0</v>
      </c>
      <c r="L446" s="34" t="s">
        <v>48</v>
      </c>
      <c r="M446" s="33" t="n">
        <f>48200</f>
        <v>48200.0</v>
      </c>
      <c r="N446" s="34" t="s">
        <v>226</v>
      </c>
      <c r="O446" s="33" t="n">
        <f>42200</f>
        <v>42200.0</v>
      </c>
      <c r="P446" s="34" t="s">
        <v>103</v>
      </c>
      <c r="Q446" s="33" t="n">
        <f>44500</f>
        <v>44500.0</v>
      </c>
      <c r="R446" s="34" t="s">
        <v>51</v>
      </c>
      <c r="S446" s="35" t="n">
        <f>44594.74</f>
        <v>44594.74</v>
      </c>
      <c r="T446" s="32" t="n">
        <f>42996</f>
        <v>42996.0</v>
      </c>
      <c r="U446" s="32" t="n">
        <f>473</f>
        <v>473.0</v>
      </c>
      <c r="V446" s="32" t="n">
        <f>1924937306</f>
        <v>1.924937306E9</v>
      </c>
      <c r="W446" s="32" t="n">
        <f>21259406</f>
        <v>2.1259406E7</v>
      </c>
      <c r="X446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