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<sst xmlns="http://schemas.openxmlformats.org/spreadsheetml/2006/main" count="5509" uniqueCount="1441">
  <si>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</si>
  <si>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</si>
  <si>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</si>
  <si>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</si>
  <si>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</si>
  <si>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</si>
  <si>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</si>
  <si>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</si>
  <si>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</si>
  <si>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</si>
  <si>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</si>
  <si>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</si>
  <si>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</si>
  <si>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</si>
  <si>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</si>
  <si>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</si>
  <si>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</si>
  <si>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</si>
  <si>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</si>
  <si>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</si>
  <si>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</si>
  <si>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</si>
  <si>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</si>
  <si>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</si>
  <si>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</si>
  <si>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</si>
  <si>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</si>
  <si>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</si>
  <si>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</si>
  <si>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</si>
  <si>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</si>
  <si>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</si>
  <si>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</si>
  <si>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</si>
  <si>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</si>
  <si>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</si>
  <si>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</si>
  <si>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</si>
  <si>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</si>
  <si>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</si>
  <si>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</si>
  <si>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</si>
  <si>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2025/06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</si>
  <si>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</si>
  <si>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</si>
  <si>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</si>
  <si>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</si>
  <si>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</si>
  <si>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2</t>
  </si>
  <si>
    <t>30</t>
  </si>
  <si>
    <t>13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</si>
  <si>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</si>
  <si>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</si>
  <si>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</si>
  <si>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</si>
  <si>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</si>
  <si>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</si>
  <si>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</si>
  <si>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</si>
  <si>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</si>
  <si>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26</t>
  </si>
  <si>
    <t>1311</t>
  </si>
  <si>
    <t>ＮＥＸＴ　ＦＵＮＤＳ　ＴＯＰＩＸ　Ｃｏｒｅ　３０連動型上場投信　受益証券</t>
  </si>
  <si>
    <t>NEXT FUNDS TOPIX Core 30 Exchange Traded Fund</t>
  </si>
  <si>
    <t>23</t>
  </si>
  <si>
    <t>1319</t>
  </si>
  <si>
    <t>ＮＥＸＴ　ＦＵＮＤＳ　日経３００株価指数連動型上場投信　受益証券</t>
  </si>
  <si>
    <t>NEXT FUNDS Nikkei 300 Index Exchange Traded Fund</t>
  </si>
  <si>
    <t>12</t>
  </si>
  <si>
    <t>3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</si>
  <si>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</si>
  <si>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</si>
  <si>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</si>
  <si>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</si>
  <si>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</si>
  <si>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</si>
  <si>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</si>
  <si>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</si>
  <si>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</si>
  <si>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</si>
  <si>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</si>
  <si>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</si>
  <si>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19</t>
  </si>
  <si>
    <t>1326</t>
  </si>
  <si>
    <t>ＳＰＤＲゴールド・シェア　受益証券</t>
  </si>
  <si>
    <t>SPDR Gold Shares</t>
  </si>
  <si>
    <t>16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</si>
  <si>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</si>
  <si>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</si>
  <si>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</si>
  <si>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</si>
  <si>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</si>
  <si>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</si>
  <si>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</si>
  <si>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</si>
  <si>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</si>
  <si>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</si>
  <si>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</si>
  <si>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</si>
  <si>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</si>
  <si>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</si>
  <si>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</si>
  <si>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24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</si>
  <si>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</si>
  <si>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</si>
  <si>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</si>
  <si>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</si>
  <si>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</si>
  <si>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</si>
  <si>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</si>
  <si>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</si>
  <si>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</si>
  <si>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</si>
  <si>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</si>
  <si>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</si>
  <si>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</si>
  <si>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</si>
  <si>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</si>
  <si>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</si>
  <si>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</si>
  <si>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</si>
  <si>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</si>
  <si>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</si>
  <si>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</si>
  <si>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</si>
  <si>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</si>
  <si>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</si>
  <si>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</si>
  <si>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</si>
  <si>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</si>
  <si>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</si>
  <si>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</si>
  <si>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</si>
  <si>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</si>
  <si>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</si>
  <si>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</si>
  <si>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</si>
  <si>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</si>
  <si>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</si>
  <si>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</si>
  <si>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</si>
  <si>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</si>
  <si>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</si>
  <si>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</si>
  <si>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</si>
  <si>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</si>
  <si>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</si>
  <si>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</si>
  <si>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</si>
  <si>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</si>
  <si>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</si>
  <si>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27</t>
  </si>
  <si>
    <t>5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</si>
  <si>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</si>
  <si>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</si>
  <si>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</si>
  <si>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</si>
  <si>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</si>
  <si>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</si>
  <si>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</si>
  <si>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</si>
  <si>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</si>
  <si>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</si>
  <si>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</si>
  <si>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</si>
  <si>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</si>
  <si>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</si>
  <si>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</si>
  <si>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</si>
  <si>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</si>
  <si>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</si>
  <si>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</si>
  <si>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</si>
  <si>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</si>
  <si>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</si>
  <si>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</si>
  <si>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</si>
  <si>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</si>
  <si>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</si>
  <si>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</si>
  <si>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</si>
  <si>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</si>
  <si>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</si>
  <si>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</si>
  <si>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</si>
  <si>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</si>
  <si>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</si>
  <si>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</si>
  <si>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</si>
  <si>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</si>
  <si>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</si>
  <si>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</si>
  <si>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</si>
  <si>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</si>
  <si>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</si>
  <si>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</si>
  <si>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</si>
  <si>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</si>
  <si>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25</t>
  </si>
  <si>
    <t>1479</t>
  </si>
  <si>
    <t>ｉＦｒｅｅＥＴＦ　ＭＳＣＩ日本株人材設備投資指数　受益証券</t>
  </si>
  <si>
    <t>iFreeETF MSCI Japan Human and Physical Investment Index</t>
  </si>
  <si>
    <t>9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</si>
  <si>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</si>
  <si>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</si>
  <si>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</si>
  <si>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4</t>
  </si>
  <si>
    <t>20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</si>
  <si>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</si>
  <si>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</si>
  <si>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</si>
  <si>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</si>
  <si>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</si>
  <si>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</si>
  <si>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</si>
  <si>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</si>
  <si>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</si>
  <si>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</si>
  <si>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</si>
  <si>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</si>
  <si>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10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</si>
  <si>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</si>
  <si>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</si>
  <si>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</si>
  <si>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</si>
  <si>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</si>
  <si>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</si>
  <si>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</si>
  <si>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</si>
  <si>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</si>
  <si>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</si>
  <si>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</si>
  <si>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</si>
  <si>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</si>
  <si>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</si>
  <si>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</si>
  <si>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</si>
  <si>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</si>
  <si>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</si>
  <si>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</si>
  <si>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</si>
  <si>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</si>
  <si>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</si>
  <si>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</si>
  <si>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</si>
  <si>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</si>
  <si>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</si>
  <si>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</si>
  <si>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</si>
  <si>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</si>
  <si>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</si>
  <si>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</si>
  <si>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</si>
  <si>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</si>
  <si>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</si>
  <si>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</si>
  <si>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</si>
  <si>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</si>
  <si>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</si>
  <si>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</si>
  <si>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</si>
  <si>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</si>
  <si>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</si>
  <si>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</si>
  <si>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</si>
  <si>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</si>
  <si>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</si>
  <si>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</si>
  <si>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</si>
  <si>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18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</si>
  <si>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</si>
  <si>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</si>
  <si>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</si>
  <si>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</si>
  <si>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</si>
  <si>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</si>
  <si>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</si>
  <si>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</si>
  <si>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</si>
  <si>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</si>
  <si>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</si>
  <si>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</si>
  <si>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</si>
  <si>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</si>
  <si>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</si>
  <si>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</si>
  <si>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</si>
  <si>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</si>
  <si>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</si>
  <si>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</si>
  <si>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</si>
  <si>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</si>
  <si>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</si>
  <si>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</si>
  <si>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11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</si>
  <si>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</si>
  <si>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</si>
  <si>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</si>
  <si>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</si>
  <si>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</si>
  <si>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</si>
  <si>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</si>
  <si>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</si>
  <si>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</si>
  <si>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6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</si>
  <si>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</si>
  <si>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</si>
  <si>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</si>
  <si>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</si>
  <si>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</si>
  <si>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</si>
  <si>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</si>
  <si>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</si>
  <si>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</si>
  <si>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</si>
  <si>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</si>
  <si>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</si>
  <si>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</si>
  <si>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</si>
  <si>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</si>
  <si>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</si>
  <si>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</si>
  <si>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</si>
  <si>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</si>
  <si>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</si>
  <si>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</si>
  <si>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</si>
  <si>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</si>
  <si>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</si>
  <si>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</si>
  <si>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</si>
  <si>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</si>
  <si>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</si>
  <si>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</si>
  <si>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</si>
  <si>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</si>
  <si>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</si>
  <si>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</si>
  <si>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</si>
  <si>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</si>
  <si>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</si>
  <si>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</si>
  <si>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</si>
  <si>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</si>
  <si>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</si>
  <si>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</si>
  <si>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</si>
  <si>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</si>
  <si>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</si>
  <si>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</si>
  <si>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</si>
  <si>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</si>
  <si>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</si>
  <si>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</si>
  <si>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</si>
  <si>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</si>
  <si>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</si>
  <si>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</si>
  <si>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</si>
  <si>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</si>
  <si>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</si>
  <si>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</si>
  <si>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</si>
  <si>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</si>
  <si>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</si>
  <si>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</si>
  <si>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</si>
  <si>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</si>
  <si>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</si>
  <si>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</si>
  <si>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</si>
  <si>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</si>
  <si>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</si>
  <si>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</si>
  <si>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</si>
  <si>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</si>
  <si>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</si>
  <si>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</si>
  <si>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</si>
  <si>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</si>
  <si>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</si>
  <si>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</si>
  <si>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</si>
  <si>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</si>
  <si>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</si>
  <si>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</si>
  <si>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</si>
  <si>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</si>
  <si>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</si>
  <si>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</si>
  <si>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</si>
  <si>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</si>
  <si>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</si>
  <si>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</si>
  <si>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</si>
  <si>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</si>
  <si>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</si>
  <si>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</si>
  <si>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</si>
  <si>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</si>
  <si>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</si>
  <si>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</si>
  <si>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</si>
  <si>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</si>
  <si>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</si>
  <si>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</si>
  <si>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</si>
  <si>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</si>
  <si>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</si>
  <si>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</si>
  <si>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</si>
  <si>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</si>
  <si>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</si>
  <si>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</si>
  <si>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</si>
  <si>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</si>
  <si>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</si>
  <si>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</si>
  <si>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</si>
  <si>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</si>
  <si>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</si>
  <si>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</si>
  <si>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</si>
  <si>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</si>
  <si>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</si>
  <si>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</si>
  <si>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</si>
  <si>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</si>
  <si>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</si>
  <si>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</si>
  <si>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</si>
  <si>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</si>
  <si>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</si>
  <si>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</si>
  <si>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</si>
  <si>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</si>
  <si>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</si>
  <si>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</si>
  <si>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</si>
  <si>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</si>
  <si>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</si>
  <si>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</si>
  <si>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</si>
  <si>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</si>
  <si>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</si>
  <si>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</si>
  <si>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</si>
  <si>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</si>
  <si>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</si>
  <si>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</si>
  <si>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</si>
  <si>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</si>
  <si>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</si>
  <si>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</si>
  <si>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</si>
  <si>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</si>
  <si>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</si>
  <si>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</si>
  <si>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</si>
  <si>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</si>
  <si>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</si>
  <si>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</si>
  <si>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</si>
  <si>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</si>
  <si>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</si>
  <si>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</si>
  <si>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</si>
  <si>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</si>
  <si>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</si>
  <si>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</si>
  <si>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</si>
  <si>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</si>
  <si>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</si>
  <si>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</si>
  <si>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</si>
  <si>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</si>
  <si>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</si>
  <si>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</si>
  <si>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</si>
  <si>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</si>
  <si>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</si>
  <si>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</si>
  <si>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</si>
  <si>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</si>
  <si>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</si>
  <si>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</si>
  <si>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</si>
  <si>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</si>
  <si>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</si>
  <si>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</si>
  <si>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</si>
  <si>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</si>
  <si>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</si>
  <si>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</si>
  <si>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</si>
  <si>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</si>
  <si>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</si>
  <si>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</si>
  <si>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</si>
  <si>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</si>
  <si>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</si>
  <si>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</si>
  <si>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</si>
  <si>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</si>
  <si>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</si>
  <si>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</si>
  <si>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</si>
  <si>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</si>
  <si>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</si>
  <si>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</si>
  <si>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</si>
  <si>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</si>
  <si>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</si>
  <si>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</si>
  <si>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</si>
  <si>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</si>
  <si>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</si>
  <si>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</si>
  <si>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</si>
  <si>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</si>
  <si>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</si>
  <si>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</si>
  <si>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</si>
  <si>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</si>
  <si>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</si>
  <si>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</si>
  <si>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</si>
  <si>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</si>
  <si>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</si>
  <si>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</si>
  <si>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</si>
  <si>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</si>
  <si>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</si>
  <si>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</si>
  <si>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</si>
  <si>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</si>
  <si>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</si>
  <si>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</si>
  <si>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</si>
  <si>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</si>
  <si>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</si>
  <si>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</si>
  <si>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</si>
  <si>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</si>
  <si>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</si>
  <si>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</si>
  <si>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</si>
  <si>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</si>
  <si>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</si>
  <si>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</si>
  <si>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</si>
  <si>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</si>
  <si>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</si>
  <si>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</si>
  <si>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</si>
  <si>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</si>
  <si>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</si>
  <si>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</si>
  <si>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</si>
  <si>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</si>
  <si>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</si>
  <si>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</si>
  <si>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</si>
  <si>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</si>
  <si>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</si>
  <si>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</si>
  <si>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</si>
  <si>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</si>
  <si>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</si>
  <si>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</si>
  <si>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</si>
  <si>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</si>
  <si>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</si>
  <si>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</si>
  <si>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</si>
  <si>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</si>
  <si>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</si>
  <si>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</si>
  <si>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</si>
  <si>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</si>
  <si>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</si>
  <si>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</si>
  <si>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</si>
  <si>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</si>
  <si>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</si>
  <si>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</si>
  <si>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</si>
  <si>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</si>
  <si>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</si>
  <si>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</si>
  <si>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</si>
  <si>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</si>
  <si>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</si>
  <si>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</si>
  <si>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</si>
  <si>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</si>
  <si>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</si>
  <si>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</si>
  <si>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</si>
  <si>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</si>
  <si>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</si>
  <si>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</si>
  <si>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</si>
  <si>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</si>
  <si>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</si>
  <si>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</si>
  <si>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</si>
  <si>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</si>
  <si>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</si>
  <si>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</si>
  <si>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</si>
  <si>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</si>
  <si>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</si>
  <si>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</si>
  <si>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</si>
  <si>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</si>
  <si>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</si>
  <si>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</si>
  <si>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</si>
  <si>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</si>
  <si>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</si>
  <si>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</si>
  <si>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</si>
  <si>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</si>
  <si>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</si>
  <si>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</si>
  <si>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</si>
  <si>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</si>
  <si>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</si>
  <si>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</si>
  <si>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</si>
  <si>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</si>
  <si>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</si>
  <si>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</si>
  <si>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</si>
  <si>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</si>
  <si>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</si>
  <si>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</si>
  <si>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</si>
  <si>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</si>
  <si>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</si>
  <si>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</si>
  <si>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</si>
  <si>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</si>
  <si>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</si>
  <si>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</si>
  <si>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</si>
  <si>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</si>
  <si>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</si>
  <si>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</si>
  <si>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</si>
  <si>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</si>
  <si>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</si>
  <si>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</si>
  <si>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</si>
  <si>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</si>
  <si>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</si>
  <si>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</si>
  <si>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</si>
  <si>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</si>
  <si>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</si>
  <si>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</si>
  <si>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</si>
  <si>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</si>
  <si>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</si>
  <si>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</si>
  <si>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</si>
  <si>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</si>
  <si>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</si>
  <si>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</si>
  <si>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</si>
  <si>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</si>
  <si>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</si>
  <si>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</si>
  <si>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</si>
  <si>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</si>
  <si>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</si>
  <si>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</si>
  <si>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</si>
  <si>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</si>
  <si>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</si>
  <si>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</si>
  <si>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</si>
  <si>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</si>
  <si>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</si>
  <si>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</si>
  <si>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</si>
  <si>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</si>
  <si>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</si>
  <si>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</si>
  <si>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</si>
  <si>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</si>
  <si>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</si>
  <si>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</si>
  <si>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</si>
  <si>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</si>
  <si>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</si>
  <si>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</si>
  <si>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</si>
  <si>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</si>
  <si>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</si>
  <si>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</si>
  <si>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</si>
  <si>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</si>
  <si>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</si>
  <si>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</si>
  <si>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</si>
  <si>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</si>
  <si>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</si>
  <si>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</si>
  <si>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</si>
  <si>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</si>
  <si>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</si>
  <si>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</si>
  <si>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</si>
  <si>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</si>
  <si>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</si>
  <si>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</si>
  <si>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</si>
  <si>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</si>
  <si>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</si>
  <si>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</si>
  <si>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</si>
  <si>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17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</si>
  <si>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</si>
  <si>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</si>
  <si>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</si>
  <si>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</si>
  <si>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</si>
  <si>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</si>
  <si>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</si>
  <si>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</si>
  <si>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</si>
  <si>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</si>
  <si>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</si>
  <si>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</si>
  <si>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</si>
  <si>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</si>
  <si>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</si>
  <si>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</si>
  <si>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</si>
  <si>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</si>
  <si>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</si>
  <si>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</si>
  <si>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</si>
  <si>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</si>
  <si>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</si>
  <si>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</si>
  <si>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</si>
  <si>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</si>
  <si>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</si>
  <si>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</si>
  <si>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</si>
  <si>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</si>
  <si>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</si>
  <si>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</si>
  <si>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</si>
  <si>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</si>
  <si>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</si>
  <si>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</si>
  <si>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</si>
  <si>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</si>
  <si>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</si>
  <si>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</si>
  <si>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</si>
  <si>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</si>
  <si>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</si>
  <si>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</si>
  <si>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</si>
  <si>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</si>
  <si>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</si>
  <si>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</si>
  <si>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</si>
  <si>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</si>
  <si>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</si>
  <si>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</si>
  <si>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</si>
  <si>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</si>
  <si>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</si>
  <si>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</si>
  <si>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</si>
  <si>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</si>
  <si>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</si>
  <si>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</si>
  <si>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</si>
  <si>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</si>
  <si>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</si>
  <si>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</si>
  <si>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</si>
  <si>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</si>
  <si>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</si>
  <si>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</si>
  <si>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</si>
  <si>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</si>
  <si>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</si>
  <si>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</si>
  <si>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</si>
  <si>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</si>
  <si>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</si>
  <si>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</si>
  <si>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</si>
  <si>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</si>
  <si>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</si>
  <si>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</si>
  <si>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</si>
  <si>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</si>
  <si>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</si>
  <si>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</si>
  <si>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</si>
  <si>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</si>
  <si>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</si>
  <si>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</si>
  <si>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</si>
  <si>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</si>
  <si>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</si>
  <si>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</si>
  <si>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</si>
  <si>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</si>
  <si>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</si>
  <si>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</si>
  <si>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</si>
  <si>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</si>
  <si>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</si>
  <si>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</si>
  <si>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</si>
  <si>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</si>
  <si>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</si>
  <si>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</si>
  <si>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</si>
  <si>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</si>
  <si>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</si>
  <si>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</si>
  <si>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</si>
  <si>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</si>
  <si>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</si>
  <si>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</si>
  <si>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</si>
  <si>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</si>
  <si>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</si>
  <si>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</si>
  <si>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</si>
  <si>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</si>
  <si>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</si>
  <si>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</si>
  <si>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</si>
  <si>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</si>
  <si>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</si>
  <si>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</si>
  <si>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</si>
  <si>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</si>
  <si>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</si>
  <si>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</si>
  <si>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</si>
  <si>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</si>
  <si>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</si>
  <si>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</si>
  <si>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</si>
  <si>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</si>
  <si>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</si>
  <si>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</si>
  <si>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</si>
  <si>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</si>
  <si>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</si>
  <si>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</si>
  <si>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</si>
  <si>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</si>
  <si>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</si>
  <si>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</si>
  <si>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</si>
  <si>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</si>
  <si>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</si>
  <si>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</si>
  <si>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</si>
  <si>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</si>
  <si>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</si>
  <si>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</si>
  <si>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</si>
  <si>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</si>
  <si>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</si>
  <si>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</si>
  <si>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</si>
  <si>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</si>
  <si>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</si>
  <si>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</si>
  <si>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</si>
  <si>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</si>
  <si>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</si>
  <si>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</si>
  <si>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</si>
  <si>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</si>
  <si>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</si>
  <si>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</si>
  <si>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</si>
  <si>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</si>
  <si>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</si>
  <si>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</si>
  <si>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</si>
  <si>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</si>
  <si>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</si>
  <si>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</si>
  <si>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</si>
  <si>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</si>
  <si>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</si>
  <si>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</si>
  <si>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</si>
  <si>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</si>
  <si>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</si>
  <si>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</si>
  <si>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</si>
  <si>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</si>
  <si>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</si>
  <si>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</si>
  <si>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</si>
  <si>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</si>
  <si>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</si>
  <si>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</si>
  <si>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</si>
  <si>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</si>
  <si>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</si>
  <si>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</si>
  <si>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</si>
  <si>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</si>
  <si>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</si>
  <si>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</si>
  <si>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</si>
  <si>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</si>
  <si>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</si>
  <si>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</si>
  <si>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</si>
  <si>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</si>
  <si>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</si>
  <si>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</si>
  <si>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</si>
  <si>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</si>
  <si>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</si>
  <si>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</si>
  <si>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</si>
  <si>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</si>
  <si>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</si>
  <si>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</si>
  <si>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</si>
  <si>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</si>
  <si>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</si>
  <si>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</si>
  <si>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</si>
  <si>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</si>
  <si>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</si>
  <si>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</si>
  <si>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</si>
  <si>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</si>
  <si>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</si>
  <si>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</si>
  <si>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</si>
  <si>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</si>
  <si>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</si>
  <si>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</si>
  <si>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</si>
  <si>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</si>
  <si>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</si>
  <si>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</si>
  <si>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</si>
  <si>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</si>
  <si>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</si>
  <si>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</si>
  <si>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</si>
  <si>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</si>
  <si>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</si>
  <si>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</si>
  <si>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</si>
  <si>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</si>
  <si>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</si>
  <si>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</si>
  <si>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</si>
  <si>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</si>
  <si>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</si>
  <si>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</si>
  <si>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</si>
  <si>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</si>
  <si>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</si>
  <si>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</si>
  <si>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</si>
  <si>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</si>
  <si>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</si>
  <si>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</si>
  <si>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</si>
  <si>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</si>
  <si>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</si>
  <si>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</si>
  <si>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</si>
  <si>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</si>
  <si>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</si>
  <si>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</si>
  <si>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</si>
  <si>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</si>
  <si>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</si>
  <si>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</si>
  <si>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</si>
  <si>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</si>
  <si>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</si>
  <si>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</si>
  <si>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</si>
  <si>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</si>
  <si>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</si>
  <si>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</si>
  <si>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</si>
  <si>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</si>
  <si>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</si>
  <si>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</si>
  <si>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</si>
  <si>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</si>
  <si>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</si>
  <si>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</si>
  <si>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</si>
  <si>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</si>
  <si>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</si>
  <si>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</si>
  <si>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</si>
  <si>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</si>
  <si>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</si>
  <si>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</si>
  <si>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</si>
  <si>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</si>
  <si>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</si>
  <si>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</si>
  <si>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</si>
  <si>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</si>
  <si>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</si>
  <si>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</si>
  <si>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</si>
  <si>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</si>
  <si>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</si>
  <si>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</si>
  <si>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</si>
  <si>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</si>
  <si>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</si>
  <si>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</si>
  <si>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</si>
  <si>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</si>
  <si>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</si>
  <si>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</si>
  <si>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</si>
  <si>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</si>
  <si>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</si>
  <si>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</si>
  <si>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</si>
  <si>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</si>
  <si>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</si>
  <si>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</si>
  <si>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</si>
  <si>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</si>
  <si>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</si>
  <si>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</si>
  <si>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</si>
  <si>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</si>
  <si>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</si>
  <si>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</si>
  <si>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</si>
  <si>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</si>
  <si>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</si>
  <si>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</si>
  <si>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</si>
  <si>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</si>
  <si>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</si>
  <si>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</si>
  <si>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</si>
  <si>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</si>
  <si>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</si>
  <si>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</si>
  <si>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</si>
  <si>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</si>
  <si>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</si>
  <si>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</si>
  <si>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</si>
  <si>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</si>
  <si>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</si>
  <si>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</si>
  <si>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</si>
  <si>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</si>
  <si>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</si>
  <si>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</si>
  <si>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</si>
  <si>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</si>
  <si>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</si>
  <si>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</si>
  <si>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</si>
  <si>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</si>
  <si>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</si>
  <si>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</si>
  <si>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</si>
  <si>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</si>
  <si>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</si>
  <si>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</si>
  <si>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</si>
  <si>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</si>
  <si>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</si>
  <si>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</si>
  <si>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</si>
  <si>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</si>
  <si>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</si>
  <si>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</si>
  <si>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</si>
  <si>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</si>
  <si>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</si>
  <si>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</si>
  <si>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</si>
  <si>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</si>
  <si>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</si>
  <si>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</si>
  <si>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</si>
  <si>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</si>
  <si>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</si>
  <si>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</si>
  <si>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</si>
  <si>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</si>
  <si>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 xml:space="preserve">上場廃止  </t>
  </si>
  <si>
    <t xml:space="preserve">Removal  </t>
  </si>
  <si>
    <t xml:space="preserve">2025/06/09  </t>
  </si>
  <si>
    <t>整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</si>
  <si>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</si>
  <si>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</si>
  <si>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</si>
  <si>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</si>
  <si>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</si>
  <si>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</si>
  <si>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</si>
  <si>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</si>
  <si>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</si>
  <si>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</si>
  <si>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</si>
  <si>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</si>
  <si>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</si>
  <si>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</si>
  <si>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</si>
  <si>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</si>
  <si>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</si>
  <si>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</si>
  <si>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</si>
  <si>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</si>
  <si>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</si>
  <si>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</si>
  <si>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</si>
  <si>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</si>
  <si>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</si>
  <si>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</si>
  <si>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</si>
  <si>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</si>
  <si>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</si>
  <si>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</si>
  <si>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</si>
  <si>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</si>
  <si>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</si>
  <si>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</si>
  <si>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</si>
  <si>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</si>
  <si>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</si>
  <si>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</si>
  <si>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</si>
  <si>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</si>
  <si>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</si>
  <si>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</si>
  <si>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</si>
  <si>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</si>
  <si>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</si>
  <si>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</si>
  <si>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</si>
  <si>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</si>
  <si>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</si>
  <si>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</si>
  <si>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</si>
  <si>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</si>
  <si>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</si>
  <si>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</si>
  <si>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</si>
  <si>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</si>
  <si>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</si>
  <si>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</si>
  <si>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</si>
  <si>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</si>
  <si>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</si>
  <si>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</si>
  <si>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</si>
  <si>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</si>
  <si>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</si>
  <si>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</si>
  <si>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</si>
  <si>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</si>
  <si>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</si>
  <si>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</si>
  <si>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</si>
  <si>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</si>
  <si>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</si>
  <si>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</si>
  <si>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</si>
  <si>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</si>
  <si>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</si>
  <si>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</si>
  <si>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</si>
  <si>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</si>
  <si>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</si>
  <si>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</si>
  <si>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</si>
  <si>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</si>
  <si>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</si>
  <si>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</si>
  <si>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</si>
  <si>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</si>
  <si>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</si>
  <si>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</si>
  <si>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</si>
  <si>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</si>
  <si>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</si>
  <si>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</si>
  <si>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</si>
  <si>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</si>
  <si>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</si>
  <si>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</si>
  <si>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</si>
  <si>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</si>
  <si>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</si>
  <si>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</si>
  <si>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</si>
  <si>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</si>
  <si>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</si>
  <si>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</si>
  <si>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</si>
  <si>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</si>
  <si>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</si>
  <si>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</si>
  <si>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</si>
  <si>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</si>
  <si>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</si>
  <si>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</si>
  <si>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</si>
  <si>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</si>
  <si>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</si>
  <si>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</si>
  <si>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</si>
  <si>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</si>
  <si>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</si>
  <si>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</si>
  <si>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</si>
  <si>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</si>
  <si>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</si>
  <si>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</si>
  <si>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</si>
  <si>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</si>
  <si>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</si>
  <si>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</si>
  <si>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</si>
  <si>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</si>
  <si>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</si>
  <si>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</si>
  <si>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</si>
  <si>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</si>
  <si>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</si>
  <si>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</si>
  <si>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</si>
  <si>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</si>
  <si>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</si>
  <si>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</si>
  <si>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</si>
  <si>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</si>
  <si>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</si>
  <si>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</si>
  <si>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</si>
  <si>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</si>
  <si>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</si>
  <si>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</si>
  <si>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</si>
  <si>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</si>
  <si>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</si>
  <si>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</si>
  <si>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</si>
  <si>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</si>
  <si>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</si>
  <si>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</si>
  <si>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</si>
  <si>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</si>
  <si>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</si>
  <si>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</si>
  <si>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</si>
  <si>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</si>
  <si>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</si>
  <si>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</si>
  <si>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</si>
  <si>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</si>
  <si>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</si>
  <si>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</si>
  <si>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</si>
  <si>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</si>
  <si>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</si>
  <si>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</si>
  <si>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</si>
  <si>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</si>
  <si>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</si>
  <si>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</si>
  <si>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</si>
  <si>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</si>
  <si>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</si>
  <si>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</si>
  <si>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</si>
  <si>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</si>
  <si>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</si>
  <si>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</si>
  <si>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</si>
  <si>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</si>
  <si>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</si>
  <si>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</si>
  <si>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</si>
  <si>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</si>
  <si>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</si>
  <si>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</si>
  <si>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</si>
  <si>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</si>
  <si>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</si>
  <si>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</si>
  <si>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</si>
  <si>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</si>
  <si>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</si>
  <si>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</si>
  <si>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</si>
  <si>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</si>
  <si>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</si>
  <si>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</si>
  <si>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</si>
  <si>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</si>
  <si>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</si>
  <si>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</si>
  <si>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 xml:space="preserve">新規上場  </t>
  </si>
  <si>
    <t xml:space="preserve">New Listing  </t>
  </si>
  <si>
    <t xml:space="preserve">2025/06/11  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</si>
  <si>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</si>
  <si>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</si>
  <si>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</si>
  <si>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 xml:space="preserve">2025/06/25  </t>
  </si>
  <si>
    <t>379A</t>
  </si>
  <si>
    <t>グローバルＸ　Ｓ＆Ｐ５００　ＥＴＦ（ダイナミック・プロテクション）　受益証券</t>
  </si>
  <si>
    <t>Global X S&amp;P 500 ETF (Dynamic Protection)</t>
  </si>
  <si>
    <t xml:space="preserve">2025/06/24  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</si>
  <si>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</si>
  <si>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</si>
  <si>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</si>
  <si>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</si>
  <si>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</si>
  <si>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</si>
  <si>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</si>
  <si>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</si>
  <si>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</si>
  <si>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</si>
  <si>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</si>
  <si>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</si>
  <si>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 xml:space="preserve">2025/06/30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</si>
  <si>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</si>
  <si>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</si>
  <si>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</si>
  <si>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</si>
  <si>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</si>
  <si>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</si>
  <si>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</si>
  <si>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</si>
  <si>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</si>
  <si>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</si>
  <si>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</si>
  <si>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</si>
  <si>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</si>
  <si>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</si>
  <si>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</si>
  <si>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 xml:space="preserve">新株落ち  </t>
  </si>
  <si>
    <t xml:space="preserve">ex-subscription right  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</si>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</sst>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1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2984.5</f>
        <v>2984.5</v>
      </c>
      <c r="L7" s="34" t="s">
        <v>48</v>
      </c>
      <c r="M7" s="33" t="n">
        <f>3083</f>
        <v>3083.0</v>
      </c>
      <c r="N7" s="34" t="s">
        <v>49</v>
      </c>
      <c r="O7" s="33" t="n">
        <f>2944.5</f>
        <v>2944.5</v>
      </c>
      <c r="P7" s="34" t="s">
        <v>50</v>
      </c>
      <c r="Q7" s="33" t="n">
        <f>3065</f>
        <v>3065.0</v>
      </c>
      <c r="R7" s="34" t="s">
        <v>49</v>
      </c>
      <c r="S7" s="35" t="n">
        <f>2989.71</f>
        <v>2989.71</v>
      </c>
      <c r="T7" s="32" t="n">
        <f>11796450</f>
        <v>1.179645E7</v>
      </c>
      <c r="U7" s="32" t="n">
        <f>9276120</f>
        <v>9276120.0</v>
      </c>
      <c r="V7" s="32" t="n">
        <f>35258529575</f>
        <v>3.5258529575E10</v>
      </c>
      <c r="W7" s="32" t="n">
        <f>27690933605</f>
        <v>2.7690933605E10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2952.5</f>
        <v>2952.5</v>
      </c>
      <c r="L8" s="34" t="s">
        <v>48</v>
      </c>
      <c r="M8" s="33" t="n">
        <f>3051</f>
        <v>3051.0</v>
      </c>
      <c r="N8" s="34" t="s">
        <v>49</v>
      </c>
      <c r="O8" s="33" t="n">
        <f>2913.5</f>
        <v>2913.5</v>
      </c>
      <c r="P8" s="34" t="s">
        <v>50</v>
      </c>
      <c r="Q8" s="33" t="n">
        <f>3030</f>
        <v>3030.0</v>
      </c>
      <c r="R8" s="34" t="s">
        <v>49</v>
      </c>
      <c r="S8" s="35" t="n">
        <f>2958.43</f>
        <v>2958.43</v>
      </c>
      <c r="T8" s="32" t="n">
        <f>32549990</f>
        <v>3.254999E7</v>
      </c>
      <c r="U8" s="32" t="n">
        <f>11043060</f>
        <v>1.104306E7</v>
      </c>
      <c r="V8" s="32" t="n">
        <f>96408904105</f>
        <v>9.6408904105E10</v>
      </c>
      <c r="W8" s="32" t="n">
        <f>32673196265</f>
        <v>3.2673196265E10</v>
      </c>
      <c r="X8" s="36" t="n">
        <f>21</f>
        <v>21.0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2920</f>
        <v>2920.0</v>
      </c>
      <c r="L9" s="34" t="s">
        <v>48</v>
      </c>
      <c r="M9" s="33" t="n">
        <f>3016</f>
        <v>3016.0</v>
      </c>
      <c r="N9" s="34" t="s">
        <v>49</v>
      </c>
      <c r="O9" s="33" t="n">
        <f>2879</f>
        <v>2879.0</v>
      </c>
      <c r="P9" s="34" t="s">
        <v>50</v>
      </c>
      <c r="Q9" s="33" t="n">
        <f>2994</f>
        <v>2994.0</v>
      </c>
      <c r="R9" s="34" t="s">
        <v>49</v>
      </c>
      <c r="S9" s="35" t="n">
        <f>2924.52</f>
        <v>2924.52</v>
      </c>
      <c r="T9" s="32" t="n">
        <f>15618294</f>
        <v>1.5618294E7</v>
      </c>
      <c r="U9" s="32" t="n">
        <f>10492120</f>
        <v>1.049212E7</v>
      </c>
      <c r="V9" s="32" t="n">
        <f>45685373881</f>
        <v>4.5685373881E10</v>
      </c>
      <c r="W9" s="32" t="n">
        <f>30677438261</f>
        <v>3.0677438261E10</v>
      </c>
      <c r="X9" s="36" t="n">
        <f>21</f>
        <v>21.0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42370</f>
        <v>42370.0</v>
      </c>
      <c r="L10" s="34" t="s">
        <v>48</v>
      </c>
      <c r="M10" s="33" t="n">
        <f>44290</f>
        <v>44290.0</v>
      </c>
      <c r="N10" s="34" t="s">
        <v>60</v>
      </c>
      <c r="O10" s="33" t="n">
        <f>41390</f>
        <v>41390.0</v>
      </c>
      <c r="P10" s="34" t="s">
        <v>48</v>
      </c>
      <c r="Q10" s="33" t="n">
        <f>43420</f>
        <v>43420.0</v>
      </c>
      <c r="R10" s="34" t="s">
        <v>49</v>
      </c>
      <c r="S10" s="35" t="n">
        <f>42891.43</f>
        <v>42891.43</v>
      </c>
      <c r="T10" s="32" t="n">
        <f>1601</f>
        <v>1601.0</v>
      </c>
      <c r="U10" s="32" t="str">
        <f>"－"</f>
        <v>－</v>
      </c>
      <c r="V10" s="32" t="n">
        <f>68567840</f>
        <v>6.856784E7</v>
      </c>
      <c r="W10" s="32" t="str">
        <f>"－"</f>
        <v>－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1488</f>
        <v>1488.0</v>
      </c>
      <c r="L11" s="34" t="s">
        <v>48</v>
      </c>
      <c r="M11" s="33" t="n">
        <f>1553</f>
        <v>1553.0</v>
      </c>
      <c r="N11" s="34" t="s">
        <v>49</v>
      </c>
      <c r="O11" s="33" t="n">
        <f>1444.5</f>
        <v>1444.5</v>
      </c>
      <c r="P11" s="34" t="s">
        <v>64</v>
      </c>
      <c r="Q11" s="33" t="n">
        <f>1514</f>
        <v>1514.0</v>
      </c>
      <c r="R11" s="34" t="s">
        <v>49</v>
      </c>
      <c r="S11" s="35" t="n">
        <f>1479.36</f>
        <v>1479.36</v>
      </c>
      <c r="T11" s="32" t="n">
        <f>315990</f>
        <v>315990.0</v>
      </c>
      <c r="U11" s="32" t="n">
        <f>118200</f>
        <v>118200.0</v>
      </c>
      <c r="V11" s="32" t="n">
        <f>468405705</f>
        <v>4.68405705E8</v>
      </c>
      <c r="W11" s="32" t="n">
        <f>175528140</f>
        <v>1.7552814E8</v>
      </c>
      <c r="X11" s="36" t="n">
        <f>21</f>
        <v>21.0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536.6</f>
        <v>536.6</v>
      </c>
      <c r="L12" s="34" t="s">
        <v>48</v>
      </c>
      <c r="M12" s="33" t="n">
        <f>567</f>
        <v>567.0</v>
      </c>
      <c r="N12" s="34" t="s">
        <v>68</v>
      </c>
      <c r="O12" s="33" t="n">
        <f>535.9</f>
        <v>535.9</v>
      </c>
      <c r="P12" s="34" t="s">
        <v>69</v>
      </c>
      <c r="Q12" s="33" t="n">
        <f>563.1</f>
        <v>563.1</v>
      </c>
      <c r="R12" s="34" t="s">
        <v>49</v>
      </c>
      <c r="S12" s="35" t="n">
        <f>557.29</f>
        <v>557.29</v>
      </c>
      <c r="T12" s="32" t="n">
        <f>292000</f>
        <v>292000.0</v>
      </c>
      <c r="U12" s="32" t="n">
        <f>220000</f>
        <v>220000.0</v>
      </c>
      <c r="V12" s="32" t="n">
        <f>164099200</f>
        <v>1.640992E8</v>
      </c>
      <c r="W12" s="32" t="n">
        <f>124005200</f>
        <v>1.240052E8</v>
      </c>
      <c r="X12" s="36" t="n">
        <f>15</f>
        <v>15.0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39280</f>
        <v>39280.0</v>
      </c>
      <c r="L13" s="34" t="s">
        <v>48</v>
      </c>
      <c r="M13" s="33" t="n">
        <f>42680</f>
        <v>42680.0</v>
      </c>
      <c r="N13" s="34" t="s">
        <v>49</v>
      </c>
      <c r="O13" s="33" t="n">
        <f>38950</f>
        <v>38950.0</v>
      </c>
      <c r="P13" s="34" t="s">
        <v>48</v>
      </c>
      <c r="Q13" s="33" t="n">
        <f>42270</f>
        <v>42270.0</v>
      </c>
      <c r="R13" s="34" t="s">
        <v>49</v>
      </c>
      <c r="S13" s="35" t="n">
        <f>40135.24</f>
        <v>40135.24</v>
      </c>
      <c r="T13" s="32" t="n">
        <f>1268732</f>
        <v>1268732.0</v>
      </c>
      <c r="U13" s="32" t="n">
        <f>423139</f>
        <v>423139.0</v>
      </c>
      <c r="V13" s="32" t="n">
        <f>51079913944</f>
        <v>5.1079913944E10</v>
      </c>
      <c r="W13" s="32" t="n">
        <f>16977992184</f>
        <v>1.6977992184E10</v>
      </c>
      <c r="X13" s="36" t="n">
        <f>21</f>
        <v>21.0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39420</f>
        <v>39420.0</v>
      </c>
      <c r="L14" s="34" t="s">
        <v>48</v>
      </c>
      <c r="M14" s="33" t="n">
        <f>42840</f>
        <v>42840.0</v>
      </c>
      <c r="N14" s="34" t="s">
        <v>49</v>
      </c>
      <c r="O14" s="33" t="n">
        <f>39110</f>
        <v>39110.0</v>
      </c>
      <c r="P14" s="34" t="s">
        <v>48</v>
      </c>
      <c r="Q14" s="33" t="n">
        <f>42420</f>
        <v>42420.0</v>
      </c>
      <c r="R14" s="34" t="s">
        <v>49</v>
      </c>
      <c r="S14" s="35" t="n">
        <f>40284.29</f>
        <v>40284.29</v>
      </c>
      <c r="T14" s="32" t="n">
        <f>5687029</f>
        <v>5687029.0</v>
      </c>
      <c r="U14" s="32" t="n">
        <f>744581</f>
        <v>744581.0</v>
      </c>
      <c r="V14" s="32" t="n">
        <f>231062132824</f>
        <v>2.31062132824E11</v>
      </c>
      <c r="W14" s="32" t="n">
        <f>30467406824</f>
        <v>3.0467406824E10</v>
      </c>
      <c r="X14" s="36" t="n">
        <f>21</f>
        <v>21.0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8050</f>
        <v>8050.0</v>
      </c>
      <c r="L15" s="34" t="s">
        <v>48</v>
      </c>
      <c r="M15" s="33" t="n">
        <f>8479</f>
        <v>8479.0</v>
      </c>
      <c r="N15" s="34" t="s">
        <v>60</v>
      </c>
      <c r="O15" s="33" t="n">
        <f>7908</f>
        <v>7908.0</v>
      </c>
      <c r="P15" s="34" t="s">
        <v>69</v>
      </c>
      <c r="Q15" s="33" t="n">
        <f>8380</f>
        <v>8380.0</v>
      </c>
      <c r="R15" s="34" t="s">
        <v>49</v>
      </c>
      <c r="S15" s="35" t="n">
        <f>8224.9</f>
        <v>8224.9</v>
      </c>
      <c r="T15" s="32" t="n">
        <f>18188</f>
        <v>18188.0</v>
      </c>
      <c r="U15" s="32" t="n">
        <f>4700</f>
        <v>4700.0</v>
      </c>
      <c r="V15" s="32" t="n">
        <f>151214524</f>
        <v>1.51214524E8</v>
      </c>
      <c r="W15" s="32" t="n">
        <f>39703579</f>
        <v>3.9703579E7</v>
      </c>
      <c r="X15" s="36" t="n">
        <f>21</f>
        <v>21.0</v>
      </c>
    </row>
    <row r="16">
      <c r="A16" s="27" t="s">
        <v>42</v>
      </c>
      <c r="B16" s="27" t="s">
        <v>79</v>
      </c>
      <c r="C16" s="27" t="s">
        <v>80</v>
      </c>
      <c r="D16" s="27" t="s">
        <v>81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211.1</f>
        <v>211.1</v>
      </c>
      <c r="L16" s="34" t="s">
        <v>48</v>
      </c>
      <c r="M16" s="33" t="n">
        <f>218.6</f>
        <v>218.6</v>
      </c>
      <c r="N16" s="34" t="s">
        <v>82</v>
      </c>
      <c r="O16" s="33" t="n">
        <f>202</f>
        <v>202.0</v>
      </c>
      <c r="P16" s="34" t="s">
        <v>48</v>
      </c>
      <c r="Q16" s="33" t="n">
        <f>215.1</f>
        <v>215.1</v>
      </c>
      <c r="R16" s="34" t="s">
        <v>49</v>
      </c>
      <c r="S16" s="35" t="n">
        <f>212.79</f>
        <v>212.79</v>
      </c>
      <c r="T16" s="32" t="n">
        <f>649000</f>
        <v>649000.0</v>
      </c>
      <c r="U16" s="32" t="n">
        <f>700</f>
        <v>700.0</v>
      </c>
      <c r="V16" s="32" t="n">
        <f>138218760</f>
        <v>1.3821876E8</v>
      </c>
      <c r="W16" s="32" t="n">
        <f>150250</f>
        <v>150250.0</v>
      </c>
      <c r="X16" s="36" t="n">
        <f>21</f>
        <v>21.0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43880</f>
        <v>43880.0</v>
      </c>
      <c r="L17" s="34" t="s">
        <v>48</v>
      </c>
      <c r="M17" s="33" t="n">
        <f>45960</f>
        <v>45960.0</v>
      </c>
      <c r="N17" s="34" t="s">
        <v>86</v>
      </c>
      <c r="O17" s="33" t="n">
        <f>43430</f>
        <v>43430.0</v>
      </c>
      <c r="P17" s="34" t="s">
        <v>49</v>
      </c>
      <c r="Q17" s="33" t="n">
        <f>43640</f>
        <v>43640.0</v>
      </c>
      <c r="R17" s="34" t="s">
        <v>49</v>
      </c>
      <c r="S17" s="35" t="n">
        <f>44616.19</f>
        <v>44616.19</v>
      </c>
      <c r="T17" s="32" t="n">
        <f>289802</f>
        <v>289802.0</v>
      </c>
      <c r="U17" s="32" t="str">
        <f>"－"</f>
        <v>－</v>
      </c>
      <c r="V17" s="32" t="n">
        <f>12945624740</f>
        <v>1.294562474E10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11435</f>
        <v>11435.0</v>
      </c>
      <c r="L18" s="34" t="s">
        <v>48</v>
      </c>
      <c r="M18" s="33" t="n">
        <f>11970</f>
        <v>11970.0</v>
      </c>
      <c r="N18" s="34" t="s">
        <v>86</v>
      </c>
      <c r="O18" s="33" t="n">
        <f>11300</f>
        <v>11300.0</v>
      </c>
      <c r="P18" s="34" t="s">
        <v>49</v>
      </c>
      <c r="Q18" s="33" t="n">
        <f>11380</f>
        <v>11380.0</v>
      </c>
      <c r="R18" s="34" t="s">
        <v>49</v>
      </c>
      <c r="S18" s="35" t="n">
        <f>11632.14</f>
        <v>11632.14</v>
      </c>
      <c r="T18" s="32" t="n">
        <f>685920</f>
        <v>685920.0</v>
      </c>
      <c r="U18" s="32" t="n">
        <f>5210</f>
        <v>5210.0</v>
      </c>
      <c r="V18" s="32" t="n">
        <f>7997191303</f>
        <v>7.997191303E9</v>
      </c>
      <c r="W18" s="32" t="n">
        <f>61381653</f>
        <v>6.1381653E7</v>
      </c>
      <c r="X18" s="36" t="n">
        <f>21</f>
        <v>21.0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3920</f>
        <v>3920.0</v>
      </c>
      <c r="L19" s="34" t="s">
        <v>48</v>
      </c>
      <c r="M19" s="33" t="n">
        <f>4259</f>
        <v>4259.0</v>
      </c>
      <c r="N19" s="34" t="s">
        <v>49</v>
      </c>
      <c r="O19" s="33" t="n">
        <f>3886</f>
        <v>3886.0</v>
      </c>
      <c r="P19" s="34" t="s">
        <v>48</v>
      </c>
      <c r="Q19" s="33" t="n">
        <f>4215</f>
        <v>4215.0</v>
      </c>
      <c r="R19" s="34" t="s">
        <v>49</v>
      </c>
      <c r="S19" s="35" t="n">
        <f>4004.1</f>
        <v>4004.1</v>
      </c>
      <c r="T19" s="32" t="n">
        <f>17431928</f>
        <v>1.7431928E7</v>
      </c>
      <c r="U19" s="32" t="n">
        <f>8147297</f>
        <v>8147297.0</v>
      </c>
      <c r="V19" s="32" t="n">
        <f>69806242428</f>
        <v>6.9806242428E10</v>
      </c>
      <c r="W19" s="32" t="n">
        <f>32463215809</f>
        <v>3.2463215809E10</v>
      </c>
      <c r="X19" s="36" t="n">
        <f>21</f>
        <v>21.0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39470</f>
        <v>39470.0</v>
      </c>
      <c r="L20" s="34" t="s">
        <v>48</v>
      </c>
      <c r="M20" s="33" t="n">
        <f>42870</f>
        <v>42870.0</v>
      </c>
      <c r="N20" s="34" t="s">
        <v>49</v>
      </c>
      <c r="O20" s="33" t="n">
        <f>39130</f>
        <v>39130.0</v>
      </c>
      <c r="P20" s="34" t="s">
        <v>48</v>
      </c>
      <c r="Q20" s="33" t="n">
        <f>42510</f>
        <v>42510.0</v>
      </c>
      <c r="R20" s="34" t="s">
        <v>49</v>
      </c>
      <c r="S20" s="35" t="n">
        <f>40313.33</f>
        <v>40313.33</v>
      </c>
      <c r="T20" s="32" t="n">
        <f>1609242</f>
        <v>1609242.0</v>
      </c>
      <c r="U20" s="32" t="n">
        <f>886445</f>
        <v>886445.0</v>
      </c>
      <c r="V20" s="32" t="n">
        <f>64716047218</f>
        <v>6.4716047218E10</v>
      </c>
      <c r="W20" s="32" t="n">
        <f>35371377668</f>
        <v>3.5371377668E10</v>
      </c>
      <c r="X20" s="36" t="n">
        <f>21</f>
        <v>21.0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970</f>
        <v>970.0</v>
      </c>
      <c r="L21" s="34" t="s">
        <v>48</v>
      </c>
      <c r="M21" s="33" t="n">
        <f>995</f>
        <v>995.0</v>
      </c>
      <c r="N21" s="34" t="s">
        <v>50</v>
      </c>
      <c r="O21" s="33" t="n">
        <f>957</f>
        <v>957.0</v>
      </c>
      <c r="P21" s="34" t="s">
        <v>69</v>
      </c>
      <c r="Q21" s="33" t="n">
        <f>973</f>
        <v>973.0</v>
      </c>
      <c r="R21" s="34" t="s">
        <v>49</v>
      </c>
      <c r="S21" s="35" t="n">
        <f>975.9</f>
        <v>975.9</v>
      </c>
      <c r="T21" s="32" t="n">
        <f>511094</f>
        <v>511094.0</v>
      </c>
      <c r="U21" s="32" t="str">
        <f>"－"</f>
        <v>－</v>
      </c>
      <c r="V21" s="32" t="n">
        <f>496677628</f>
        <v>4.96677628E8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99</v>
      </c>
      <c r="C22" s="27" t="s">
        <v>100</v>
      </c>
      <c r="D22" s="27" t="s">
        <v>101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1871.5</f>
        <v>1871.5</v>
      </c>
      <c r="L22" s="34" t="s">
        <v>48</v>
      </c>
      <c r="M22" s="33" t="n">
        <f>1939</f>
        <v>1939.0</v>
      </c>
      <c r="N22" s="34" t="s">
        <v>102</v>
      </c>
      <c r="O22" s="33" t="n">
        <f>1866</f>
        <v>1866.0</v>
      </c>
      <c r="P22" s="34" t="s">
        <v>69</v>
      </c>
      <c r="Q22" s="33" t="n">
        <f>1923.5</f>
        <v>1923.5</v>
      </c>
      <c r="R22" s="34" t="s">
        <v>49</v>
      </c>
      <c r="S22" s="35" t="n">
        <f>1908.19</f>
        <v>1908.19</v>
      </c>
      <c r="T22" s="32" t="n">
        <f>10832770</f>
        <v>1.083277E7</v>
      </c>
      <c r="U22" s="32" t="n">
        <f>2535560</f>
        <v>2535560.0</v>
      </c>
      <c r="V22" s="32" t="n">
        <f>20664110321</f>
        <v>2.0664110321E10</v>
      </c>
      <c r="W22" s="32" t="n">
        <f>4822055711</f>
        <v>4.822055711E9</v>
      </c>
      <c r="X22" s="36" t="n">
        <f>21</f>
        <v>21.0</v>
      </c>
    </row>
    <row r="23">
      <c r="A23" s="27" t="s">
        <v>42</v>
      </c>
      <c r="B23" s="27" t="s">
        <v>103</v>
      </c>
      <c r="C23" s="27" t="s">
        <v>104</v>
      </c>
      <c r="D23" s="27" t="s">
        <v>105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1769.5</f>
        <v>1769.5</v>
      </c>
      <c r="L23" s="34" t="s">
        <v>48</v>
      </c>
      <c r="M23" s="33" t="n">
        <f>1832.5</f>
        <v>1832.5</v>
      </c>
      <c r="N23" s="34" t="s">
        <v>49</v>
      </c>
      <c r="O23" s="33" t="n">
        <f>1760.5</f>
        <v>1760.5</v>
      </c>
      <c r="P23" s="34" t="s">
        <v>69</v>
      </c>
      <c r="Q23" s="33" t="n">
        <f>1809</f>
        <v>1809.0</v>
      </c>
      <c r="R23" s="34" t="s">
        <v>49</v>
      </c>
      <c r="S23" s="35" t="n">
        <f>1800.29</f>
        <v>1800.29</v>
      </c>
      <c r="T23" s="32" t="n">
        <f>1898600</f>
        <v>1898600.0</v>
      </c>
      <c r="U23" s="32" t="n">
        <f>1272900</f>
        <v>1272900.0</v>
      </c>
      <c r="V23" s="32" t="n">
        <f>3425558166</f>
        <v>3.425558166E9</v>
      </c>
      <c r="W23" s="32" t="n">
        <f>2293643416</f>
        <v>2.293643416E9</v>
      </c>
      <c r="X23" s="36" t="n">
        <f>21</f>
        <v>21.0</v>
      </c>
    </row>
    <row r="24">
      <c r="A24" s="27" t="s">
        <v>42</v>
      </c>
      <c r="B24" s="27" t="s">
        <v>106</v>
      </c>
      <c r="C24" s="27" t="s">
        <v>107</v>
      </c>
      <c r="D24" s="27" t="s">
        <v>108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39150</f>
        <v>39150.0</v>
      </c>
      <c r="L24" s="34" t="s">
        <v>48</v>
      </c>
      <c r="M24" s="33" t="n">
        <f>42530</f>
        <v>42530.0</v>
      </c>
      <c r="N24" s="34" t="s">
        <v>49</v>
      </c>
      <c r="O24" s="33" t="n">
        <f>38840</f>
        <v>38840.0</v>
      </c>
      <c r="P24" s="34" t="s">
        <v>48</v>
      </c>
      <c r="Q24" s="33" t="n">
        <f>42180</f>
        <v>42180.0</v>
      </c>
      <c r="R24" s="34" t="s">
        <v>49</v>
      </c>
      <c r="S24" s="35" t="n">
        <f>40007.62</f>
        <v>40007.62</v>
      </c>
      <c r="T24" s="32" t="n">
        <f>634333</f>
        <v>634333.0</v>
      </c>
      <c r="U24" s="32" t="n">
        <f>121362</f>
        <v>121362.0</v>
      </c>
      <c r="V24" s="32" t="n">
        <f>25496890686</f>
        <v>2.5496890686E10</v>
      </c>
      <c r="W24" s="32" t="n">
        <f>4923675446</f>
        <v>4.923675446E9</v>
      </c>
      <c r="X24" s="36" t="n">
        <f>21</f>
        <v>21.0</v>
      </c>
    </row>
    <row r="25">
      <c r="A25" s="27" t="s">
        <v>42</v>
      </c>
      <c r="B25" s="27" t="s">
        <v>109</v>
      </c>
      <c r="C25" s="27" t="s">
        <v>110</v>
      </c>
      <c r="D25" s="27" t="s">
        <v>111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2913.5</f>
        <v>2913.5</v>
      </c>
      <c r="L25" s="34" t="s">
        <v>48</v>
      </c>
      <c r="M25" s="33" t="n">
        <f>3008</f>
        <v>3008.0</v>
      </c>
      <c r="N25" s="34" t="s">
        <v>49</v>
      </c>
      <c r="O25" s="33" t="n">
        <f>2874</f>
        <v>2874.0</v>
      </c>
      <c r="P25" s="34" t="s">
        <v>50</v>
      </c>
      <c r="Q25" s="33" t="n">
        <f>2987</f>
        <v>2987.0</v>
      </c>
      <c r="R25" s="34" t="s">
        <v>49</v>
      </c>
      <c r="S25" s="35" t="n">
        <f>2918.02</f>
        <v>2918.02</v>
      </c>
      <c r="T25" s="32" t="n">
        <f>7478220</f>
        <v>7478220.0</v>
      </c>
      <c r="U25" s="32" t="n">
        <f>5702250</f>
        <v>5702250.0</v>
      </c>
      <c r="V25" s="32" t="n">
        <f>21722000913</f>
        <v>2.1722000913E10</v>
      </c>
      <c r="W25" s="32" t="n">
        <f>16539866108</f>
        <v>1.6539866108E10</v>
      </c>
      <c r="X25" s="36" t="n">
        <f>21</f>
        <v>21.0</v>
      </c>
    </row>
    <row r="26">
      <c r="A26" s="27" t="s">
        <v>42</v>
      </c>
      <c r="B26" s="27" t="s">
        <v>112</v>
      </c>
      <c r="C26" s="27" t="s">
        <v>113</v>
      </c>
      <c r="D26" s="27" t="s">
        <v>114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16460</f>
        <v>16460.0</v>
      </c>
      <c r="L26" s="34" t="s">
        <v>48</v>
      </c>
      <c r="M26" s="33" t="n">
        <f>16800</f>
        <v>16800.0</v>
      </c>
      <c r="N26" s="34" t="s">
        <v>49</v>
      </c>
      <c r="O26" s="33" t="n">
        <f>16230</f>
        <v>16230.0</v>
      </c>
      <c r="P26" s="34" t="s">
        <v>48</v>
      </c>
      <c r="Q26" s="33" t="n">
        <f>16435</f>
        <v>16435.0</v>
      </c>
      <c r="R26" s="34" t="s">
        <v>49</v>
      </c>
      <c r="S26" s="35" t="n">
        <f>16533.13</f>
        <v>16533.13</v>
      </c>
      <c r="T26" s="32" t="n">
        <f>507</f>
        <v>507.0</v>
      </c>
      <c r="U26" s="32" t="str">
        <f>"－"</f>
        <v>－</v>
      </c>
      <c r="V26" s="32" t="n">
        <f>8359530</f>
        <v>8359530.0</v>
      </c>
      <c r="W26" s="32" t="str">
        <f>"－"</f>
        <v>－</v>
      </c>
      <c r="X26" s="36" t="n">
        <f>16</f>
        <v>16.0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273.2</f>
        <v>273.2</v>
      </c>
      <c r="L27" s="34" t="s">
        <v>48</v>
      </c>
      <c r="M27" s="33" t="n">
        <f>280.9</f>
        <v>280.9</v>
      </c>
      <c r="N27" s="34" t="s">
        <v>50</v>
      </c>
      <c r="O27" s="33" t="n">
        <f>255.5</f>
        <v>255.5</v>
      </c>
      <c r="P27" s="34" t="s">
        <v>49</v>
      </c>
      <c r="Q27" s="33" t="n">
        <f>259.1</f>
        <v>259.1</v>
      </c>
      <c r="R27" s="34" t="s">
        <v>49</v>
      </c>
      <c r="S27" s="35" t="n">
        <f>272.37</f>
        <v>272.37</v>
      </c>
      <c r="T27" s="32" t="n">
        <f>29961830</f>
        <v>2.996183E7</v>
      </c>
      <c r="U27" s="32" t="n">
        <f>1110</f>
        <v>1110.0</v>
      </c>
      <c r="V27" s="32" t="n">
        <f>8121219494</f>
        <v>8.121219494E9</v>
      </c>
      <c r="W27" s="32" t="n">
        <f>301330</f>
        <v>301330.0</v>
      </c>
      <c r="X27" s="36" t="n">
        <f>21</f>
        <v>21.0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11400</f>
        <v>11400.0</v>
      </c>
      <c r="L28" s="34" t="s">
        <v>48</v>
      </c>
      <c r="M28" s="33" t="n">
        <f>11585</f>
        <v>11585.0</v>
      </c>
      <c r="N28" s="34" t="s">
        <v>48</v>
      </c>
      <c r="O28" s="33" t="n">
        <f>9604</f>
        <v>9604.0</v>
      </c>
      <c r="P28" s="34" t="s">
        <v>49</v>
      </c>
      <c r="Q28" s="33" t="n">
        <f>9790</f>
        <v>9790.0</v>
      </c>
      <c r="R28" s="34" t="s">
        <v>49</v>
      </c>
      <c r="S28" s="35" t="n">
        <f>10912</f>
        <v>10912.0</v>
      </c>
      <c r="T28" s="32" t="n">
        <f>33385933</f>
        <v>3.3385933E7</v>
      </c>
      <c r="U28" s="32" t="n">
        <f>478772</f>
        <v>478772.0</v>
      </c>
      <c r="V28" s="32" t="n">
        <f>359636985580</f>
        <v>3.5963698558E11</v>
      </c>
      <c r="W28" s="32" t="n">
        <f>5126749685</f>
        <v>5.126749685E9</v>
      </c>
      <c r="X28" s="36" t="n">
        <f>21</f>
        <v>21.0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46130</f>
        <v>46130.0</v>
      </c>
      <c r="L29" s="34" t="s">
        <v>48</v>
      </c>
      <c r="M29" s="33" t="n">
        <f>54440</f>
        <v>54440.0</v>
      </c>
      <c r="N29" s="34" t="s">
        <v>49</v>
      </c>
      <c r="O29" s="33" t="n">
        <f>45460</f>
        <v>45460.0</v>
      </c>
      <c r="P29" s="34" t="s">
        <v>48</v>
      </c>
      <c r="Q29" s="33" t="n">
        <f>53500</f>
        <v>53500.0</v>
      </c>
      <c r="R29" s="34" t="s">
        <v>49</v>
      </c>
      <c r="S29" s="35" t="n">
        <f>48192.86</f>
        <v>48192.86</v>
      </c>
      <c r="T29" s="32" t="n">
        <f>195666</f>
        <v>195666.0</v>
      </c>
      <c r="U29" s="32" t="n">
        <f>18</f>
        <v>18.0</v>
      </c>
      <c r="V29" s="32" t="n">
        <f>9584761330</f>
        <v>9.58476133E9</v>
      </c>
      <c r="W29" s="32" t="n">
        <f>883780</f>
        <v>883780.0</v>
      </c>
      <c r="X29" s="36" t="n">
        <f>21</f>
        <v>21.0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280</f>
        <v>280.0</v>
      </c>
      <c r="L30" s="34" t="s">
        <v>48</v>
      </c>
      <c r="M30" s="33" t="n">
        <f>284.6</f>
        <v>284.6</v>
      </c>
      <c r="N30" s="34" t="s">
        <v>48</v>
      </c>
      <c r="O30" s="33" t="n">
        <f>235.9</f>
        <v>235.9</v>
      </c>
      <c r="P30" s="34" t="s">
        <v>49</v>
      </c>
      <c r="Q30" s="33" t="n">
        <f>241</f>
        <v>241.0</v>
      </c>
      <c r="R30" s="34" t="s">
        <v>49</v>
      </c>
      <c r="S30" s="35" t="n">
        <f>268.05</f>
        <v>268.05</v>
      </c>
      <c r="T30" s="32" t="n">
        <f>834811710</f>
        <v>8.3481171E8</v>
      </c>
      <c r="U30" s="32" t="n">
        <f>6281910</f>
        <v>6281910.0</v>
      </c>
      <c r="V30" s="32" t="n">
        <f>222658018445</f>
        <v>2.22658018445E11</v>
      </c>
      <c r="W30" s="32" t="n">
        <f>1660549336</f>
        <v>1.660549336E9</v>
      </c>
      <c r="X30" s="36" t="n">
        <f>21</f>
        <v>21.0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2599</f>
        <v>2599.0</v>
      </c>
      <c r="L31" s="34" t="s">
        <v>48</v>
      </c>
      <c r="M31" s="33" t="n">
        <f>2685</f>
        <v>2685.0</v>
      </c>
      <c r="N31" s="34" t="s">
        <v>49</v>
      </c>
      <c r="O31" s="33" t="n">
        <f>2568</f>
        <v>2568.0</v>
      </c>
      <c r="P31" s="34" t="s">
        <v>50</v>
      </c>
      <c r="Q31" s="33" t="n">
        <f>2670</f>
        <v>2670.0</v>
      </c>
      <c r="R31" s="34" t="s">
        <v>49</v>
      </c>
      <c r="S31" s="35" t="n">
        <f>2605.67</f>
        <v>2605.67</v>
      </c>
      <c r="T31" s="32" t="n">
        <f>208756</f>
        <v>208756.0</v>
      </c>
      <c r="U31" s="32" t="n">
        <f>106689</f>
        <v>106689.0</v>
      </c>
      <c r="V31" s="32" t="n">
        <f>550980098</f>
        <v>5.50980098E8</v>
      </c>
      <c r="W31" s="32" t="n">
        <f>282904602</f>
        <v>2.82904602E8</v>
      </c>
      <c r="X31" s="36" t="n">
        <f>21</f>
        <v>21.0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37490</f>
        <v>37490.0</v>
      </c>
      <c r="L32" s="34" t="s">
        <v>48</v>
      </c>
      <c r="M32" s="33" t="n">
        <f>44280</f>
        <v>44280.0</v>
      </c>
      <c r="N32" s="34" t="s">
        <v>49</v>
      </c>
      <c r="O32" s="33" t="n">
        <f>36990</f>
        <v>36990.0</v>
      </c>
      <c r="P32" s="34" t="s">
        <v>48</v>
      </c>
      <c r="Q32" s="33" t="n">
        <f>43400</f>
        <v>43400.0</v>
      </c>
      <c r="R32" s="34" t="s">
        <v>49</v>
      </c>
      <c r="S32" s="35" t="n">
        <f>39232.86</f>
        <v>39232.86</v>
      </c>
      <c r="T32" s="32" t="n">
        <f>1044581</f>
        <v>1044581.0</v>
      </c>
      <c r="U32" s="32" t="n">
        <f>24297</f>
        <v>24297.0</v>
      </c>
      <c r="V32" s="32" t="n">
        <f>41375555872</f>
        <v>4.1375555872E10</v>
      </c>
      <c r="W32" s="32" t="n">
        <f>965043032</f>
        <v>9.65043032E8</v>
      </c>
      <c r="X32" s="36" t="n">
        <f>21</f>
        <v>21.0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286</f>
        <v>286.0</v>
      </c>
      <c r="L33" s="34" t="s">
        <v>48</v>
      </c>
      <c r="M33" s="33" t="n">
        <f>292</f>
        <v>292.0</v>
      </c>
      <c r="N33" s="34" t="s">
        <v>48</v>
      </c>
      <c r="O33" s="33" t="n">
        <f>241</f>
        <v>241.0</v>
      </c>
      <c r="P33" s="34" t="s">
        <v>49</v>
      </c>
      <c r="Q33" s="33" t="n">
        <f>247</f>
        <v>247.0</v>
      </c>
      <c r="R33" s="34" t="s">
        <v>49</v>
      </c>
      <c r="S33" s="35" t="n">
        <f>274.9</f>
        <v>274.9</v>
      </c>
      <c r="T33" s="32" t="n">
        <f>51678751</f>
        <v>5.1678751E7</v>
      </c>
      <c r="U33" s="32" t="n">
        <f>545546</f>
        <v>545546.0</v>
      </c>
      <c r="V33" s="32" t="n">
        <f>14080399636</f>
        <v>1.4080399636E10</v>
      </c>
      <c r="W33" s="32" t="n">
        <f>147682788</f>
        <v>1.47682788E8</v>
      </c>
      <c r="X33" s="36" t="n">
        <f>21</f>
        <v>21.0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36720</f>
        <v>36720.0</v>
      </c>
      <c r="L34" s="34" t="s">
        <v>48</v>
      </c>
      <c r="M34" s="33" t="n">
        <f>39060</f>
        <v>39060.0</v>
      </c>
      <c r="N34" s="34" t="s">
        <v>49</v>
      </c>
      <c r="O34" s="33" t="n">
        <f>35670</f>
        <v>35670.0</v>
      </c>
      <c r="P34" s="34" t="s">
        <v>50</v>
      </c>
      <c r="Q34" s="33" t="n">
        <f>38580</f>
        <v>38580.0</v>
      </c>
      <c r="R34" s="34" t="s">
        <v>49</v>
      </c>
      <c r="S34" s="35" t="n">
        <f>36780</f>
        <v>36780.0</v>
      </c>
      <c r="T34" s="32" t="n">
        <f>123764</f>
        <v>123764.0</v>
      </c>
      <c r="U34" s="32" t="n">
        <f>2239</f>
        <v>2239.0</v>
      </c>
      <c r="V34" s="32" t="n">
        <f>4613345812</f>
        <v>4.613345812E9</v>
      </c>
      <c r="W34" s="32" t="n">
        <f>82600352</f>
        <v>8.2600352E7</v>
      </c>
      <c r="X34" s="36" t="n">
        <f>21</f>
        <v>21.0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397</f>
        <v>397.0</v>
      </c>
      <c r="L35" s="34" t="s">
        <v>48</v>
      </c>
      <c r="M35" s="33" t="n">
        <f>408</f>
        <v>408.0</v>
      </c>
      <c r="N35" s="34" t="s">
        <v>50</v>
      </c>
      <c r="O35" s="33" t="n">
        <f>372</f>
        <v>372.0</v>
      </c>
      <c r="P35" s="34" t="s">
        <v>49</v>
      </c>
      <c r="Q35" s="33" t="n">
        <f>377</f>
        <v>377.0</v>
      </c>
      <c r="R35" s="34" t="s">
        <v>49</v>
      </c>
      <c r="S35" s="35" t="n">
        <f>396.1</f>
        <v>396.1</v>
      </c>
      <c r="T35" s="32" t="n">
        <f>2608421</f>
        <v>2608421.0</v>
      </c>
      <c r="U35" s="32" t="n">
        <f>5126</f>
        <v>5126.0</v>
      </c>
      <c r="V35" s="32" t="n">
        <f>1029206281</f>
        <v>1.029206281E9</v>
      </c>
      <c r="W35" s="32" t="n">
        <f>2035793</f>
        <v>2035793.0</v>
      </c>
      <c r="X35" s="36" t="n">
        <f>21</f>
        <v>21.0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38050</f>
        <v>38050.0</v>
      </c>
      <c r="L36" s="34" t="s">
        <v>48</v>
      </c>
      <c r="M36" s="33" t="n">
        <f>41330</f>
        <v>41330.0</v>
      </c>
      <c r="N36" s="34" t="s">
        <v>49</v>
      </c>
      <c r="O36" s="33" t="n">
        <f>37740</f>
        <v>37740.0</v>
      </c>
      <c r="P36" s="34" t="s">
        <v>48</v>
      </c>
      <c r="Q36" s="33" t="n">
        <f>40890</f>
        <v>40890.0</v>
      </c>
      <c r="R36" s="34" t="s">
        <v>49</v>
      </c>
      <c r="S36" s="35" t="n">
        <f>38868.1</f>
        <v>38868.1</v>
      </c>
      <c r="T36" s="32" t="n">
        <f>465055</f>
        <v>465055.0</v>
      </c>
      <c r="U36" s="32" t="n">
        <f>330710</f>
        <v>330710.0</v>
      </c>
      <c r="V36" s="32" t="n">
        <f>18741117223</f>
        <v>1.8741117223E10</v>
      </c>
      <c r="W36" s="32" t="n">
        <f>13516054293</f>
        <v>1.3516054293E10</v>
      </c>
      <c r="X36" s="36" t="n">
        <f>21</f>
        <v>21.0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38000</f>
        <v>38000.0</v>
      </c>
      <c r="L37" s="34" t="s">
        <v>48</v>
      </c>
      <c r="M37" s="33" t="n">
        <f>41290</f>
        <v>41290.0</v>
      </c>
      <c r="N37" s="34" t="s">
        <v>49</v>
      </c>
      <c r="O37" s="33" t="n">
        <f>37720</f>
        <v>37720.0</v>
      </c>
      <c r="P37" s="34" t="s">
        <v>48</v>
      </c>
      <c r="Q37" s="33" t="n">
        <f>40780</f>
        <v>40780.0</v>
      </c>
      <c r="R37" s="34" t="s">
        <v>49</v>
      </c>
      <c r="S37" s="35" t="n">
        <f>38924.44</f>
        <v>38924.44</v>
      </c>
      <c r="T37" s="32" t="n">
        <f>249285</f>
        <v>249285.0</v>
      </c>
      <c r="U37" s="32" t="n">
        <f>178646</f>
        <v>178646.0</v>
      </c>
      <c r="V37" s="32" t="n">
        <f>9796389164</f>
        <v>9.796389164E9</v>
      </c>
      <c r="W37" s="32" t="n">
        <f>7036184044</f>
        <v>7.036184044E9</v>
      </c>
      <c r="X37" s="36" t="n">
        <f>18</f>
        <v>18.0</v>
      </c>
    </row>
    <row r="38">
      <c r="A38" s="27" t="s">
        <v>42</v>
      </c>
      <c r="B38" s="27" t="s">
        <v>148</v>
      </c>
      <c r="C38" s="27" t="s">
        <v>149</v>
      </c>
      <c r="D38" s="27" t="s">
        <v>150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1793.5</f>
        <v>1793.5</v>
      </c>
      <c r="L38" s="34" t="s">
        <v>48</v>
      </c>
      <c r="M38" s="33" t="n">
        <f>1843.5</f>
        <v>1843.5</v>
      </c>
      <c r="N38" s="34" t="s">
        <v>151</v>
      </c>
      <c r="O38" s="33" t="n">
        <f>1781.5</f>
        <v>1781.5</v>
      </c>
      <c r="P38" s="34" t="s">
        <v>152</v>
      </c>
      <c r="Q38" s="33" t="n">
        <f>1829</f>
        <v>1829.0</v>
      </c>
      <c r="R38" s="34" t="s">
        <v>49</v>
      </c>
      <c r="S38" s="35" t="n">
        <f>1816.79</f>
        <v>1816.79</v>
      </c>
      <c r="T38" s="32" t="n">
        <f>6170340</f>
        <v>6170340.0</v>
      </c>
      <c r="U38" s="32" t="n">
        <f>4192610</f>
        <v>4192610.0</v>
      </c>
      <c r="V38" s="32" t="n">
        <f>11122431166</f>
        <v>1.1122431166E10</v>
      </c>
      <c r="W38" s="32" t="n">
        <f>7524174036</f>
        <v>7.524174036E9</v>
      </c>
      <c r="X38" s="36" t="n">
        <f>21</f>
        <v>21.0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2230</f>
        <v>2230.0</v>
      </c>
      <c r="L39" s="34" t="s">
        <v>48</v>
      </c>
      <c r="M39" s="33" t="n">
        <f>2273</f>
        <v>2273.0</v>
      </c>
      <c r="N39" s="34" t="s">
        <v>49</v>
      </c>
      <c r="O39" s="33" t="n">
        <f>2206</f>
        <v>2206.0</v>
      </c>
      <c r="P39" s="34" t="s">
        <v>152</v>
      </c>
      <c r="Q39" s="33" t="n">
        <f>2264</f>
        <v>2264.0</v>
      </c>
      <c r="R39" s="34" t="s">
        <v>49</v>
      </c>
      <c r="S39" s="35" t="n">
        <f>2227.1</f>
        <v>2227.1</v>
      </c>
      <c r="T39" s="32" t="n">
        <f>12234</f>
        <v>12234.0</v>
      </c>
      <c r="U39" s="32" t="str">
        <f>"－"</f>
        <v>－</v>
      </c>
      <c r="V39" s="32" t="n">
        <f>27181780</f>
        <v>2.718178E7</v>
      </c>
      <c r="W39" s="32" t="str">
        <f>"－"</f>
        <v>－</v>
      </c>
      <c r="X39" s="36" t="n">
        <f>21</f>
        <v>21.0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1989</f>
        <v>1989.0</v>
      </c>
      <c r="L40" s="34" t="s">
        <v>48</v>
      </c>
      <c r="M40" s="33" t="n">
        <f>2022</f>
        <v>2022.0</v>
      </c>
      <c r="N40" s="34" t="s">
        <v>60</v>
      </c>
      <c r="O40" s="33" t="n">
        <f>1892</f>
        <v>1892.0</v>
      </c>
      <c r="P40" s="34" t="s">
        <v>60</v>
      </c>
      <c r="Q40" s="33" t="n">
        <f>1975</f>
        <v>1975.0</v>
      </c>
      <c r="R40" s="34" t="s">
        <v>49</v>
      </c>
      <c r="S40" s="35" t="n">
        <f>1986.14</f>
        <v>1986.14</v>
      </c>
      <c r="T40" s="32" t="n">
        <f>142521</f>
        <v>142521.0</v>
      </c>
      <c r="U40" s="32" t="str">
        <f>"－"</f>
        <v>－</v>
      </c>
      <c r="V40" s="32" t="n">
        <f>284523949</f>
        <v>2.84523949E8</v>
      </c>
      <c r="W40" s="32" t="str">
        <f>"－"</f>
        <v>－</v>
      </c>
      <c r="X40" s="36" t="n">
        <f>21</f>
        <v>21.0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2454</f>
        <v>2454.0</v>
      </c>
      <c r="L41" s="34" t="s">
        <v>48</v>
      </c>
      <c r="M41" s="33" t="n">
        <f>2472</f>
        <v>2472.0</v>
      </c>
      <c r="N41" s="34" t="s">
        <v>48</v>
      </c>
      <c r="O41" s="33" t="n">
        <f>2253</f>
        <v>2253.0</v>
      </c>
      <c r="P41" s="34" t="s">
        <v>49</v>
      </c>
      <c r="Q41" s="33" t="n">
        <f>2277</f>
        <v>2277.0</v>
      </c>
      <c r="R41" s="34" t="s">
        <v>49</v>
      </c>
      <c r="S41" s="35" t="n">
        <f>2398.81</f>
        <v>2398.81</v>
      </c>
      <c r="T41" s="32" t="n">
        <f>2279487</f>
        <v>2279487.0</v>
      </c>
      <c r="U41" s="32" t="n">
        <f>1018095</f>
        <v>1018095.0</v>
      </c>
      <c r="V41" s="32" t="n">
        <f>5366031931</f>
        <v>5.366031931E9</v>
      </c>
      <c r="W41" s="32" t="n">
        <f>2377416536</f>
        <v>2.377416536E9</v>
      </c>
      <c r="X41" s="36" t="n">
        <f>21</f>
        <v>21.0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2772</f>
        <v>2772.0</v>
      </c>
      <c r="L42" s="34" t="s">
        <v>48</v>
      </c>
      <c r="M42" s="33" t="n">
        <f>2810</f>
        <v>2810.0</v>
      </c>
      <c r="N42" s="34" t="s">
        <v>50</v>
      </c>
      <c r="O42" s="33" t="n">
        <f>2682</f>
        <v>2682.0</v>
      </c>
      <c r="P42" s="34" t="s">
        <v>49</v>
      </c>
      <c r="Q42" s="33" t="n">
        <f>2701</f>
        <v>2701.0</v>
      </c>
      <c r="R42" s="34" t="s">
        <v>49</v>
      </c>
      <c r="S42" s="35" t="n">
        <f>2768.29</f>
        <v>2768.29</v>
      </c>
      <c r="T42" s="32" t="n">
        <f>406295</f>
        <v>406295.0</v>
      </c>
      <c r="U42" s="32" t="n">
        <f>324315</f>
        <v>324315.0</v>
      </c>
      <c r="V42" s="32" t="n">
        <f>1131444535</f>
        <v>1.131444535E9</v>
      </c>
      <c r="W42" s="32" t="n">
        <f>905446742</f>
        <v>9.05446742E8</v>
      </c>
      <c r="X42" s="36" t="n">
        <f>21</f>
        <v>21.0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28850</f>
        <v>28850.0</v>
      </c>
      <c r="L43" s="34" t="s">
        <v>48</v>
      </c>
      <c r="M43" s="33" t="n">
        <f>34090</f>
        <v>34090.0</v>
      </c>
      <c r="N43" s="34" t="s">
        <v>49</v>
      </c>
      <c r="O43" s="33" t="n">
        <f>28455</f>
        <v>28455.0</v>
      </c>
      <c r="P43" s="34" t="s">
        <v>48</v>
      </c>
      <c r="Q43" s="33" t="n">
        <f>33450</f>
        <v>33450.0</v>
      </c>
      <c r="R43" s="34" t="s">
        <v>49</v>
      </c>
      <c r="S43" s="35" t="n">
        <f>30197.14</f>
        <v>30197.14</v>
      </c>
      <c r="T43" s="32" t="n">
        <f>6162445</f>
        <v>6162445.0</v>
      </c>
      <c r="U43" s="32" t="n">
        <f>3493</f>
        <v>3493.0</v>
      </c>
      <c r="V43" s="32" t="n">
        <f>186604356680</f>
        <v>1.8660435668E11</v>
      </c>
      <c r="W43" s="32" t="n">
        <f>106651025</f>
        <v>1.06651025E8</v>
      </c>
      <c r="X43" s="36" t="n">
        <f>21</f>
        <v>21.0</v>
      </c>
    </row>
    <row r="44">
      <c r="A44" s="27" t="s">
        <v>42</v>
      </c>
      <c r="B44" s="27" t="s">
        <v>168</v>
      </c>
      <c r="C44" s="27" t="s">
        <v>169</v>
      </c>
      <c r="D44" s="27" t="s">
        <v>170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460</f>
        <v>460.0</v>
      </c>
      <c r="L44" s="34" t="s">
        <v>48</v>
      </c>
      <c r="M44" s="33" t="n">
        <f>467</f>
        <v>467.0</v>
      </c>
      <c r="N44" s="34" t="s">
        <v>48</v>
      </c>
      <c r="O44" s="33" t="n">
        <f>386</f>
        <v>386.0</v>
      </c>
      <c r="P44" s="34" t="s">
        <v>49</v>
      </c>
      <c r="Q44" s="33" t="n">
        <f>395</f>
        <v>395.0</v>
      </c>
      <c r="R44" s="34" t="s">
        <v>49</v>
      </c>
      <c r="S44" s="35" t="n">
        <f>439.33</f>
        <v>439.33</v>
      </c>
      <c r="T44" s="32" t="n">
        <f>224836856</f>
        <v>2.24836856E8</v>
      </c>
      <c r="U44" s="32" t="n">
        <f>3105569</f>
        <v>3105569.0</v>
      </c>
      <c r="V44" s="32" t="n">
        <f>98290731287</f>
        <v>9.8290731287E10</v>
      </c>
      <c r="W44" s="32" t="n">
        <f>1333433572</f>
        <v>1.333433572E9</v>
      </c>
      <c r="X44" s="36" t="n">
        <f>21</f>
        <v>21.0</v>
      </c>
    </row>
    <row r="45">
      <c r="A45" s="27" t="s">
        <v>42</v>
      </c>
      <c r="B45" s="27" t="s">
        <v>171</v>
      </c>
      <c r="C45" s="27" t="s">
        <v>172</v>
      </c>
      <c r="D45" s="27" t="s">
        <v>173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504</f>
        <v>504.0</v>
      </c>
      <c r="L45" s="34" t="s">
        <v>48</v>
      </c>
      <c r="M45" s="33" t="n">
        <f>517</f>
        <v>517.0</v>
      </c>
      <c r="N45" s="34" t="s">
        <v>152</v>
      </c>
      <c r="O45" s="33" t="n">
        <f>479</f>
        <v>479.0</v>
      </c>
      <c r="P45" s="34" t="s">
        <v>49</v>
      </c>
      <c r="Q45" s="33" t="n">
        <f>488</f>
        <v>488.0</v>
      </c>
      <c r="R45" s="34" t="s">
        <v>49</v>
      </c>
      <c r="S45" s="35" t="n">
        <f>508.43</f>
        <v>508.43</v>
      </c>
      <c r="T45" s="32" t="n">
        <f>65738</f>
        <v>65738.0</v>
      </c>
      <c r="U45" s="32" t="str">
        <f>"－"</f>
        <v>－</v>
      </c>
      <c r="V45" s="32" t="n">
        <f>33208419</f>
        <v>3.3208419E7</v>
      </c>
      <c r="W45" s="32" t="str">
        <f>"－"</f>
        <v>－</v>
      </c>
      <c r="X45" s="36" t="n">
        <f>21</f>
        <v>21.0</v>
      </c>
    </row>
    <row r="46">
      <c r="A46" s="27" t="s">
        <v>42</v>
      </c>
      <c r="B46" s="27" t="s">
        <v>174</v>
      </c>
      <c r="C46" s="27" t="s">
        <v>175</v>
      </c>
      <c r="D46" s="27" t="s">
        <v>176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487.6</f>
        <v>487.6</v>
      </c>
      <c r="L46" s="34" t="s">
        <v>48</v>
      </c>
      <c r="M46" s="33" t="n">
        <f>506.7</f>
        <v>506.7</v>
      </c>
      <c r="N46" s="34" t="s">
        <v>64</v>
      </c>
      <c r="O46" s="33" t="n">
        <f>461</f>
        <v>461.0</v>
      </c>
      <c r="P46" s="34" t="s">
        <v>49</v>
      </c>
      <c r="Q46" s="33" t="n">
        <f>466.9</f>
        <v>466.9</v>
      </c>
      <c r="R46" s="34" t="s">
        <v>49</v>
      </c>
      <c r="S46" s="35" t="n">
        <f>489.98</f>
        <v>489.98</v>
      </c>
      <c r="T46" s="32" t="n">
        <f>115970</f>
        <v>115970.0</v>
      </c>
      <c r="U46" s="32" t="str">
        <f>"－"</f>
        <v>－</v>
      </c>
      <c r="V46" s="32" t="n">
        <f>56621014</f>
        <v>5.6621014E7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177</v>
      </c>
      <c r="C47" s="27" t="s">
        <v>178</v>
      </c>
      <c r="D47" s="27" t="s">
        <v>179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200</f>
        <v>200.0</v>
      </c>
      <c r="L47" s="34" t="s">
        <v>48</v>
      </c>
      <c r="M47" s="33" t="n">
        <f>205</f>
        <v>205.0</v>
      </c>
      <c r="N47" s="34" t="s">
        <v>152</v>
      </c>
      <c r="O47" s="33" t="n">
        <f>188</f>
        <v>188.0</v>
      </c>
      <c r="P47" s="34" t="s">
        <v>49</v>
      </c>
      <c r="Q47" s="33" t="n">
        <f>192</f>
        <v>192.0</v>
      </c>
      <c r="R47" s="34" t="s">
        <v>49</v>
      </c>
      <c r="S47" s="35" t="n">
        <f>199.76</f>
        <v>199.76</v>
      </c>
      <c r="T47" s="32" t="n">
        <f>199200</f>
        <v>199200.0</v>
      </c>
      <c r="U47" s="32" t="str">
        <f>"－"</f>
        <v>－</v>
      </c>
      <c r="V47" s="32" t="n">
        <f>39290308</f>
        <v>3.9290308E7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180</v>
      </c>
      <c r="C48" s="27" t="s">
        <v>181</v>
      </c>
      <c r="D48" s="27" t="s">
        <v>182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2845.5</f>
        <v>2845.5</v>
      </c>
      <c r="L48" s="34" t="s">
        <v>48</v>
      </c>
      <c r="M48" s="33" t="n">
        <f>2949</f>
        <v>2949.0</v>
      </c>
      <c r="N48" s="34" t="s">
        <v>49</v>
      </c>
      <c r="O48" s="33" t="n">
        <f>2821</f>
        <v>2821.0</v>
      </c>
      <c r="P48" s="34" t="s">
        <v>50</v>
      </c>
      <c r="Q48" s="33" t="n">
        <f>2932</f>
        <v>2932.0</v>
      </c>
      <c r="R48" s="34" t="s">
        <v>49</v>
      </c>
      <c r="S48" s="35" t="n">
        <f>2860.4</f>
        <v>2860.4</v>
      </c>
      <c r="T48" s="32" t="n">
        <f>4491440</f>
        <v>4491440.0</v>
      </c>
      <c r="U48" s="32" t="n">
        <f>4030810</f>
        <v>4030810.0</v>
      </c>
      <c r="V48" s="32" t="n">
        <f>12866573995</f>
        <v>1.2866573995E10</v>
      </c>
      <c r="W48" s="32" t="n">
        <f>11532746130</f>
        <v>1.153274613E10</v>
      </c>
      <c r="X48" s="36" t="n">
        <f>21</f>
        <v>21.0</v>
      </c>
    </row>
    <row r="49">
      <c r="A49" s="27" t="s">
        <v>42</v>
      </c>
      <c r="B49" s="27" t="s">
        <v>183</v>
      </c>
      <c r="C49" s="27" t="s">
        <v>184</v>
      </c>
      <c r="D49" s="27" t="s">
        <v>185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25680</f>
        <v>25680.0</v>
      </c>
      <c r="L49" s="34" t="s">
        <v>48</v>
      </c>
      <c r="M49" s="33" t="n">
        <f>26575</f>
        <v>26575.0</v>
      </c>
      <c r="N49" s="34" t="s">
        <v>49</v>
      </c>
      <c r="O49" s="33" t="n">
        <f>25430</f>
        <v>25430.0</v>
      </c>
      <c r="P49" s="34" t="s">
        <v>50</v>
      </c>
      <c r="Q49" s="33" t="n">
        <f>26405</f>
        <v>26405.0</v>
      </c>
      <c r="R49" s="34" t="s">
        <v>49</v>
      </c>
      <c r="S49" s="35" t="n">
        <f>25776.9</f>
        <v>25776.9</v>
      </c>
      <c r="T49" s="32" t="n">
        <f>23556</f>
        <v>23556.0</v>
      </c>
      <c r="U49" s="32" t="str">
        <f>"－"</f>
        <v>－</v>
      </c>
      <c r="V49" s="32" t="n">
        <f>607573410</f>
        <v>6.0757341E8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186</v>
      </c>
      <c r="C50" s="27" t="s">
        <v>187</v>
      </c>
      <c r="D50" s="27" t="s">
        <v>188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287.9</f>
        <v>287.9</v>
      </c>
      <c r="L50" s="34" t="s">
        <v>48</v>
      </c>
      <c r="M50" s="33" t="n">
        <f>297.2</f>
        <v>297.2</v>
      </c>
      <c r="N50" s="34" t="s">
        <v>49</v>
      </c>
      <c r="O50" s="33" t="n">
        <f>283.7</f>
        <v>283.7</v>
      </c>
      <c r="P50" s="34" t="s">
        <v>50</v>
      </c>
      <c r="Q50" s="33" t="n">
        <f>295</f>
        <v>295.0</v>
      </c>
      <c r="R50" s="34" t="s">
        <v>49</v>
      </c>
      <c r="S50" s="35" t="n">
        <f>288.14</f>
        <v>288.14</v>
      </c>
      <c r="T50" s="32" t="n">
        <f>168750870</f>
        <v>1.6875087E8</v>
      </c>
      <c r="U50" s="32" t="n">
        <f>68109370</f>
        <v>6.810937E7</v>
      </c>
      <c r="V50" s="32" t="n">
        <f>48623194722</f>
        <v>4.8623194722E10</v>
      </c>
      <c r="W50" s="32" t="n">
        <f>19635387725</f>
        <v>1.9635387725E10</v>
      </c>
      <c r="X50" s="36" t="n">
        <f>21</f>
        <v>21.0</v>
      </c>
    </row>
    <row r="51">
      <c r="A51" s="27" t="s">
        <v>42</v>
      </c>
      <c r="B51" s="27" t="s">
        <v>189</v>
      </c>
      <c r="C51" s="27" t="s">
        <v>190</v>
      </c>
      <c r="D51" s="27" t="s">
        <v>191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1800</f>
        <v>1800.0</v>
      </c>
      <c r="L51" s="34" t="s">
        <v>48</v>
      </c>
      <c r="M51" s="33" t="n">
        <f>1862</f>
        <v>1862.0</v>
      </c>
      <c r="N51" s="34" t="s">
        <v>102</v>
      </c>
      <c r="O51" s="33" t="n">
        <f>1791</f>
        <v>1791.0</v>
      </c>
      <c r="P51" s="34" t="s">
        <v>69</v>
      </c>
      <c r="Q51" s="33" t="n">
        <f>1841</f>
        <v>1841.0</v>
      </c>
      <c r="R51" s="34" t="s">
        <v>49</v>
      </c>
      <c r="S51" s="35" t="n">
        <f>1830.29</f>
        <v>1830.29</v>
      </c>
      <c r="T51" s="32" t="n">
        <f>8273907</f>
        <v>8273907.0</v>
      </c>
      <c r="U51" s="32" t="n">
        <f>5051601</f>
        <v>5051601.0</v>
      </c>
      <c r="V51" s="32" t="n">
        <f>15195801676</f>
        <v>1.5195801676E10</v>
      </c>
      <c r="W51" s="32" t="n">
        <f>9299155910</f>
        <v>9.29915591E9</v>
      </c>
      <c r="X51" s="36" t="n">
        <f>21</f>
        <v>21.0</v>
      </c>
    </row>
    <row r="52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2640</f>
        <v>2640.0</v>
      </c>
      <c r="L52" s="34" t="s">
        <v>48</v>
      </c>
      <c r="M52" s="33" t="n">
        <f>2670</f>
        <v>2670.0</v>
      </c>
      <c r="N52" s="34" t="s">
        <v>49</v>
      </c>
      <c r="O52" s="33" t="n">
        <f>2593</f>
        <v>2593.0</v>
      </c>
      <c r="P52" s="34" t="s">
        <v>64</v>
      </c>
      <c r="Q52" s="33" t="n">
        <f>2665</f>
        <v>2665.0</v>
      </c>
      <c r="R52" s="34" t="s">
        <v>49</v>
      </c>
      <c r="S52" s="35" t="n">
        <f>2624.9</f>
        <v>2624.9</v>
      </c>
      <c r="T52" s="32" t="n">
        <f>20801</f>
        <v>20801.0</v>
      </c>
      <c r="U52" s="32" t="n">
        <f>5077</f>
        <v>5077.0</v>
      </c>
      <c r="V52" s="32" t="n">
        <f>54667490</f>
        <v>5.466749E7</v>
      </c>
      <c r="W52" s="32" t="n">
        <f>13524049</f>
        <v>1.3524049E7</v>
      </c>
      <c r="X52" s="36" t="n">
        <f>21</f>
        <v>21.0</v>
      </c>
    </row>
    <row r="53">
      <c r="A53" s="27" t="s">
        <v>42</v>
      </c>
      <c r="B53" s="27" t="s">
        <v>195</v>
      </c>
      <c r="C53" s="27" t="s">
        <v>196</v>
      </c>
      <c r="D53" s="27" t="s">
        <v>197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3902</f>
        <v>3902.0</v>
      </c>
      <c r="L53" s="34" t="s">
        <v>48</v>
      </c>
      <c r="M53" s="33" t="n">
        <f>3902</f>
        <v>3902.0</v>
      </c>
      <c r="N53" s="34" t="s">
        <v>48</v>
      </c>
      <c r="O53" s="33" t="n">
        <f>3735</f>
        <v>3735.0</v>
      </c>
      <c r="P53" s="34" t="s">
        <v>198</v>
      </c>
      <c r="Q53" s="33" t="n">
        <f>3843</f>
        <v>3843.0</v>
      </c>
      <c r="R53" s="34" t="s">
        <v>49</v>
      </c>
      <c r="S53" s="35" t="n">
        <f>3814</f>
        <v>3814.0</v>
      </c>
      <c r="T53" s="32" t="n">
        <f>1275200</f>
        <v>1275200.0</v>
      </c>
      <c r="U53" s="32" t="n">
        <f>577734</f>
        <v>577734.0</v>
      </c>
      <c r="V53" s="32" t="n">
        <f>4828909878</f>
        <v>4.828909878E9</v>
      </c>
      <c r="W53" s="32" t="n">
        <f>2180374077</f>
        <v>2.180374077E9</v>
      </c>
      <c r="X53" s="36" t="n">
        <f>21</f>
        <v>21.0</v>
      </c>
    </row>
    <row r="54">
      <c r="A54" s="27" t="s">
        <v>42</v>
      </c>
      <c r="B54" s="27" t="s">
        <v>199</v>
      </c>
      <c r="C54" s="27" t="s">
        <v>200</v>
      </c>
      <c r="D54" s="27" t="s">
        <v>201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35560</f>
        <v>35560.0</v>
      </c>
      <c r="L54" s="34" t="s">
        <v>48</v>
      </c>
      <c r="M54" s="33" t="n">
        <f>35960</f>
        <v>35960.0</v>
      </c>
      <c r="N54" s="34" t="s">
        <v>202</v>
      </c>
      <c r="O54" s="33" t="n">
        <f>35390</f>
        <v>35390.0</v>
      </c>
      <c r="P54" s="34" t="s">
        <v>152</v>
      </c>
      <c r="Q54" s="33" t="n">
        <f>35960</f>
        <v>35960.0</v>
      </c>
      <c r="R54" s="34" t="s">
        <v>202</v>
      </c>
      <c r="S54" s="35" t="n">
        <f>35647.5</f>
        <v>35647.5</v>
      </c>
      <c r="T54" s="32" t="n">
        <f>28</f>
        <v>28.0</v>
      </c>
      <c r="U54" s="32" t="str">
        <f>"－"</f>
        <v>－</v>
      </c>
      <c r="V54" s="32" t="n">
        <f>996210</f>
        <v>996210.0</v>
      </c>
      <c r="W54" s="32" t="str">
        <f>"－"</f>
        <v>－</v>
      </c>
      <c r="X54" s="36" t="n">
        <f>4</f>
        <v>4.0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27255</f>
        <v>27255.0</v>
      </c>
      <c r="L55" s="34" t="s">
        <v>48</v>
      </c>
      <c r="M55" s="33" t="n">
        <f>27795</f>
        <v>27795.0</v>
      </c>
      <c r="N55" s="34" t="s">
        <v>69</v>
      </c>
      <c r="O55" s="33" t="n">
        <f>26905</f>
        <v>26905.0</v>
      </c>
      <c r="P55" s="34" t="s">
        <v>206</v>
      </c>
      <c r="Q55" s="33" t="n">
        <f>27305</f>
        <v>27305.0</v>
      </c>
      <c r="R55" s="34" t="s">
        <v>207</v>
      </c>
      <c r="S55" s="35" t="n">
        <f>27286.25</f>
        <v>27286.25</v>
      </c>
      <c r="T55" s="32" t="n">
        <f>827</f>
        <v>827.0</v>
      </c>
      <c r="U55" s="32" t="str">
        <f>"－"</f>
        <v>－</v>
      </c>
      <c r="V55" s="32" t="n">
        <f>22587755</f>
        <v>2.2587755E7</v>
      </c>
      <c r="W55" s="32" t="str">
        <f>"－"</f>
        <v>－</v>
      </c>
      <c r="X55" s="36" t="n">
        <f>8</f>
        <v>8.0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2925</f>
        <v>2925.0</v>
      </c>
      <c r="L56" s="34" t="s">
        <v>48</v>
      </c>
      <c r="M56" s="33" t="n">
        <f>2960</f>
        <v>2960.0</v>
      </c>
      <c r="N56" s="34" t="s">
        <v>49</v>
      </c>
      <c r="O56" s="33" t="n">
        <f>2862</f>
        <v>2862.0</v>
      </c>
      <c r="P56" s="34" t="s">
        <v>50</v>
      </c>
      <c r="Q56" s="33" t="n">
        <f>2919</f>
        <v>2919.0</v>
      </c>
      <c r="R56" s="34" t="s">
        <v>49</v>
      </c>
      <c r="S56" s="35" t="n">
        <f>2898.53</f>
        <v>2898.53</v>
      </c>
      <c r="T56" s="32" t="n">
        <f>207</f>
        <v>207.0</v>
      </c>
      <c r="U56" s="32" t="str">
        <f>"－"</f>
        <v>－</v>
      </c>
      <c r="V56" s="32" t="n">
        <f>604129</f>
        <v>604129.0</v>
      </c>
      <c r="W56" s="32" t="str">
        <f>"－"</f>
        <v>－</v>
      </c>
      <c r="X56" s="36" t="n">
        <f>19</f>
        <v>19.0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1638</f>
        <v>1638.0</v>
      </c>
      <c r="L57" s="34" t="s">
        <v>48</v>
      </c>
      <c r="M57" s="33" t="n">
        <f>1659</f>
        <v>1659.0</v>
      </c>
      <c r="N57" s="34" t="s">
        <v>151</v>
      </c>
      <c r="O57" s="33" t="n">
        <f>1623</f>
        <v>1623.0</v>
      </c>
      <c r="P57" s="34" t="s">
        <v>202</v>
      </c>
      <c r="Q57" s="33" t="n">
        <f>1655</f>
        <v>1655.0</v>
      </c>
      <c r="R57" s="34" t="s">
        <v>49</v>
      </c>
      <c r="S57" s="35" t="n">
        <f>1640</f>
        <v>1640.0</v>
      </c>
      <c r="T57" s="32" t="n">
        <f>13406868</f>
        <v>1.3406868E7</v>
      </c>
      <c r="U57" s="32" t="n">
        <f>11605663</f>
        <v>1.1605663E7</v>
      </c>
      <c r="V57" s="32" t="n">
        <f>22013426715</f>
        <v>2.2013426715E10</v>
      </c>
      <c r="W57" s="32" t="n">
        <f>19057013041</f>
        <v>1.9057013041E10</v>
      </c>
      <c r="X57" s="36" t="n">
        <f>21</f>
        <v>21.0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2893</f>
        <v>2893.0</v>
      </c>
      <c r="L58" s="34" t="s">
        <v>48</v>
      </c>
      <c r="M58" s="33" t="n">
        <f>2935</f>
        <v>2935.0</v>
      </c>
      <c r="N58" s="34" t="s">
        <v>49</v>
      </c>
      <c r="O58" s="33" t="n">
        <f>2853</f>
        <v>2853.0</v>
      </c>
      <c r="P58" s="34" t="s">
        <v>50</v>
      </c>
      <c r="Q58" s="33" t="n">
        <f>2931</f>
        <v>2931.0</v>
      </c>
      <c r="R58" s="34" t="s">
        <v>49</v>
      </c>
      <c r="S58" s="35" t="n">
        <f>2886.15</f>
        <v>2886.15</v>
      </c>
      <c r="T58" s="32" t="n">
        <f>254</f>
        <v>254.0</v>
      </c>
      <c r="U58" s="32" t="str">
        <f>"－"</f>
        <v>－</v>
      </c>
      <c r="V58" s="32" t="n">
        <f>733790</f>
        <v>733790.0</v>
      </c>
      <c r="W58" s="32" t="str">
        <f>"－"</f>
        <v>－</v>
      </c>
      <c r="X58" s="36" t="n">
        <f>13</f>
        <v>13.0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2903.5</f>
        <v>2903.5</v>
      </c>
      <c r="L59" s="34" t="s">
        <v>48</v>
      </c>
      <c r="M59" s="33" t="n">
        <f>2923.5</f>
        <v>2923.5</v>
      </c>
      <c r="N59" s="34" t="s">
        <v>220</v>
      </c>
      <c r="O59" s="33" t="n">
        <f>2837</f>
        <v>2837.0</v>
      </c>
      <c r="P59" s="34" t="s">
        <v>50</v>
      </c>
      <c r="Q59" s="33" t="n">
        <f>2916.5</f>
        <v>2916.5</v>
      </c>
      <c r="R59" s="34" t="s">
        <v>49</v>
      </c>
      <c r="S59" s="35" t="n">
        <f>2870</f>
        <v>2870.0</v>
      </c>
      <c r="T59" s="32" t="n">
        <f>1540</f>
        <v>1540.0</v>
      </c>
      <c r="U59" s="32" t="str">
        <f>"－"</f>
        <v>－</v>
      </c>
      <c r="V59" s="32" t="n">
        <f>4424730</f>
        <v>4424730.0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40500</f>
        <v>40500.0</v>
      </c>
      <c r="L60" s="34" t="s">
        <v>206</v>
      </c>
      <c r="M60" s="33" t="n">
        <f>42210</f>
        <v>42210.0</v>
      </c>
      <c r="N60" s="34" t="s">
        <v>49</v>
      </c>
      <c r="O60" s="33" t="n">
        <f>40100</f>
        <v>40100.0</v>
      </c>
      <c r="P60" s="34" t="s">
        <v>152</v>
      </c>
      <c r="Q60" s="33" t="n">
        <f>42200</f>
        <v>42200.0</v>
      </c>
      <c r="R60" s="34" t="s">
        <v>49</v>
      </c>
      <c r="S60" s="35" t="n">
        <f>40946.67</f>
        <v>40946.67</v>
      </c>
      <c r="T60" s="32" t="n">
        <f>960</f>
        <v>960.0</v>
      </c>
      <c r="U60" s="32" t="str">
        <f>"－"</f>
        <v>－</v>
      </c>
      <c r="V60" s="32" t="n">
        <f>38730780</f>
        <v>3.873078E7</v>
      </c>
      <c r="W60" s="32" t="str">
        <f>"－"</f>
        <v>－</v>
      </c>
      <c r="X60" s="36" t="n">
        <f>3</f>
        <v>3.0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22370</f>
        <v>22370.0</v>
      </c>
      <c r="L61" s="34" t="s">
        <v>48</v>
      </c>
      <c r="M61" s="33" t="n">
        <f>23000</f>
        <v>23000.0</v>
      </c>
      <c r="N61" s="34" t="s">
        <v>64</v>
      </c>
      <c r="O61" s="33" t="n">
        <f>22125</f>
        <v>22125.0</v>
      </c>
      <c r="P61" s="34" t="s">
        <v>69</v>
      </c>
      <c r="Q61" s="33" t="n">
        <f>22705</f>
        <v>22705.0</v>
      </c>
      <c r="R61" s="34" t="s">
        <v>49</v>
      </c>
      <c r="S61" s="35" t="n">
        <f>22555.24</f>
        <v>22555.24</v>
      </c>
      <c r="T61" s="32" t="n">
        <f>200377</f>
        <v>200377.0</v>
      </c>
      <c r="U61" s="32" t="n">
        <f>189000</f>
        <v>189000.0</v>
      </c>
      <c r="V61" s="32" t="n">
        <f>4534576404</f>
        <v>4.534576404E9</v>
      </c>
      <c r="W61" s="32" t="n">
        <f>4278225754</f>
        <v>4.278225754E9</v>
      </c>
      <c r="X61" s="36" t="n">
        <f>21</f>
        <v>21.0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12705</f>
        <v>12705.0</v>
      </c>
      <c r="L62" s="34" t="s">
        <v>48</v>
      </c>
      <c r="M62" s="33" t="n">
        <f>12880</f>
        <v>12880.0</v>
      </c>
      <c r="N62" s="34" t="s">
        <v>49</v>
      </c>
      <c r="O62" s="33" t="n">
        <f>12610</f>
        <v>12610.0</v>
      </c>
      <c r="P62" s="34" t="s">
        <v>202</v>
      </c>
      <c r="Q62" s="33" t="n">
        <f>12845</f>
        <v>12845.0</v>
      </c>
      <c r="R62" s="34" t="s">
        <v>49</v>
      </c>
      <c r="S62" s="35" t="n">
        <f>12729.52</f>
        <v>12729.52</v>
      </c>
      <c r="T62" s="32" t="n">
        <f>1118349</f>
        <v>1118349.0</v>
      </c>
      <c r="U62" s="32" t="n">
        <f>1105002</f>
        <v>1105002.0</v>
      </c>
      <c r="V62" s="32" t="n">
        <f>14286286463</f>
        <v>1.4286286463E10</v>
      </c>
      <c r="W62" s="32" t="n">
        <f>14116662683</f>
        <v>1.4116662683E10</v>
      </c>
      <c r="X62" s="36" t="n">
        <f>21</f>
        <v>21.0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1806</f>
        <v>1806.0</v>
      </c>
      <c r="L63" s="34" t="s">
        <v>48</v>
      </c>
      <c r="M63" s="33" t="n">
        <f>1857</f>
        <v>1857.0</v>
      </c>
      <c r="N63" s="34" t="s">
        <v>151</v>
      </c>
      <c r="O63" s="33" t="n">
        <f>1786</f>
        <v>1786.0</v>
      </c>
      <c r="P63" s="34" t="s">
        <v>69</v>
      </c>
      <c r="Q63" s="33" t="n">
        <f>1836</f>
        <v>1836.0</v>
      </c>
      <c r="R63" s="34" t="s">
        <v>49</v>
      </c>
      <c r="S63" s="35" t="n">
        <f>1826.71</f>
        <v>1826.71</v>
      </c>
      <c r="T63" s="32" t="n">
        <f>3403092</f>
        <v>3403092.0</v>
      </c>
      <c r="U63" s="32" t="n">
        <f>1116883</f>
        <v>1116883.0</v>
      </c>
      <c r="V63" s="32" t="n">
        <f>6213873307</f>
        <v>6.213873307E9</v>
      </c>
      <c r="W63" s="32" t="n">
        <f>2031520379</f>
        <v>2.031520379E9</v>
      </c>
      <c r="X63" s="36" t="n">
        <f>21</f>
        <v>21.0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2287</f>
        <v>2287.0</v>
      </c>
      <c r="L64" s="34" t="s">
        <v>48</v>
      </c>
      <c r="M64" s="33" t="n">
        <f>2287</f>
        <v>2287.0</v>
      </c>
      <c r="N64" s="34" t="s">
        <v>48</v>
      </c>
      <c r="O64" s="33" t="n">
        <f>2204</f>
        <v>2204.0</v>
      </c>
      <c r="P64" s="34" t="s">
        <v>64</v>
      </c>
      <c r="Q64" s="33" t="n">
        <f>2258</f>
        <v>2258.0</v>
      </c>
      <c r="R64" s="34" t="s">
        <v>49</v>
      </c>
      <c r="S64" s="35" t="n">
        <f>2245.81</f>
        <v>2245.81</v>
      </c>
      <c r="T64" s="32" t="n">
        <f>8921141</f>
        <v>8921141.0</v>
      </c>
      <c r="U64" s="32" t="n">
        <f>1048502</f>
        <v>1048502.0</v>
      </c>
      <c r="V64" s="32" t="n">
        <f>20016756457</f>
        <v>2.0016756457E10</v>
      </c>
      <c r="W64" s="32" t="n">
        <f>2338326712</f>
        <v>2.338326712E9</v>
      </c>
      <c r="X64" s="36" t="n">
        <f>21</f>
        <v>21.0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7304</f>
        <v>7304.0</v>
      </c>
      <c r="L65" s="34" t="s">
        <v>48</v>
      </c>
      <c r="M65" s="33" t="n">
        <f>7500</f>
        <v>7500.0</v>
      </c>
      <c r="N65" s="34" t="s">
        <v>152</v>
      </c>
      <c r="O65" s="33" t="n">
        <f>7300</f>
        <v>7300.0</v>
      </c>
      <c r="P65" s="34" t="s">
        <v>48</v>
      </c>
      <c r="Q65" s="33" t="n">
        <f>7350</f>
        <v>7350.0</v>
      </c>
      <c r="R65" s="34" t="s">
        <v>151</v>
      </c>
      <c r="S65" s="35" t="n">
        <f>7386.33</f>
        <v>7386.33</v>
      </c>
      <c r="T65" s="32" t="n">
        <f>26241</f>
        <v>26241.0</v>
      </c>
      <c r="U65" s="32" t="n">
        <f>26048</f>
        <v>26048.0</v>
      </c>
      <c r="V65" s="32" t="n">
        <f>193036490</f>
        <v>1.9303649E8</v>
      </c>
      <c r="W65" s="32" t="n">
        <f>191616618</f>
        <v>1.91616618E8</v>
      </c>
      <c r="X65" s="36" t="n">
        <f>9</f>
        <v>9.0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20035</f>
        <v>20035.0</v>
      </c>
      <c r="L66" s="34" t="s">
        <v>48</v>
      </c>
      <c r="M66" s="33" t="n">
        <f>20670</f>
        <v>20670.0</v>
      </c>
      <c r="N66" s="34" t="s">
        <v>49</v>
      </c>
      <c r="O66" s="33" t="n">
        <f>19870</f>
        <v>19870.0</v>
      </c>
      <c r="P66" s="34" t="s">
        <v>69</v>
      </c>
      <c r="Q66" s="33" t="n">
        <f>20610</f>
        <v>20610.0</v>
      </c>
      <c r="R66" s="34" t="s">
        <v>49</v>
      </c>
      <c r="S66" s="35" t="n">
        <f>20169.52</f>
        <v>20169.52</v>
      </c>
      <c r="T66" s="32" t="n">
        <f>9469</f>
        <v>9469.0</v>
      </c>
      <c r="U66" s="32" t="n">
        <f>2</f>
        <v>2.0</v>
      </c>
      <c r="V66" s="32" t="n">
        <f>190555340</f>
        <v>1.9055534E8</v>
      </c>
      <c r="W66" s="32" t="n">
        <f>40680</f>
        <v>40680.0</v>
      </c>
      <c r="X66" s="36" t="n">
        <f>21</f>
        <v>21.0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31560</f>
        <v>31560.0</v>
      </c>
      <c r="L67" s="34" t="s">
        <v>48</v>
      </c>
      <c r="M67" s="33" t="n">
        <f>32380</f>
        <v>32380.0</v>
      </c>
      <c r="N67" s="34" t="s">
        <v>49</v>
      </c>
      <c r="O67" s="33" t="n">
        <f>31460</f>
        <v>31460.0</v>
      </c>
      <c r="P67" s="34" t="s">
        <v>69</v>
      </c>
      <c r="Q67" s="33" t="n">
        <f>32270</f>
        <v>32270.0</v>
      </c>
      <c r="R67" s="34" t="s">
        <v>49</v>
      </c>
      <c r="S67" s="35" t="n">
        <f>31871.9</f>
        <v>31871.9</v>
      </c>
      <c r="T67" s="32" t="n">
        <f>34027</f>
        <v>34027.0</v>
      </c>
      <c r="U67" s="32" t="n">
        <f>21887</f>
        <v>21887.0</v>
      </c>
      <c r="V67" s="32" t="n">
        <f>1090176283</f>
        <v>1.090176283E9</v>
      </c>
      <c r="W67" s="32" t="n">
        <f>703964993</f>
        <v>7.03964993E8</v>
      </c>
      <c r="X67" s="36" t="n">
        <f>21</f>
        <v>21.0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9926</f>
        <v>9926.0</v>
      </c>
      <c r="L68" s="34" t="s">
        <v>48</v>
      </c>
      <c r="M68" s="33" t="n">
        <f>10380</f>
        <v>10380.0</v>
      </c>
      <c r="N68" s="34" t="s">
        <v>49</v>
      </c>
      <c r="O68" s="33" t="n">
        <f>9800</f>
        <v>9800.0</v>
      </c>
      <c r="P68" s="34" t="s">
        <v>48</v>
      </c>
      <c r="Q68" s="33" t="n">
        <f>10330</f>
        <v>10330.0</v>
      </c>
      <c r="R68" s="34" t="s">
        <v>49</v>
      </c>
      <c r="S68" s="35" t="n">
        <f>10070.29</f>
        <v>10070.29</v>
      </c>
      <c r="T68" s="32" t="n">
        <f>7778</f>
        <v>7778.0</v>
      </c>
      <c r="U68" s="32" t="str">
        <f>"－"</f>
        <v>－</v>
      </c>
      <c r="V68" s="32" t="n">
        <f>78571654</f>
        <v>7.8571654E7</v>
      </c>
      <c r="W68" s="32" t="str">
        <f>"－"</f>
        <v>－</v>
      </c>
      <c r="X68" s="36" t="n">
        <f>21</f>
        <v>21.0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1730</f>
        <v>1730.0</v>
      </c>
      <c r="L69" s="34" t="s">
        <v>48</v>
      </c>
      <c r="M69" s="33" t="n">
        <f>1757</f>
        <v>1757.0</v>
      </c>
      <c r="N69" s="34" t="s">
        <v>151</v>
      </c>
      <c r="O69" s="33" t="n">
        <f>1721</f>
        <v>1721.0</v>
      </c>
      <c r="P69" s="34" t="s">
        <v>69</v>
      </c>
      <c r="Q69" s="33" t="n">
        <f>1755</f>
        <v>1755.0</v>
      </c>
      <c r="R69" s="34" t="s">
        <v>49</v>
      </c>
      <c r="S69" s="35" t="n">
        <f>1736.62</f>
        <v>1736.62</v>
      </c>
      <c r="T69" s="32" t="n">
        <f>2359536</f>
        <v>2359536.0</v>
      </c>
      <c r="U69" s="32" t="n">
        <f>2243800</f>
        <v>2243800.0</v>
      </c>
      <c r="V69" s="32" t="n">
        <f>4115073880</f>
        <v>4.11507388E9</v>
      </c>
      <c r="W69" s="32" t="n">
        <f>3914062767</f>
        <v>3.914062767E9</v>
      </c>
      <c r="X69" s="36" t="n">
        <f>21</f>
        <v>21.0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1817</f>
        <v>1817.0</v>
      </c>
      <c r="L70" s="34" t="s">
        <v>48</v>
      </c>
      <c r="M70" s="33" t="n">
        <f>1895</f>
        <v>1895.0</v>
      </c>
      <c r="N70" s="34" t="s">
        <v>69</v>
      </c>
      <c r="O70" s="33" t="n">
        <f>1811</f>
        <v>1811.0</v>
      </c>
      <c r="P70" s="34" t="s">
        <v>69</v>
      </c>
      <c r="Q70" s="33" t="n">
        <f>1838</f>
        <v>1838.0</v>
      </c>
      <c r="R70" s="34" t="s">
        <v>49</v>
      </c>
      <c r="S70" s="35" t="n">
        <f>1824.1</f>
        <v>1824.1</v>
      </c>
      <c r="T70" s="32" t="n">
        <f>381499</f>
        <v>381499.0</v>
      </c>
      <c r="U70" s="32" t="n">
        <f>4647</f>
        <v>4647.0</v>
      </c>
      <c r="V70" s="32" t="n">
        <f>702577890</f>
        <v>7.0257789E8</v>
      </c>
      <c r="W70" s="32" t="n">
        <f>8544135</f>
        <v>8544135.0</v>
      </c>
      <c r="X70" s="36" t="n">
        <f>21</f>
        <v>21.0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22245</f>
        <v>22245.0</v>
      </c>
      <c r="L71" s="34" t="s">
        <v>48</v>
      </c>
      <c r="M71" s="33" t="n">
        <f>22795</f>
        <v>22795.0</v>
      </c>
      <c r="N71" s="34" t="s">
        <v>49</v>
      </c>
      <c r="O71" s="33" t="n">
        <f>21815</f>
        <v>21815.0</v>
      </c>
      <c r="P71" s="34" t="s">
        <v>64</v>
      </c>
      <c r="Q71" s="33" t="n">
        <f>22620</f>
        <v>22620.0</v>
      </c>
      <c r="R71" s="34" t="s">
        <v>49</v>
      </c>
      <c r="S71" s="35" t="n">
        <f>22148.57</f>
        <v>22148.57</v>
      </c>
      <c r="T71" s="32" t="n">
        <f>1683</f>
        <v>1683.0</v>
      </c>
      <c r="U71" s="32" t="n">
        <f>1</f>
        <v>1.0</v>
      </c>
      <c r="V71" s="32" t="n">
        <f>37356605</f>
        <v>3.7356605E7</v>
      </c>
      <c r="W71" s="32" t="n">
        <f>22210</f>
        <v>22210.0</v>
      </c>
      <c r="X71" s="36" t="n">
        <f>21</f>
        <v>21.0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9192</f>
        <v>9192.0</v>
      </c>
      <c r="L72" s="34" t="s">
        <v>48</v>
      </c>
      <c r="M72" s="33" t="n">
        <f>9238</f>
        <v>9238.0</v>
      </c>
      <c r="N72" s="34" t="s">
        <v>206</v>
      </c>
      <c r="O72" s="33" t="n">
        <f>8948</f>
        <v>8948.0</v>
      </c>
      <c r="P72" s="34" t="s">
        <v>49</v>
      </c>
      <c r="Q72" s="33" t="n">
        <f>8981</f>
        <v>8981.0</v>
      </c>
      <c r="R72" s="34" t="s">
        <v>49</v>
      </c>
      <c r="S72" s="35" t="n">
        <f>9105.48</f>
        <v>9105.48</v>
      </c>
      <c r="T72" s="32" t="n">
        <f>3724</f>
        <v>3724.0</v>
      </c>
      <c r="U72" s="32" t="n">
        <f>21</f>
        <v>21.0</v>
      </c>
      <c r="V72" s="32" t="n">
        <f>33828598</f>
        <v>3.3828598E7</v>
      </c>
      <c r="W72" s="32" t="n">
        <f>189505</f>
        <v>189505.0</v>
      </c>
      <c r="X72" s="36" t="n">
        <f>21</f>
        <v>21.0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14390</f>
        <v>14390.0</v>
      </c>
      <c r="L73" s="34" t="s">
        <v>48</v>
      </c>
      <c r="M73" s="33" t="n">
        <f>15095</f>
        <v>15095.0</v>
      </c>
      <c r="N73" s="34" t="s">
        <v>86</v>
      </c>
      <c r="O73" s="33" t="n">
        <f>14255</f>
        <v>14255.0</v>
      </c>
      <c r="P73" s="34" t="s">
        <v>49</v>
      </c>
      <c r="Q73" s="33" t="n">
        <f>14335</f>
        <v>14335.0</v>
      </c>
      <c r="R73" s="34" t="s">
        <v>49</v>
      </c>
      <c r="S73" s="35" t="n">
        <f>14654.05</f>
        <v>14654.05</v>
      </c>
      <c r="T73" s="32" t="n">
        <f>8548120</f>
        <v>8548120.0</v>
      </c>
      <c r="U73" s="32" t="n">
        <f>1213518</f>
        <v>1213518.0</v>
      </c>
      <c r="V73" s="32" t="n">
        <f>125557739775</f>
        <v>1.25557739775E11</v>
      </c>
      <c r="W73" s="32" t="n">
        <f>17900835685</f>
        <v>1.7900835685E10</v>
      </c>
      <c r="X73" s="36" t="n">
        <f>21</f>
        <v>21.0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4473</f>
        <v>4473.0</v>
      </c>
      <c r="L74" s="34" t="s">
        <v>48</v>
      </c>
      <c r="M74" s="33" t="n">
        <f>6170</f>
        <v>6170.0</v>
      </c>
      <c r="N74" s="34" t="s">
        <v>151</v>
      </c>
      <c r="O74" s="33" t="n">
        <f>4380</f>
        <v>4380.0</v>
      </c>
      <c r="P74" s="34" t="s">
        <v>48</v>
      </c>
      <c r="Q74" s="33" t="n">
        <f>5880</f>
        <v>5880.0</v>
      </c>
      <c r="R74" s="34" t="s">
        <v>49</v>
      </c>
      <c r="S74" s="35" t="n">
        <f>5306.57</f>
        <v>5306.57</v>
      </c>
      <c r="T74" s="32" t="n">
        <f>2007420</f>
        <v>2007420.0</v>
      </c>
      <c r="U74" s="32" t="n">
        <f>12630</f>
        <v>12630.0</v>
      </c>
      <c r="V74" s="32" t="n">
        <f>11023637583</f>
        <v>1.1023637583E10</v>
      </c>
      <c r="W74" s="32" t="n">
        <f>68410970</f>
        <v>6.841097E7</v>
      </c>
      <c r="X74" s="36" t="n">
        <f>21</f>
        <v>21.0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14145</f>
        <v>14145.0</v>
      </c>
      <c r="L75" s="34" t="s">
        <v>48</v>
      </c>
      <c r="M75" s="33" t="n">
        <f>16100</f>
        <v>16100.0</v>
      </c>
      <c r="N75" s="34" t="s">
        <v>269</v>
      </c>
      <c r="O75" s="33" t="n">
        <f>14005</f>
        <v>14005.0</v>
      </c>
      <c r="P75" s="34" t="s">
        <v>48</v>
      </c>
      <c r="Q75" s="33" t="n">
        <f>15400</f>
        <v>15400.0</v>
      </c>
      <c r="R75" s="34" t="s">
        <v>49</v>
      </c>
      <c r="S75" s="35" t="n">
        <f>15339.05</f>
        <v>15339.05</v>
      </c>
      <c r="T75" s="32" t="n">
        <f>938886</f>
        <v>938886.0</v>
      </c>
      <c r="U75" s="32" t="n">
        <f>26533</f>
        <v>26533.0</v>
      </c>
      <c r="V75" s="32" t="n">
        <f>14451607656</f>
        <v>1.4451607656E10</v>
      </c>
      <c r="W75" s="32" t="n">
        <f>410418911</f>
        <v>4.10418911E8</v>
      </c>
      <c r="X75" s="36" t="n">
        <f>21</f>
        <v>21.0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40050</f>
        <v>40050.0</v>
      </c>
      <c r="L76" s="34" t="s">
        <v>48</v>
      </c>
      <c r="M76" s="33" t="n">
        <f>49480</f>
        <v>49480.0</v>
      </c>
      <c r="N76" s="34" t="s">
        <v>151</v>
      </c>
      <c r="O76" s="33" t="n">
        <f>40000</f>
        <v>40000.0</v>
      </c>
      <c r="P76" s="34" t="s">
        <v>48</v>
      </c>
      <c r="Q76" s="33" t="n">
        <f>47350</f>
        <v>47350.0</v>
      </c>
      <c r="R76" s="34" t="s">
        <v>49</v>
      </c>
      <c r="S76" s="35" t="n">
        <f>44065.71</f>
        <v>44065.71</v>
      </c>
      <c r="T76" s="32" t="n">
        <f>27572</f>
        <v>27572.0</v>
      </c>
      <c r="U76" s="32" t="n">
        <f>235</f>
        <v>235.0</v>
      </c>
      <c r="V76" s="32" t="n">
        <f>1242046245</f>
        <v>1.242046245E9</v>
      </c>
      <c r="W76" s="32" t="n">
        <f>10511705</f>
        <v>1.0511705E7</v>
      </c>
      <c r="X76" s="36" t="n">
        <f>21</f>
        <v>21.0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30970</f>
        <v>30970.0</v>
      </c>
      <c r="L77" s="34" t="s">
        <v>48</v>
      </c>
      <c r="M77" s="33" t="n">
        <f>33150</f>
        <v>33150.0</v>
      </c>
      <c r="N77" s="34" t="s">
        <v>49</v>
      </c>
      <c r="O77" s="33" t="n">
        <f>30700</f>
        <v>30700.0</v>
      </c>
      <c r="P77" s="34" t="s">
        <v>48</v>
      </c>
      <c r="Q77" s="33" t="n">
        <f>33050</f>
        <v>33050.0</v>
      </c>
      <c r="R77" s="34" t="s">
        <v>49</v>
      </c>
      <c r="S77" s="35" t="n">
        <f>31935.24</f>
        <v>31935.24</v>
      </c>
      <c r="T77" s="32" t="n">
        <f>644086</f>
        <v>644086.0</v>
      </c>
      <c r="U77" s="32" t="n">
        <f>10118</f>
        <v>10118.0</v>
      </c>
      <c r="V77" s="32" t="n">
        <f>20555901572</f>
        <v>2.0555901572E10</v>
      </c>
      <c r="W77" s="32" t="n">
        <f>321690882</f>
        <v>3.21690882E8</v>
      </c>
      <c r="X77" s="36" t="n">
        <f>21</f>
        <v>21.0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59370</f>
        <v>59370.0</v>
      </c>
      <c r="L78" s="34" t="s">
        <v>48</v>
      </c>
      <c r="M78" s="33" t="n">
        <f>62490</f>
        <v>62490.0</v>
      </c>
      <c r="N78" s="34" t="s">
        <v>49</v>
      </c>
      <c r="O78" s="33" t="n">
        <f>58950</f>
        <v>58950.0</v>
      </c>
      <c r="P78" s="34" t="s">
        <v>69</v>
      </c>
      <c r="Q78" s="33" t="n">
        <f>62260</f>
        <v>62260.0</v>
      </c>
      <c r="R78" s="34" t="s">
        <v>49</v>
      </c>
      <c r="S78" s="35" t="n">
        <f>60334.76</f>
        <v>60334.76</v>
      </c>
      <c r="T78" s="32" t="n">
        <f>54342</f>
        <v>54342.0</v>
      </c>
      <c r="U78" s="32" t="n">
        <f>16809</f>
        <v>16809.0</v>
      </c>
      <c r="V78" s="32" t="n">
        <f>3300902700</f>
        <v>3.3009027E9</v>
      </c>
      <c r="W78" s="32" t="n">
        <f>1025677500</f>
        <v>1.0256775E9</v>
      </c>
      <c r="X78" s="36" t="n">
        <f>21</f>
        <v>21.0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9206</f>
        <v>9206.0</v>
      </c>
      <c r="L79" s="34" t="s">
        <v>48</v>
      </c>
      <c r="M79" s="33" t="n">
        <f>9742</f>
        <v>9742.0</v>
      </c>
      <c r="N79" s="34" t="s">
        <v>49</v>
      </c>
      <c r="O79" s="33" t="n">
        <f>9140</f>
        <v>9140.0</v>
      </c>
      <c r="P79" s="34" t="s">
        <v>48</v>
      </c>
      <c r="Q79" s="33" t="n">
        <f>9717</f>
        <v>9717.0</v>
      </c>
      <c r="R79" s="34" t="s">
        <v>49</v>
      </c>
      <c r="S79" s="35" t="n">
        <f>9441.14</f>
        <v>9441.14</v>
      </c>
      <c r="T79" s="32" t="n">
        <f>929739</f>
        <v>929739.0</v>
      </c>
      <c r="U79" s="32" t="n">
        <f>297637</f>
        <v>297637.0</v>
      </c>
      <c r="V79" s="32" t="n">
        <f>8731871767</f>
        <v>8.731871767E9</v>
      </c>
      <c r="W79" s="32" t="n">
        <f>2766721859</f>
        <v>2.766721859E9</v>
      </c>
      <c r="X79" s="36" t="n">
        <f>21</f>
        <v>21.0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5800</f>
        <v>5800.0</v>
      </c>
      <c r="L80" s="34" t="s">
        <v>48</v>
      </c>
      <c r="M80" s="33" t="n">
        <f>6035</f>
        <v>6035.0</v>
      </c>
      <c r="N80" s="34" t="s">
        <v>49</v>
      </c>
      <c r="O80" s="33" t="n">
        <f>5747</f>
        <v>5747.0</v>
      </c>
      <c r="P80" s="34" t="s">
        <v>48</v>
      </c>
      <c r="Q80" s="33" t="n">
        <f>6012</f>
        <v>6012.0</v>
      </c>
      <c r="R80" s="34" t="s">
        <v>49</v>
      </c>
      <c r="S80" s="35" t="n">
        <f>5880.29</f>
        <v>5880.29</v>
      </c>
      <c r="T80" s="32" t="n">
        <f>127380</f>
        <v>127380.0</v>
      </c>
      <c r="U80" s="32" t="n">
        <f>7500</f>
        <v>7500.0</v>
      </c>
      <c r="V80" s="32" t="n">
        <f>749296099</f>
        <v>7.49296099E8</v>
      </c>
      <c r="W80" s="32" t="n">
        <f>43491719</f>
        <v>4.3491719E7</v>
      </c>
      <c r="X80" s="36" t="n">
        <f>21</f>
        <v>21.0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5830</f>
        <v>5830.0</v>
      </c>
      <c r="L81" s="34" t="s">
        <v>48</v>
      </c>
      <c r="M81" s="33" t="n">
        <f>6000</f>
        <v>6000.0</v>
      </c>
      <c r="N81" s="34" t="s">
        <v>60</v>
      </c>
      <c r="O81" s="33" t="n">
        <f>5540</f>
        <v>5540.0</v>
      </c>
      <c r="P81" s="34" t="s">
        <v>151</v>
      </c>
      <c r="Q81" s="33" t="n">
        <f>5805</f>
        <v>5805.0</v>
      </c>
      <c r="R81" s="34" t="s">
        <v>49</v>
      </c>
      <c r="S81" s="35" t="n">
        <f>5889.24</f>
        <v>5889.24</v>
      </c>
      <c r="T81" s="32" t="n">
        <f>18980</f>
        <v>18980.0</v>
      </c>
      <c r="U81" s="32" t="n">
        <f>380</f>
        <v>380.0</v>
      </c>
      <c r="V81" s="32" t="n">
        <f>111683720</f>
        <v>1.1168372E8</v>
      </c>
      <c r="W81" s="32" t="n">
        <f>2244000</f>
        <v>2244000.0</v>
      </c>
      <c r="X81" s="36" t="n">
        <f>21</f>
        <v>21.0</v>
      </c>
    </row>
    <row r="82">
      <c r="A82" s="27" t="s">
        <v>42</v>
      </c>
      <c r="B82" s="27" t="s">
        <v>288</v>
      </c>
      <c r="C82" s="27" t="s">
        <v>289</v>
      </c>
      <c r="D82" s="27" t="s">
        <v>290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4735</f>
        <v>4735.0</v>
      </c>
      <c r="L82" s="34" t="s">
        <v>48</v>
      </c>
      <c r="M82" s="33" t="n">
        <f>4983</f>
        <v>4983.0</v>
      </c>
      <c r="N82" s="34" t="s">
        <v>49</v>
      </c>
      <c r="O82" s="33" t="n">
        <f>4705</f>
        <v>4705.0</v>
      </c>
      <c r="P82" s="34" t="s">
        <v>48</v>
      </c>
      <c r="Q82" s="33" t="n">
        <f>4961</f>
        <v>4961.0</v>
      </c>
      <c r="R82" s="34" t="s">
        <v>49</v>
      </c>
      <c r="S82" s="35" t="n">
        <f>4852.24</f>
        <v>4852.24</v>
      </c>
      <c r="T82" s="32" t="n">
        <f>58516</f>
        <v>58516.0</v>
      </c>
      <c r="U82" s="32" t="str">
        <f>"－"</f>
        <v>－</v>
      </c>
      <c r="V82" s="32" t="n">
        <f>285016758</f>
        <v>2.85016758E8</v>
      </c>
      <c r="W82" s="32" t="str">
        <f>"－"</f>
        <v>－</v>
      </c>
      <c r="X82" s="36" t="n">
        <f>21</f>
        <v>21.0</v>
      </c>
    </row>
    <row r="83">
      <c r="A83" s="27" t="s">
        <v>42</v>
      </c>
      <c r="B83" s="27" t="s">
        <v>291</v>
      </c>
      <c r="C83" s="27" t="s">
        <v>292</v>
      </c>
      <c r="D83" s="27" t="s">
        <v>293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2164</f>
        <v>2164.0</v>
      </c>
      <c r="L83" s="34" t="s">
        <v>48</v>
      </c>
      <c r="M83" s="33" t="n">
        <f>2304</f>
        <v>2304.0</v>
      </c>
      <c r="N83" s="34" t="s">
        <v>294</v>
      </c>
      <c r="O83" s="33" t="n">
        <f>2164</f>
        <v>2164.0</v>
      </c>
      <c r="P83" s="34" t="s">
        <v>48</v>
      </c>
      <c r="Q83" s="33" t="n">
        <f>2258</f>
        <v>2258.0</v>
      </c>
      <c r="R83" s="34" t="s">
        <v>49</v>
      </c>
      <c r="S83" s="35" t="n">
        <f>2251.76</f>
        <v>2251.76</v>
      </c>
      <c r="T83" s="32" t="n">
        <f>36133</f>
        <v>36133.0</v>
      </c>
      <c r="U83" s="32" t="str">
        <f>"－"</f>
        <v>－</v>
      </c>
      <c r="V83" s="32" t="n">
        <f>81507425</f>
        <v>8.1507425E7</v>
      </c>
      <c r="W83" s="32" t="str">
        <f>"－"</f>
        <v>－</v>
      </c>
      <c r="X83" s="36" t="n">
        <f>21</f>
        <v>21.0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84610</f>
        <v>84610.0</v>
      </c>
      <c r="L84" s="34" t="s">
        <v>48</v>
      </c>
      <c r="M84" s="33" t="n">
        <f>89230</f>
        <v>89230.0</v>
      </c>
      <c r="N84" s="34" t="s">
        <v>49</v>
      </c>
      <c r="O84" s="33" t="n">
        <f>83950</f>
        <v>83950.0</v>
      </c>
      <c r="P84" s="34" t="s">
        <v>48</v>
      </c>
      <c r="Q84" s="33" t="n">
        <f>88900</f>
        <v>88900.0</v>
      </c>
      <c r="R84" s="34" t="s">
        <v>49</v>
      </c>
      <c r="S84" s="35" t="n">
        <f>86618.57</f>
        <v>86618.57</v>
      </c>
      <c r="T84" s="32" t="n">
        <f>66948</f>
        <v>66948.0</v>
      </c>
      <c r="U84" s="32" t="n">
        <f>696</f>
        <v>696.0</v>
      </c>
      <c r="V84" s="32" t="n">
        <f>5803253416</f>
        <v>5.803253416E9</v>
      </c>
      <c r="W84" s="32" t="n">
        <f>59952486</f>
        <v>5.9952486E7</v>
      </c>
      <c r="X84" s="36" t="n">
        <f>21</f>
        <v>21.0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3185</f>
        <v>3185.0</v>
      </c>
      <c r="L85" s="34" t="s">
        <v>48</v>
      </c>
      <c r="M85" s="33" t="n">
        <f>3190</f>
        <v>3190.0</v>
      </c>
      <c r="N85" s="34" t="s">
        <v>86</v>
      </c>
      <c r="O85" s="33" t="n">
        <f>3000</f>
        <v>3000.0</v>
      </c>
      <c r="P85" s="34" t="s">
        <v>86</v>
      </c>
      <c r="Q85" s="33" t="n">
        <f>3137</f>
        <v>3137.0</v>
      </c>
      <c r="R85" s="34" t="s">
        <v>49</v>
      </c>
      <c r="S85" s="35" t="n">
        <f>3085.24</f>
        <v>3085.24</v>
      </c>
      <c r="T85" s="32" t="n">
        <f>17150</f>
        <v>17150.0</v>
      </c>
      <c r="U85" s="32" t="str">
        <f>"－"</f>
        <v>－</v>
      </c>
      <c r="V85" s="32" t="n">
        <f>52166834</f>
        <v>5.2166834E7</v>
      </c>
      <c r="W85" s="32" t="str">
        <f>"－"</f>
        <v>－</v>
      </c>
      <c r="X85" s="36" t="n">
        <f>21</f>
        <v>21.0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5000</f>
        <v>5000.0</v>
      </c>
      <c r="L86" s="34" t="s">
        <v>48</v>
      </c>
      <c r="M86" s="33" t="n">
        <f>5170</f>
        <v>5170.0</v>
      </c>
      <c r="N86" s="34" t="s">
        <v>202</v>
      </c>
      <c r="O86" s="33" t="n">
        <f>4905</f>
        <v>4905.0</v>
      </c>
      <c r="P86" s="34" t="s">
        <v>304</v>
      </c>
      <c r="Q86" s="33" t="n">
        <f>5060</f>
        <v>5060.0</v>
      </c>
      <c r="R86" s="34" t="s">
        <v>49</v>
      </c>
      <c r="S86" s="35" t="n">
        <f>5019.57</f>
        <v>5019.57</v>
      </c>
      <c r="T86" s="32" t="n">
        <f>16012</f>
        <v>16012.0</v>
      </c>
      <c r="U86" s="32" t="str">
        <f>"－"</f>
        <v>－</v>
      </c>
      <c r="V86" s="32" t="n">
        <f>80415258</f>
        <v>8.0415258E7</v>
      </c>
      <c r="W86" s="32" t="str">
        <f>"－"</f>
        <v>－</v>
      </c>
      <c r="X86" s="36" t="n">
        <f>21</f>
        <v>21.0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2555</f>
        <v>2555.0</v>
      </c>
      <c r="L87" s="34" t="s">
        <v>48</v>
      </c>
      <c r="M87" s="33" t="n">
        <f>2575</f>
        <v>2575.0</v>
      </c>
      <c r="N87" s="34" t="s">
        <v>206</v>
      </c>
      <c r="O87" s="33" t="n">
        <f>2443</f>
        <v>2443.0</v>
      </c>
      <c r="P87" s="34" t="s">
        <v>202</v>
      </c>
      <c r="Q87" s="33" t="n">
        <f>2524</f>
        <v>2524.0</v>
      </c>
      <c r="R87" s="34" t="s">
        <v>49</v>
      </c>
      <c r="S87" s="35" t="n">
        <f>2508.52</f>
        <v>2508.52</v>
      </c>
      <c r="T87" s="32" t="n">
        <f>1450521</f>
        <v>1450521.0</v>
      </c>
      <c r="U87" s="32" t="n">
        <f>2211</f>
        <v>2211.0</v>
      </c>
      <c r="V87" s="32" t="n">
        <f>3637420623</f>
        <v>3.637420623E9</v>
      </c>
      <c r="W87" s="32" t="n">
        <f>5529926</f>
        <v>5529926.0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48140</f>
        <v>48140.0</v>
      </c>
      <c r="L88" s="34" t="s">
        <v>48</v>
      </c>
      <c r="M88" s="33" t="n">
        <f>49680</f>
        <v>49680.0</v>
      </c>
      <c r="N88" s="34" t="s">
        <v>198</v>
      </c>
      <c r="O88" s="33" t="n">
        <f>47900</f>
        <v>47900.0</v>
      </c>
      <c r="P88" s="34" t="s">
        <v>69</v>
      </c>
      <c r="Q88" s="33" t="n">
        <f>49450</f>
        <v>49450.0</v>
      </c>
      <c r="R88" s="34" t="s">
        <v>49</v>
      </c>
      <c r="S88" s="35" t="n">
        <f>48800</f>
        <v>48800.0</v>
      </c>
      <c r="T88" s="32" t="n">
        <f>9223</f>
        <v>9223.0</v>
      </c>
      <c r="U88" s="32" t="n">
        <f>300</f>
        <v>300.0</v>
      </c>
      <c r="V88" s="32" t="n">
        <f>452413270</f>
        <v>4.5241327E8</v>
      </c>
      <c r="W88" s="32" t="n">
        <f>14871870</f>
        <v>1.487187E7</v>
      </c>
      <c r="X88" s="36" t="n">
        <f>21</f>
        <v>21.0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475.2</f>
        <v>475.2</v>
      </c>
      <c r="L89" s="34" t="s">
        <v>48</v>
      </c>
      <c r="M89" s="33" t="n">
        <f>506.2</f>
        <v>506.2</v>
      </c>
      <c r="N89" s="34" t="s">
        <v>49</v>
      </c>
      <c r="O89" s="33" t="n">
        <f>461.9</f>
        <v>461.9</v>
      </c>
      <c r="P89" s="34" t="s">
        <v>50</v>
      </c>
      <c r="Q89" s="33" t="n">
        <f>499.9</f>
        <v>499.9</v>
      </c>
      <c r="R89" s="34" t="s">
        <v>49</v>
      </c>
      <c r="S89" s="35" t="n">
        <f>476.72</f>
        <v>476.72</v>
      </c>
      <c r="T89" s="32" t="n">
        <f>72210370</f>
        <v>7.221037E7</v>
      </c>
      <c r="U89" s="32" t="n">
        <f>4230</f>
        <v>4230.0</v>
      </c>
      <c r="V89" s="32" t="n">
        <f>34594520344</f>
        <v>3.4594520344E10</v>
      </c>
      <c r="W89" s="32" t="n">
        <f>2044932</f>
        <v>2044932.0</v>
      </c>
      <c r="X89" s="36" t="n">
        <f>21</f>
        <v>21.0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1161</f>
        <v>1161.0</v>
      </c>
      <c r="L90" s="34" t="s">
        <v>48</v>
      </c>
      <c r="M90" s="33" t="n">
        <f>1177</f>
        <v>1177.0</v>
      </c>
      <c r="N90" s="34" t="s">
        <v>50</v>
      </c>
      <c r="O90" s="33" t="n">
        <f>1123.5</f>
        <v>1123.5</v>
      </c>
      <c r="P90" s="34" t="s">
        <v>49</v>
      </c>
      <c r="Q90" s="33" t="n">
        <f>1137.5</f>
        <v>1137.5</v>
      </c>
      <c r="R90" s="34" t="s">
        <v>49</v>
      </c>
      <c r="S90" s="35" t="n">
        <f>1159.62</f>
        <v>1159.62</v>
      </c>
      <c r="T90" s="32" t="n">
        <f>1405460</f>
        <v>1405460.0</v>
      </c>
      <c r="U90" s="32" t="n">
        <f>859920</f>
        <v>859920.0</v>
      </c>
      <c r="V90" s="32" t="n">
        <f>1631030545</f>
        <v>1.631030545E9</v>
      </c>
      <c r="W90" s="32" t="n">
        <f>1001501375</f>
        <v>1.001501375E9</v>
      </c>
      <c r="X90" s="36" t="n">
        <f>21</f>
        <v>21.0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24355</f>
        <v>24355.0</v>
      </c>
      <c r="L91" s="34" t="s">
        <v>48</v>
      </c>
      <c r="M91" s="33" t="n">
        <f>28770</f>
        <v>28770.0</v>
      </c>
      <c r="N91" s="34" t="s">
        <v>49</v>
      </c>
      <c r="O91" s="33" t="n">
        <f>24030</f>
        <v>24030.0</v>
      </c>
      <c r="P91" s="34" t="s">
        <v>48</v>
      </c>
      <c r="Q91" s="33" t="n">
        <f>28220</f>
        <v>28220.0</v>
      </c>
      <c r="R91" s="34" t="s">
        <v>49</v>
      </c>
      <c r="S91" s="35" t="n">
        <f>25488.33</f>
        <v>25488.33</v>
      </c>
      <c r="T91" s="32" t="n">
        <f>84894813</f>
        <v>8.4894813E7</v>
      </c>
      <c r="U91" s="32" t="n">
        <f>445237</f>
        <v>445237.0</v>
      </c>
      <c r="V91" s="32" t="n">
        <f>2180615964565</f>
        <v>2.180615964565E12</v>
      </c>
      <c r="W91" s="32" t="n">
        <f>11287000170</f>
        <v>1.128700017E10</v>
      </c>
      <c r="X91" s="36" t="n">
        <f>21</f>
        <v>21.0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576</f>
        <v>576.0</v>
      </c>
      <c r="L92" s="34" t="s">
        <v>48</v>
      </c>
      <c r="M92" s="33" t="n">
        <f>580</f>
        <v>580.0</v>
      </c>
      <c r="N92" s="34" t="s">
        <v>48</v>
      </c>
      <c r="O92" s="33" t="n">
        <f>528</f>
        <v>528.0</v>
      </c>
      <c r="P92" s="34" t="s">
        <v>49</v>
      </c>
      <c r="Q92" s="33" t="n">
        <f>535</f>
        <v>535.0</v>
      </c>
      <c r="R92" s="34" t="s">
        <v>49</v>
      </c>
      <c r="S92" s="35" t="n">
        <f>563.24</f>
        <v>563.24</v>
      </c>
      <c r="T92" s="32" t="n">
        <f>38749533</f>
        <v>3.8749533E7</v>
      </c>
      <c r="U92" s="32" t="n">
        <f>8498472</f>
        <v>8498472.0</v>
      </c>
      <c r="V92" s="32" t="n">
        <f>21628728576</f>
        <v>2.1628728576E10</v>
      </c>
      <c r="W92" s="32" t="n">
        <f>4737462568</f>
        <v>4.737462568E9</v>
      </c>
      <c r="X92" s="36" t="n">
        <f>21</f>
        <v>21.0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6351</f>
        <v>6351.0</v>
      </c>
      <c r="L93" s="34" t="s">
        <v>48</v>
      </c>
      <c r="M93" s="33" t="n">
        <f>7280</f>
        <v>7280.0</v>
      </c>
      <c r="N93" s="34" t="s">
        <v>294</v>
      </c>
      <c r="O93" s="33" t="n">
        <f>6055</f>
        <v>6055.0</v>
      </c>
      <c r="P93" s="34" t="s">
        <v>48</v>
      </c>
      <c r="Q93" s="33" t="n">
        <f>6986</f>
        <v>6986.0</v>
      </c>
      <c r="R93" s="34" t="s">
        <v>49</v>
      </c>
      <c r="S93" s="35" t="n">
        <f>6879.9</f>
        <v>6879.9</v>
      </c>
      <c r="T93" s="32" t="n">
        <f>214790</f>
        <v>214790.0</v>
      </c>
      <c r="U93" s="32" t="str">
        <f>"－"</f>
        <v>－</v>
      </c>
      <c r="V93" s="32" t="n">
        <f>1472410680</f>
        <v>1.47241068E9</v>
      </c>
      <c r="W93" s="32" t="str">
        <f>"－"</f>
        <v>－</v>
      </c>
      <c r="X93" s="36" t="n">
        <f>21</f>
        <v>21.0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7972</f>
        <v>7972.0</v>
      </c>
      <c r="L94" s="34" t="s">
        <v>48</v>
      </c>
      <c r="M94" s="33" t="n">
        <f>8140</f>
        <v>8140.0</v>
      </c>
      <c r="N94" s="34" t="s">
        <v>48</v>
      </c>
      <c r="O94" s="33" t="n">
        <f>7460</f>
        <v>7460.0</v>
      </c>
      <c r="P94" s="34" t="s">
        <v>151</v>
      </c>
      <c r="Q94" s="33" t="n">
        <f>7649</f>
        <v>7649.0</v>
      </c>
      <c r="R94" s="34" t="s">
        <v>49</v>
      </c>
      <c r="S94" s="35" t="n">
        <f>7718.33</f>
        <v>7718.33</v>
      </c>
      <c r="T94" s="32" t="n">
        <f>24500</f>
        <v>24500.0</v>
      </c>
      <c r="U94" s="32" t="n">
        <f>10</f>
        <v>10.0</v>
      </c>
      <c r="V94" s="32" t="n">
        <f>189584090</f>
        <v>1.8958409E8</v>
      </c>
      <c r="W94" s="32" t="n">
        <f>77320</f>
        <v>77320.0</v>
      </c>
      <c r="X94" s="36" t="n">
        <f>21</f>
        <v>21.0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38420</f>
        <v>38420.0</v>
      </c>
      <c r="L95" s="34" t="s">
        <v>48</v>
      </c>
      <c r="M95" s="33" t="n">
        <f>38690</f>
        <v>38690.0</v>
      </c>
      <c r="N95" s="34" t="s">
        <v>49</v>
      </c>
      <c r="O95" s="33" t="n">
        <f>37740</f>
        <v>37740.0</v>
      </c>
      <c r="P95" s="34" t="s">
        <v>198</v>
      </c>
      <c r="Q95" s="33" t="n">
        <f>38530</f>
        <v>38530.0</v>
      </c>
      <c r="R95" s="34" t="s">
        <v>49</v>
      </c>
      <c r="S95" s="35" t="n">
        <f>38138.57</f>
        <v>38138.57</v>
      </c>
      <c r="T95" s="32" t="n">
        <f>118388</f>
        <v>118388.0</v>
      </c>
      <c r="U95" s="32" t="n">
        <f>59300</f>
        <v>59300.0</v>
      </c>
      <c r="V95" s="32" t="n">
        <f>4518229864</f>
        <v>4.518229864E9</v>
      </c>
      <c r="W95" s="32" t="n">
        <f>2265064894</f>
        <v>2.265064894E9</v>
      </c>
      <c r="X95" s="36" t="n">
        <f>21</f>
        <v>21.0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3029</f>
        <v>3029.0</v>
      </c>
      <c r="L96" s="34" t="s">
        <v>48</v>
      </c>
      <c r="M96" s="33" t="n">
        <f>3283</f>
        <v>3283.0</v>
      </c>
      <c r="N96" s="34" t="s">
        <v>49</v>
      </c>
      <c r="O96" s="33" t="n">
        <f>2998</f>
        <v>2998.0</v>
      </c>
      <c r="P96" s="34" t="s">
        <v>48</v>
      </c>
      <c r="Q96" s="33" t="n">
        <f>3260</f>
        <v>3260.0</v>
      </c>
      <c r="R96" s="34" t="s">
        <v>49</v>
      </c>
      <c r="S96" s="35" t="n">
        <f>3086.29</f>
        <v>3086.29</v>
      </c>
      <c r="T96" s="32" t="n">
        <f>232990</f>
        <v>232990.0</v>
      </c>
      <c r="U96" s="32" t="n">
        <f>105</f>
        <v>105.0</v>
      </c>
      <c r="V96" s="32" t="n">
        <f>727756387</f>
        <v>7.27756387E8</v>
      </c>
      <c r="W96" s="32" t="n">
        <f>342425</f>
        <v>342425.0</v>
      </c>
      <c r="X96" s="36" t="n">
        <f>21</f>
        <v>21.0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262.7</f>
        <v>262.7</v>
      </c>
      <c r="L97" s="34" t="s">
        <v>48</v>
      </c>
      <c r="M97" s="33" t="n">
        <f>309.7</f>
        <v>309.7</v>
      </c>
      <c r="N97" s="34" t="s">
        <v>49</v>
      </c>
      <c r="O97" s="33" t="n">
        <f>258.5</f>
        <v>258.5</v>
      </c>
      <c r="P97" s="34" t="s">
        <v>48</v>
      </c>
      <c r="Q97" s="33" t="n">
        <f>304</f>
        <v>304.0</v>
      </c>
      <c r="R97" s="34" t="s">
        <v>49</v>
      </c>
      <c r="S97" s="35" t="n">
        <f>274.33</f>
        <v>274.33</v>
      </c>
      <c r="T97" s="32" t="n">
        <f>621519060</f>
        <v>6.2151906E8</v>
      </c>
      <c r="U97" s="32" t="n">
        <f>13353880</f>
        <v>1.335388E7</v>
      </c>
      <c r="V97" s="32" t="n">
        <f>171209924227</f>
        <v>1.71209924227E11</v>
      </c>
      <c r="W97" s="32" t="n">
        <f>3700332662</f>
        <v>3.700332662E9</v>
      </c>
      <c r="X97" s="36" t="n">
        <f>21</f>
        <v>21.0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1530</f>
        <v>1530.0</v>
      </c>
      <c r="L98" s="34" t="s">
        <v>48</v>
      </c>
      <c r="M98" s="33" t="n">
        <f>1541</f>
        <v>1541.0</v>
      </c>
      <c r="N98" s="34" t="s">
        <v>48</v>
      </c>
      <c r="O98" s="33" t="n">
        <f>1404</f>
        <v>1404.0</v>
      </c>
      <c r="P98" s="34" t="s">
        <v>49</v>
      </c>
      <c r="Q98" s="33" t="n">
        <f>1420.5</f>
        <v>1420.5</v>
      </c>
      <c r="R98" s="34" t="s">
        <v>49</v>
      </c>
      <c r="S98" s="35" t="n">
        <f>1496.24</f>
        <v>1496.24</v>
      </c>
      <c r="T98" s="32" t="n">
        <f>6641560</f>
        <v>6641560.0</v>
      </c>
      <c r="U98" s="32" t="n">
        <f>2613370</f>
        <v>2613370.0</v>
      </c>
      <c r="V98" s="32" t="n">
        <f>9905273378</f>
        <v>9.905273378E9</v>
      </c>
      <c r="W98" s="32" t="n">
        <f>3897673008</f>
        <v>3.897673008E9</v>
      </c>
      <c r="X98" s="36" t="n">
        <f>21</f>
        <v>21.0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1903.5</f>
        <v>1903.5</v>
      </c>
      <c r="L99" s="34" t="s">
        <v>48</v>
      </c>
      <c r="M99" s="33" t="n">
        <f>1973.5</f>
        <v>1973.5</v>
      </c>
      <c r="N99" s="34" t="s">
        <v>49</v>
      </c>
      <c r="O99" s="33" t="n">
        <f>1845</f>
        <v>1845.0</v>
      </c>
      <c r="P99" s="34" t="s">
        <v>220</v>
      </c>
      <c r="Q99" s="33" t="n">
        <f>1950</f>
        <v>1950.0</v>
      </c>
      <c r="R99" s="34" t="s">
        <v>49</v>
      </c>
      <c r="S99" s="35" t="n">
        <f>1917.5</f>
        <v>1917.5</v>
      </c>
      <c r="T99" s="32" t="n">
        <f>64370</f>
        <v>64370.0</v>
      </c>
      <c r="U99" s="32" t="n">
        <f>58750</f>
        <v>58750.0</v>
      </c>
      <c r="V99" s="32" t="n">
        <f>122262985</f>
        <v>1.22262985E8</v>
      </c>
      <c r="W99" s="32" t="n">
        <f>111489875</f>
        <v>1.11489875E8</v>
      </c>
      <c r="X99" s="36" t="n">
        <f>9</f>
        <v>9.0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2227</f>
        <v>2227.0</v>
      </c>
      <c r="L100" s="34" t="s">
        <v>48</v>
      </c>
      <c r="M100" s="33" t="n">
        <f>2287</f>
        <v>2287.0</v>
      </c>
      <c r="N100" s="34" t="s">
        <v>49</v>
      </c>
      <c r="O100" s="33" t="n">
        <f>2185</f>
        <v>2185.0</v>
      </c>
      <c r="P100" s="34" t="s">
        <v>50</v>
      </c>
      <c r="Q100" s="33" t="n">
        <f>2286</f>
        <v>2286.0</v>
      </c>
      <c r="R100" s="34" t="s">
        <v>49</v>
      </c>
      <c r="S100" s="35" t="n">
        <f>2219.24</f>
        <v>2219.24</v>
      </c>
      <c r="T100" s="32" t="n">
        <f>2329</f>
        <v>2329.0</v>
      </c>
      <c r="U100" s="32" t="n">
        <f>2</f>
        <v>2.0</v>
      </c>
      <c r="V100" s="32" t="n">
        <f>5180429</f>
        <v>5180429.0</v>
      </c>
      <c r="W100" s="32" t="n">
        <f>4464</f>
        <v>4464.0</v>
      </c>
      <c r="X100" s="36" t="n">
        <f>21</f>
        <v>21.0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25250</f>
        <v>25250.0</v>
      </c>
      <c r="L101" s="34" t="s">
        <v>48</v>
      </c>
      <c r="M101" s="33" t="n">
        <f>26095</f>
        <v>26095.0</v>
      </c>
      <c r="N101" s="34" t="s">
        <v>49</v>
      </c>
      <c r="O101" s="33" t="n">
        <f>24950</f>
        <v>24950.0</v>
      </c>
      <c r="P101" s="34" t="s">
        <v>50</v>
      </c>
      <c r="Q101" s="33" t="n">
        <f>25950</f>
        <v>25950.0</v>
      </c>
      <c r="R101" s="34" t="s">
        <v>49</v>
      </c>
      <c r="S101" s="35" t="n">
        <f>25306.9</f>
        <v>25306.9</v>
      </c>
      <c r="T101" s="32" t="n">
        <f>213907</f>
        <v>213907.0</v>
      </c>
      <c r="U101" s="32" t="n">
        <f>135102</f>
        <v>135102.0</v>
      </c>
      <c r="V101" s="32" t="n">
        <f>5501248908</f>
        <v>5.501248908E9</v>
      </c>
      <c r="W101" s="32" t="n">
        <f>3489998598</f>
        <v>3.489998598E9</v>
      </c>
      <c r="X101" s="36" t="n">
        <f>21</f>
        <v>21.0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2339</f>
        <v>2339.0</v>
      </c>
      <c r="L102" s="34" t="s">
        <v>48</v>
      </c>
      <c r="M102" s="33" t="n">
        <f>2416</f>
        <v>2416.0</v>
      </c>
      <c r="N102" s="34" t="s">
        <v>49</v>
      </c>
      <c r="O102" s="33" t="n">
        <f>2313</f>
        <v>2313.0</v>
      </c>
      <c r="P102" s="34" t="s">
        <v>50</v>
      </c>
      <c r="Q102" s="33" t="n">
        <f>2401</f>
        <v>2401.0</v>
      </c>
      <c r="R102" s="34" t="s">
        <v>49</v>
      </c>
      <c r="S102" s="35" t="n">
        <f>2342.48</f>
        <v>2342.48</v>
      </c>
      <c r="T102" s="32" t="n">
        <f>95365</f>
        <v>95365.0</v>
      </c>
      <c r="U102" s="32" t="n">
        <f>20000</f>
        <v>20000.0</v>
      </c>
      <c r="V102" s="32" t="n">
        <f>223741082</f>
        <v>2.23741082E8</v>
      </c>
      <c r="W102" s="32" t="n">
        <f>46445000</f>
        <v>4.6445E7</v>
      </c>
      <c r="X102" s="36" t="n">
        <f>21</f>
        <v>21.0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26145</f>
        <v>26145.0</v>
      </c>
      <c r="L103" s="34" t="s">
        <v>48</v>
      </c>
      <c r="M103" s="33" t="n">
        <f>27030</f>
        <v>27030.0</v>
      </c>
      <c r="N103" s="34" t="s">
        <v>49</v>
      </c>
      <c r="O103" s="33" t="n">
        <f>25845</f>
        <v>25845.0</v>
      </c>
      <c r="P103" s="34" t="s">
        <v>50</v>
      </c>
      <c r="Q103" s="33" t="n">
        <f>26895</f>
        <v>26895.0</v>
      </c>
      <c r="R103" s="34" t="s">
        <v>49</v>
      </c>
      <c r="S103" s="35" t="n">
        <f>26206.9</f>
        <v>26206.9</v>
      </c>
      <c r="T103" s="32" t="n">
        <f>15054</f>
        <v>15054.0</v>
      </c>
      <c r="U103" s="32" t="n">
        <f>2992</f>
        <v>2992.0</v>
      </c>
      <c r="V103" s="32" t="n">
        <f>396541544</f>
        <v>3.96541544E8</v>
      </c>
      <c r="W103" s="32" t="n">
        <f>78372604</f>
        <v>7.8372604E7</v>
      </c>
      <c r="X103" s="36" t="n">
        <f>21</f>
        <v>21.0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1777.5</f>
        <v>1777.5</v>
      </c>
      <c r="L104" s="34" t="s">
        <v>48</v>
      </c>
      <c r="M104" s="33" t="n">
        <f>1842</f>
        <v>1842.0</v>
      </c>
      <c r="N104" s="34" t="s">
        <v>102</v>
      </c>
      <c r="O104" s="33" t="n">
        <f>1773.5</f>
        <v>1773.5</v>
      </c>
      <c r="P104" s="34" t="s">
        <v>69</v>
      </c>
      <c r="Q104" s="33" t="n">
        <f>1829</f>
        <v>1829.0</v>
      </c>
      <c r="R104" s="34" t="s">
        <v>49</v>
      </c>
      <c r="S104" s="35" t="n">
        <f>1813.17</f>
        <v>1813.17</v>
      </c>
      <c r="T104" s="32" t="n">
        <f>1795750</f>
        <v>1795750.0</v>
      </c>
      <c r="U104" s="32" t="n">
        <f>1493010</f>
        <v>1493010.0</v>
      </c>
      <c r="V104" s="32" t="n">
        <f>3271219085</f>
        <v>3.271219085E9</v>
      </c>
      <c r="W104" s="32" t="n">
        <f>2722502240</f>
        <v>2.72250224E9</v>
      </c>
      <c r="X104" s="36" t="n">
        <f>21</f>
        <v>21.0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2266.5</f>
        <v>2266.5</v>
      </c>
      <c r="L105" s="34" t="s">
        <v>48</v>
      </c>
      <c r="M105" s="33" t="n">
        <f>2360</f>
        <v>2360.0</v>
      </c>
      <c r="N105" s="34" t="s">
        <v>48</v>
      </c>
      <c r="O105" s="33" t="n">
        <f>2261</f>
        <v>2261.0</v>
      </c>
      <c r="P105" s="34" t="s">
        <v>48</v>
      </c>
      <c r="Q105" s="33" t="n">
        <f>2293</f>
        <v>2293.0</v>
      </c>
      <c r="R105" s="34" t="s">
        <v>82</v>
      </c>
      <c r="S105" s="35" t="n">
        <f>2279</f>
        <v>2279.0</v>
      </c>
      <c r="T105" s="32" t="n">
        <f>280</f>
        <v>280.0</v>
      </c>
      <c r="U105" s="32" t="str">
        <f>"－"</f>
        <v>－</v>
      </c>
      <c r="V105" s="32" t="n">
        <f>644935</f>
        <v>644935.0</v>
      </c>
      <c r="W105" s="32" t="str">
        <f>"－"</f>
        <v>－</v>
      </c>
      <c r="X105" s="36" t="n">
        <f>5</f>
        <v>5.0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1799</f>
        <v>1799.0</v>
      </c>
      <c r="L106" s="34" t="s">
        <v>48</v>
      </c>
      <c r="M106" s="33" t="n">
        <f>1845</f>
        <v>1845.0</v>
      </c>
      <c r="N106" s="34" t="s">
        <v>198</v>
      </c>
      <c r="O106" s="33" t="n">
        <f>1782</f>
        <v>1782.0</v>
      </c>
      <c r="P106" s="34" t="s">
        <v>152</v>
      </c>
      <c r="Q106" s="33" t="n">
        <f>1831.5</f>
        <v>1831.5</v>
      </c>
      <c r="R106" s="34" t="s">
        <v>49</v>
      </c>
      <c r="S106" s="35" t="n">
        <f>1817.98</f>
        <v>1817.98</v>
      </c>
      <c r="T106" s="32" t="n">
        <f>6211040</f>
        <v>6211040.0</v>
      </c>
      <c r="U106" s="32" t="n">
        <f>3233330</f>
        <v>3233330.0</v>
      </c>
      <c r="V106" s="32" t="n">
        <f>11302011706</f>
        <v>1.1302011706E10</v>
      </c>
      <c r="W106" s="32" t="n">
        <f>5863521706</f>
        <v>5.863521706E9</v>
      </c>
      <c r="X106" s="36" t="n">
        <f>21</f>
        <v>21.0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25855</f>
        <v>25855.0</v>
      </c>
      <c r="L107" s="34" t="s">
        <v>48</v>
      </c>
      <c r="M107" s="33" t="n">
        <f>26900</f>
        <v>26900.0</v>
      </c>
      <c r="N107" s="34" t="s">
        <v>49</v>
      </c>
      <c r="O107" s="33" t="n">
        <f>25600</f>
        <v>25600.0</v>
      </c>
      <c r="P107" s="34" t="s">
        <v>50</v>
      </c>
      <c r="Q107" s="33" t="n">
        <f>26725</f>
        <v>26725.0</v>
      </c>
      <c r="R107" s="34" t="s">
        <v>49</v>
      </c>
      <c r="S107" s="35" t="n">
        <f>26005.56</f>
        <v>26005.56</v>
      </c>
      <c r="T107" s="32" t="n">
        <f>3351</f>
        <v>3351.0</v>
      </c>
      <c r="U107" s="32" t="str">
        <f>"－"</f>
        <v>－</v>
      </c>
      <c r="V107" s="32" t="n">
        <f>87516340</f>
        <v>8.751634E7</v>
      </c>
      <c r="W107" s="32" t="str">
        <f>"－"</f>
        <v>－</v>
      </c>
      <c r="X107" s="36" t="n">
        <f>18</f>
        <v>18.0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526.3</f>
        <v>526.3</v>
      </c>
      <c r="L108" s="34" t="s">
        <v>48</v>
      </c>
      <c r="M108" s="33" t="n">
        <f>545.2</f>
        <v>545.2</v>
      </c>
      <c r="N108" s="34" t="s">
        <v>49</v>
      </c>
      <c r="O108" s="33" t="n">
        <f>516.9</f>
        <v>516.9</v>
      </c>
      <c r="P108" s="34" t="s">
        <v>64</v>
      </c>
      <c r="Q108" s="33" t="n">
        <f>540.1</f>
        <v>540.1</v>
      </c>
      <c r="R108" s="34" t="s">
        <v>49</v>
      </c>
      <c r="S108" s="35" t="n">
        <f>525.54</f>
        <v>525.54</v>
      </c>
      <c r="T108" s="32" t="n">
        <f>528230</f>
        <v>528230.0</v>
      </c>
      <c r="U108" s="32" t="n">
        <f>370000</f>
        <v>370000.0</v>
      </c>
      <c r="V108" s="32" t="n">
        <f>285195611</f>
        <v>2.85195611E8</v>
      </c>
      <c r="W108" s="32" t="n">
        <f>201280000</f>
        <v>2.0128E8</v>
      </c>
      <c r="X108" s="36" t="n">
        <f>21</f>
        <v>21.0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409.5</f>
        <v>409.5</v>
      </c>
      <c r="L109" s="34" t="s">
        <v>48</v>
      </c>
      <c r="M109" s="33" t="n">
        <f>412.4</f>
        <v>412.4</v>
      </c>
      <c r="N109" s="34" t="s">
        <v>206</v>
      </c>
      <c r="O109" s="33" t="n">
        <f>398.4</f>
        <v>398.4</v>
      </c>
      <c r="P109" s="34" t="s">
        <v>50</v>
      </c>
      <c r="Q109" s="33" t="n">
        <f>408.3</f>
        <v>408.3</v>
      </c>
      <c r="R109" s="34" t="s">
        <v>49</v>
      </c>
      <c r="S109" s="35" t="n">
        <f>405.86</f>
        <v>405.86</v>
      </c>
      <c r="T109" s="32" t="n">
        <f>79784100</f>
        <v>7.97841E7</v>
      </c>
      <c r="U109" s="32" t="n">
        <f>5692900</f>
        <v>5692900.0</v>
      </c>
      <c r="V109" s="32" t="n">
        <f>32326283764</f>
        <v>3.2326283764E10</v>
      </c>
      <c r="W109" s="32" t="n">
        <f>2308360764</f>
        <v>2.308360764E9</v>
      </c>
      <c r="X109" s="36" t="n">
        <f>21</f>
        <v>21.0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38560</f>
        <v>38560.0</v>
      </c>
      <c r="L110" s="34" t="s">
        <v>48</v>
      </c>
      <c r="M110" s="33" t="n">
        <f>38940</f>
        <v>38940.0</v>
      </c>
      <c r="N110" s="34" t="s">
        <v>49</v>
      </c>
      <c r="O110" s="33" t="n">
        <f>38140</f>
        <v>38140.0</v>
      </c>
      <c r="P110" s="34" t="s">
        <v>269</v>
      </c>
      <c r="Q110" s="33" t="n">
        <f>38940</f>
        <v>38940.0</v>
      </c>
      <c r="R110" s="34" t="s">
        <v>49</v>
      </c>
      <c r="S110" s="35" t="n">
        <f>38440</f>
        <v>38440.0</v>
      </c>
      <c r="T110" s="32" t="n">
        <f>3476</f>
        <v>3476.0</v>
      </c>
      <c r="U110" s="32" t="n">
        <f>121</f>
        <v>121.0</v>
      </c>
      <c r="V110" s="32" t="n">
        <f>133688410</f>
        <v>1.3368841E8</v>
      </c>
      <c r="W110" s="32" t="n">
        <f>4655500</f>
        <v>4655500.0</v>
      </c>
      <c r="X110" s="36" t="n">
        <f>21</f>
        <v>21.0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19400</f>
        <v>19400.0</v>
      </c>
      <c r="L111" s="34" t="s">
        <v>48</v>
      </c>
      <c r="M111" s="33" t="n">
        <f>21210</f>
        <v>21210.0</v>
      </c>
      <c r="N111" s="34" t="s">
        <v>86</v>
      </c>
      <c r="O111" s="33" t="n">
        <f>19310</f>
        <v>19310.0</v>
      </c>
      <c r="P111" s="34" t="s">
        <v>48</v>
      </c>
      <c r="Q111" s="33" t="n">
        <f>20180</f>
        <v>20180.0</v>
      </c>
      <c r="R111" s="34" t="s">
        <v>49</v>
      </c>
      <c r="S111" s="35" t="n">
        <f>20142.62</f>
        <v>20142.62</v>
      </c>
      <c r="T111" s="32" t="n">
        <f>11549</f>
        <v>11549.0</v>
      </c>
      <c r="U111" s="32" t="n">
        <f>40</f>
        <v>40.0</v>
      </c>
      <c r="V111" s="32" t="n">
        <f>235223190</f>
        <v>2.3522319E8</v>
      </c>
      <c r="W111" s="32" t="n">
        <f>827295</f>
        <v>827295.0</v>
      </c>
      <c r="X111" s="36" t="n">
        <f>21</f>
        <v>21.0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32520</f>
        <v>32520.0</v>
      </c>
      <c r="L112" s="34" t="s">
        <v>48</v>
      </c>
      <c r="M112" s="33" t="n">
        <f>33630</f>
        <v>33630.0</v>
      </c>
      <c r="N112" s="34" t="s">
        <v>49</v>
      </c>
      <c r="O112" s="33" t="n">
        <f>32180</f>
        <v>32180.0</v>
      </c>
      <c r="P112" s="34" t="s">
        <v>304</v>
      </c>
      <c r="Q112" s="33" t="n">
        <f>33410</f>
        <v>33410.0</v>
      </c>
      <c r="R112" s="34" t="s">
        <v>49</v>
      </c>
      <c r="S112" s="35" t="n">
        <f>32759.52</f>
        <v>32759.52</v>
      </c>
      <c r="T112" s="32" t="n">
        <f>3562</f>
        <v>3562.0</v>
      </c>
      <c r="U112" s="32" t="n">
        <f>679</f>
        <v>679.0</v>
      </c>
      <c r="V112" s="32" t="n">
        <f>116940618</f>
        <v>1.16940618E8</v>
      </c>
      <c r="W112" s="32" t="n">
        <f>22484088</f>
        <v>2.2484088E7</v>
      </c>
      <c r="X112" s="36" t="n">
        <f>21</f>
        <v>21.0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28130</f>
        <v>28130.0</v>
      </c>
      <c r="L113" s="34" t="s">
        <v>48</v>
      </c>
      <c r="M113" s="33" t="n">
        <f>28845</f>
        <v>28845.0</v>
      </c>
      <c r="N113" s="34" t="s">
        <v>49</v>
      </c>
      <c r="O113" s="33" t="n">
        <f>27410</f>
        <v>27410.0</v>
      </c>
      <c r="P113" s="34" t="s">
        <v>64</v>
      </c>
      <c r="Q113" s="33" t="n">
        <f>28690</f>
        <v>28690.0</v>
      </c>
      <c r="R113" s="34" t="s">
        <v>49</v>
      </c>
      <c r="S113" s="35" t="n">
        <f>28028.81</f>
        <v>28028.81</v>
      </c>
      <c r="T113" s="32" t="n">
        <f>34154</f>
        <v>34154.0</v>
      </c>
      <c r="U113" s="32" t="n">
        <f>18002</f>
        <v>18002.0</v>
      </c>
      <c r="V113" s="32" t="n">
        <f>965807468</f>
        <v>9.65807468E8</v>
      </c>
      <c r="W113" s="32" t="n">
        <f>511175468</f>
        <v>5.11175468E8</v>
      </c>
      <c r="X113" s="36" t="n">
        <f>21</f>
        <v>21.0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26280</f>
        <v>26280.0</v>
      </c>
      <c r="L114" s="34" t="s">
        <v>48</v>
      </c>
      <c r="M114" s="33" t="n">
        <f>26750</f>
        <v>26750.0</v>
      </c>
      <c r="N114" s="34" t="s">
        <v>294</v>
      </c>
      <c r="O114" s="33" t="n">
        <f>25270</f>
        <v>25270.0</v>
      </c>
      <c r="P114" s="34" t="s">
        <v>64</v>
      </c>
      <c r="Q114" s="33" t="n">
        <f>26135</f>
        <v>26135.0</v>
      </c>
      <c r="R114" s="34" t="s">
        <v>49</v>
      </c>
      <c r="S114" s="35" t="n">
        <f>25998.1</f>
        <v>25998.1</v>
      </c>
      <c r="T114" s="32" t="n">
        <f>19843</f>
        <v>19843.0</v>
      </c>
      <c r="U114" s="32" t="n">
        <f>1</f>
        <v>1.0</v>
      </c>
      <c r="V114" s="32" t="n">
        <f>516366494</f>
        <v>5.16366494E8</v>
      </c>
      <c r="W114" s="32" t="n">
        <f>26079</f>
        <v>26079.0</v>
      </c>
      <c r="X114" s="36" t="n">
        <f>21</f>
        <v>21.0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31160</f>
        <v>31160.0</v>
      </c>
      <c r="L115" s="34" t="s">
        <v>48</v>
      </c>
      <c r="M115" s="33" t="n">
        <f>31160</f>
        <v>31160.0</v>
      </c>
      <c r="N115" s="34" t="s">
        <v>48</v>
      </c>
      <c r="O115" s="33" t="n">
        <f>28800</f>
        <v>28800.0</v>
      </c>
      <c r="P115" s="34" t="s">
        <v>198</v>
      </c>
      <c r="Q115" s="33" t="n">
        <f>29445</f>
        <v>29445.0</v>
      </c>
      <c r="R115" s="34" t="s">
        <v>49</v>
      </c>
      <c r="S115" s="35" t="n">
        <f>29743.33</f>
        <v>29743.33</v>
      </c>
      <c r="T115" s="32" t="n">
        <f>10793</f>
        <v>10793.0</v>
      </c>
      <c r="U115" s="32" t="n">
        <f>34</f>
        <v>34.0</v>
      </c>
      <c r="V115" s="32" t="n">
        <f>322080178</f>
        <v>3.22080178E8</v>
      </c>
      <c r="W115" s="32" t="n">
        <f>1029983</f>
        <v>1029983.0</v>
      </c>
      <c r="X115" s="36" t="n">
        <f>21</f>
        <v>21.0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27340</f>
        <v>27340.0</v>
      </c>
      <c r="L116" s="34" t="s">
        <v>48</v>
      </c>
      <c r="M116" s="33" t="n">
        <f>28180</f>
        <v>28180.0</v>
      </c>
      <c r="N116" s="34" t="s">
        <v>49</v>
      </c>
      <c r="O116" s="33" t="n">
        <f>26305</f>
        <v>26305.0</v>
      </c>
      <c r="P116" s="34" t="s">
        <v>64</v>
      </c>
      <c r="Q116" s="33" t="n">
        <f>27730</f>
        <v>27730.0</v>
      </c>
      <c r="R116" s="34" t="s">
        <v>49</v>
      </c>
      <c r="S116" s="35" t="n">
        <f>27204.05</f>
        <v>27204.05</v>
      </c>
      <c r="T116" s="32" t="n">
        <f>9072</f>
        <v>9072.0</v>
      </c>
      <c r="U116" s="32" t="n">
        <f>7</f>
        <v>7.0</v>
      </c>
      <c r="V116" s="32" t="n">
        <f>247041095</f>
        <v>2.47041095E8</v>
      </c>
      <c r="W116" s="32" t="n">
        <f>188405</f>
        <v>188405.0</v>
      </c>
      <c r="X116" s="36" t="n">
        <f>21</f>
        <v>21.0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62100</f>
        <v>62100.0</v>
      </c>
      <c r="L117" s="34" t="s">
        <v>48</v>
      </c>
      <c r="M117" s="33" t="n">
        <f>68510</f>
        <v>68510.0</v>
      </c>
      <c r="N117" s="34" t="s">
        <v>60</v>
      </c>
      <c r="O117" s="33" t="n">
        <f>61440</f>
        <v>61440.0</v>
      </c>
      <c r="P117" s="34" t="s">
        <v>48</v>
      </c>
      <c r="Q117" s="33" t="n">
        <f>66450</f>
        <v>66450.0</v>
      </c>
      <c r="R117" s="34" t="s">
        <v>49</v>
      </c>
      <c r="S117" s="35" t="n">
        <f>63457.62</f>
        <v>63457.62</v>
      </c>
      <c r="T117" s="32" t="n">
        <f>5960</f>
        <v>5960.0</v>
      </c>
      <c r="U117" s="32" t="n">
        <f>2652</f>
        <v>2652.0</v>
      </c>
      <c r="V117" s="32" t="n">
        <f>382718311</f>
        <v>3.82718311E8</v>
      </c>
      <c r="W117" s="32" t="n">
        <f>170383241</f>
        <v>1.70383241E8</v>
      </c>
      <c r="X117" s="36" t="n">
        <f>21</f>
        <v>21.0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37720</f>
        <v>37720.0</v>
      </c>
      <c r="L118" s="34" t="s">
        <v>48</v>
      </c>
      <c r="M118" s="33" t="n">
        <f>40390</f>
        <v>40390.0</v>
      </c>
      <c r="N118" s="34" t="s">
        <v>49</v>
      </c>
      <c r="O118" s="33" t="n">
        <f>37490</f>
        <v>37490.0</v>
      </c>
      <c r="P118" s="34" t="s">
        <v>64</v>
      </c>
      <c r="Q118" s="33" t="n">
        <f>39750</f>
        <v>39750.0</v>
      </c>
      <c r="R118" s="34" t="s">
        <v>49</v>
      </c>
      <c r="S118" s="35" t="n">
        <f>38376.67</f>
        <v>38376.67</v>
      </c>
      <c r="T118" s="32" t="n">
        <f>7840</f>
        <v>7840.0</v>
      </c>
      <c r="U118" s="32" t="n">
        <f>31</f>
        <v>31.0</v>
      </c>
      <c r="V118" s="32" t="n">
        <f>299662530</f>
        <v>2.9966253E8</v>
      </c>
      <c r="W118" s="32" t="n">
        <f>1181300</f>
        <v>1181300.0</v>
      </c>
      <c r="X118" s="36" t="n">
        <f>21</f>
        <v>21.0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38840</f>
        <v>38840.0</v>
      </c>
      <c r="L119" s="34" t="s">
        <v>48</v>
      </c>
      <c r="M119" s="33" t="n">
        <f>41570</f>
        <v>41570.0</v>
      </c>
      <c r="N119" s="34" t="s">
        <v>49</v>
      </c>
      <c r="O119" s="33" t="n">
        <f>38480</f>
        <v>38480.0</v>
      </c>
      <c r="P119" s="34" t="s">
        <v>152</v>
      </c>
      <c r="Q119" s="33" t="n">
        <f>41330</f>
        <v>41330.0</v>
      </c>
      <c r="R119" s="34" t="s">
        <v>49</v>
      </c>
      <c r="S119" s="35" t="n">
        <f>39433.81</f>
        <v>39433.81</v>
      </c>
      <c r="T119" s="32" t="n">
        <f>2928</f>
        <v>2928.0</v>
      </c>
      <c r="U119" s="32" t="n">
        <f>14</f>
        <v>14.0</v>
      </c>
      <c r="V119" s="32" t="n">
        <f>115172720</f>
        <v>1.1517272E8</v>
      </c>
      <c r="W119" s="32" t="n">
        <f>550480</f>
        <v>550480.0</v>
      </c>
      <c r="X119" s="36" t="n">
        <f>21</f>
        <v>21.0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8263</f>
        <v>8263.0</v>
      </c>
      <c r="L120" s="34" t="s">
        <v>48</v>
      </c>
      <c r="M120" s="33" t="n">
        <f>8550</f>
        <v>8550.0</v>
      </c>
      <c r="N120" s="34" t="s">
        <v>49</v>
      </c>
      <c r="O120" s="33" t="n">
        <f>7975</f>
        <v>7975.0</v>
      </c>
      <c r="P120" s="34" t="s">
        <v>68</v>
      </c>
      <c r="Q120" s="33" t="n">
        <f>8550</f>
        <v>8550.0</v>
      </c>
      <c r="R120" s="34" t="s">
        <v>49</v>
      </c>
      <c r="S120" s="35" t="n">
        <f>8242.52</f>
        <v>8242.52</v>
      </c>
      <c r="T120" s="32" t="n">
        <f>40997</f>
        <v>40997.0</v>
      </c>
      <c r="U120" s="32" t="n">
        <f>12298</f>
        <v>12298.0</v>
      </c>
      <c r="V120" s="32" t="n">
        <f>336946523</f>
        <v>3.36946523E8</v>
      </c>
      <c r="W120" s="32" t="n">
        <f>100338781</f>
        <v>1.00338781E8</v>
      </c>
      <c r="X120" s="36" t="n">
        <f>21</f>
        <v>21.0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19320</f>
        <v>19320.0</v>
      </c>
      <c r="L121" s="34" t="s">
        <v>48</v>
      </c>
      <c r="M121" s="33" t="n">
        <f>19670</f>
        <v>19670.0</v>
      </c>
      <c r="N121" s="34" t="s">
        <v>49</v>
      </c>
      <c r="O121" s="33" t="n">
        <f>19110</f>
        <v>19110.0</v>
      </c>
      <c r="P121" s="34" t="s">
        <v>50</v>
      </c>
      <c r="Q121" s="33" t="n">
        <f>19620</f>
        <v>19620.0</v>
      </c>
      <c r="R121" s="34" t="s">
        <v>49</v>
      </c>
      <c r="S121" s="35" t="n">
        <f>19296.67</f>
        <v>19296.67</v>
      </c>
      <c r="T121" s="32" t="n">
        <f>5733</f>
        <v>5733.0</v>
      </c>
      <c r="U121" s="32" t="n">
        <f>38</f>
        <v>38.0</v>
      </c>
      <c r="V121" s="32" t="n">
        <f>110893688</f>
        <v>1.10893688E8</v>
      </c>
      <c r="W121" s="32" t="n">
        <f>733148</f>
        <v>733148.0</v>
      </c>
      <c r="X121" s="36" t="n">
        <f>21</f>
        <v>21.0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87320</f>
        <v>87320.0</v>
      </c>
      <c r="L122" s="34" t="s">
        <v>48</v>
      </c>
      <c r="M122" s="33" t="n">
        <f>87680</f>
        <v>87680.0</v>
      </c>
      <c r="N122" s="34" t="s">
        <v>49</v>
      </c>
      <c r="O122" s="33" t="n">
        <f>84440</f>
        <v>84440.0</v>
      </c>
      <c r="P122" s="34" t="s">
        <v>198</v>
      </c>
      <c r="Q122" s="33" t="n">
        <f>87090</f>
        <v>87090.0</v>
      </c>
      <c r="R122" s="34" t="s">
        <v>49</v>
      </c>
      <c r="S122" s="35" t="n">
        <f>86199.05</f>
        <v>86199.05</v>
      </c>
      <c r="T122" s="32" t="n">
        <f>12741</f>
        <v>12741.0</v>
      </c>
      <c r="U122" s="32" t="n">
        <f>501</f>
        <v>501.0</v>
      </c>
      <c r="V122" s="32" t="n">
        <f>1097480570</f>
        <v>1.09748057E9</v>
      </c>
      <c r="W122" s="32" t="n">
        <f>43300800</f>
        <v>4.33008E7</v>
      </c>
      <c r="X122" s="36" t="n">
        <f>21</f>
        <v>21.0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416</v>
      </c>
      <c r="J123" s="32" t="n">
        <v>1.0</v>
      </c>
      <c r="K123" s="33" t="n">
        <f>9853</f>
        <v>9853.0</v>
      </c>
      <c r="L123" s="34" t="s">
        <v>48</v>
      </c>
      <c r="M123" s="33" t="n">
        <f>10285</f>
        <v>10285.0</v>
      </c>
      <c r="N123" s="34" t="s">
        <v>49</v>
      </c>
      <c r="O123" s="33" t="n">
        <f>9795</f>
        <v>9795.0</v>
      </c>
      <c r="P123" s="34" t="s">
        <v>86</v>
      </c>
      <c r="Q123" s="33" t="n">
        <f>10285</f>
        <v>10285.0</v>
      </c>
      <c r="R123" s="34" t="s">
        <v>49</v>
      </c>
      <c r="S123" s="35" t="n">
        <f>9936.8</f>
        <v>9936.8</v>
      </c>
      <c r="T123" s="32" t="n">
        <f>3053</f>
        <v>3053.0</v>
      </c>
      <c r="U123" s="32" t="str">
        <f>"－"</f>
        <v>－</v>
      </c>
      <c r="V123" s="32" t="n">
        <f>30268290</f>
        <v>3.026829E7</v>
      </c>
      <c r="W123" s="32" t="str">
        <f>"－"</f>
        <v>－</v>
      </c>
      <c r="X123" s="36" t="n">
        <f>15</f>
        <v>15.0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33260</f>
        <v>33260.0</v>
      </c>
      <c r="L124" s="34" t="s">
        <v>48</v>
      </c>
      <c r="M124" s="33" t="n">
        <f>34680</f>
        <v>34680.0</v>
      </c>
      <c r="N124" s="34" t="s">
        <v>49</v>
      </c>
      <c r="O124" s="33" t="n">
        <f>33120</f>
        <v>33120.0</v>
      </c>
      <c r="P124" s="34" t="s">
        <v>50</v>
      </c>
      <c r="Q124" s="33" t="n">
        <f>34510</f>
        <v>34510.0</v>
      </c>
      <c r="R124" s="34" t="s">
        <v>49</v>
      </c>
      <c r="S124" s="35" t="n">
        <f>33652.86</f>
        <v>33652.86</v>
      </c>
      <c r="T124" s="32" t="n">
        <f>7675</f>
        <v>7675.0</v>
      </c>
      <c r="U124" s="32" t="n">
        <f>2542</f>
        <v>2542.0</v>
      </c>
      <c r="V124" s="32" t="n">
        <f>258082475</f>
        <v>2.58082475E8</v>
      </c>
      <c r="W124" s="32" t="n">
        <f>84927535</f>
        <v>8.4927535E7</v>
      </c>
      <c r="X124" s="36" t="n">
        <f>21</f>
        <v>21.0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21725</f>
        <v>21725.0</v>
      </c>
      <c r="L125" s="34" t="s">
        <v>48</v>
      </c>
      <c r="M125" s="33" t="n">
        <f>21915</f>
        <v>21915.0</v>
      </c>
      <c r="N125" s="34" t="s">
        <v>206</v>
      </c>
      <c r="O125" s="33" t="n">
        <f>21175</f>
        <v>21175.0</v>
      </c>
      <c r="P125" s="34" t="s">
        <v>50</v>
      </c>
      <c r="Q125" s="33" t="n">
        <f>21680</f>
        <v>21680.0</v>
      </c>
      <c r="R125" s="34" t="s">
        <v>49</v>
      </c>
      <c r="S125" s="35" t="n">
        <f>21549.76</f>
        <v>21549.76</v>
      </c>
      <c r="T125" s="32" t="n">
        <f>40535</f>
        <v>40535.0</v>
      </c>
      <c r="U125" s="32" t="n">
        <f>145</f>
        <v>145.0</v>
      </c>
      <c r="V125" s="32" t="n">
        <f>872600005</f>
        <v>8.72600005E8</v>
      </c>
      <c r="W125" s="32" t="n">
        <f>3108315</f>
        <v>3108315.0</v>
      </c>
      <c r="X125" s="36" t="n">
        <f>21</f>
        <v>21.0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29305</f>
        <v>29305.0</v>
      </c>
      <c r="L126" s="34" t="s">
        <v>48</v>
      </c>
      <c r="M126" s="33" t="n">
        <f>30070</f>
        <v>30070.0</v>
      </c>
      <c r="N126" s="34" t="s">
        <v>220</v>
      </c>
      <c r="O126" s="33" t="n">
        <f>28500</f>
        <v>28500.0</v>
      </c>
      <c r="P126" s="34" t="s">
        <v>64</v>
      </c>
      <c r="Q126" s="33" t="n">
        <f>29565</f>
        <v>29565.0</v>
      </c>
      <c r="R126" s="34" t="s">
        <v>49</v>
      </c>
      <c r="S126" s="35" t="n">
        <f>29287.86</f>
        <v>29287.86</v>
      </c>
      <c r="T126" s="32" t="n">
        <f>25465</f>
        <v>25465.0</v>
      </c>
      <c r="U126" s="32" t="n">
        <f>16503</f>
        <v>16503.0</v>
      </c>
      <c r="V126" s="32" t="n">
        <f>752393506</f>
        <v>7.52393506E8</v>
      </c>
      <c r="W126" s="32" t="n">
        <f>488948546</f>
        <v>4.88948546E8</v>
      </c>
      <c r="X126" s="36" t="n">
        <f>21</f>
        <v>21.0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41840</f>
        <v>41840.0</v>
      </c>
      <c r="L127" s="34" t="s">
        <v>48</v>
      </c>
      <c r="M127" s="33" t="n">
        <f>43060</f>
        <v>43060.0</v>
      </c>
      <c r="N127" s="34" t="s">
        <v>64</v>
      </c>
      <c r="O127" s="33" t="n">
        <f>41370</f>
        <v>41370.0</v>
      </c>
      <c r="P127" s="34" t="s">
        <v>152</v>
      </c>
      <c r="Q127" s="33" t="n">
        <f>42110</f>
        <v>42110.0</v>
      </c>
      <c r="R127" s="34" t="s">
        <v>49</v>
      </c>
      <c r="S127" s="35" t="n">
        <f>42027.14</f>
        <v>42027.14</v>
      </c>
      <c r="T127" s="32" t="n">
        <f>7925</f>
        <v>7925.0</v>
      </c>
      <c r="U127" s="32" t="n">
        <f>80</f>
        <v>80.0</v>
      </c>
      <c r="V127" s="32" t="n">
        <f>332789585</f>
        <v>3.32789585E8</v>
      </c>
      <c r="W127" s="32" t="n">
        <f>3379365</f>
        <v>3379365.0</v>
      </c>
      <c r="X127" s="36" t="n">
        <f>21</f>
        <v>21.0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416</v>
      </c>
      <c r="J128" s="32" t="n">
        <v>1.0</v>
      </c>
      <c r="K128" s="33" t="n">
        <f>7860</f>
        <v>7860.0</v>
      </c>
      <c r="L128" s="34" t="s">
        <v>48</v>
      </c>
      <c r="M128" s="33" t="n">
        <f>9265</f>
        <v>9265.0</v>
      </c>
      <c r="N128" s="34" t="s">
        <v>49</v>
      </c>
      <c r="O128" s="33" t="n">
        <f>7710</f>
        <v>7710.0</v>
      </c>
      <c r="P128" s="34" t="s">
        <v>48</v>
      </c>
      <c r="Q128" s="33" t="n">
        <f>9033</f>
        <v>9033.0</v>
      </c>
      <c r="R128" s="34" t="s">
        <v>49</v>
      </c>
      <c r="S128" s="35" t="n">
        <f>8334.86</f>
        <v>8334.86</v>
      </c>
      <c r="T128" s="32" t="n">
        <f>80731</f>
        <v>80731.0</v>
      </c>
      <c r="U128" s="32" t="n">
        <f>2</f>
        <v>2.0</v>
      </c>
      <c r="V128" s="32" t="n">
        <f>691076522</f>
        <v>6.91076522E8</v>
      </c>
      <c r="W128" s="32" t="n">
        <f>16386</f>
        <v>16386.0</v>
      </c>
      <c r="X128" s="36" t="n">
        <f>21</f>
        <v>21.0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2124</f>
        <v>2124.0</v>
      </c>
      <c r="L129" s="34" t="s">
        <v>48</v>
      </c>
      <c r="M129" s="33" t="n">
        <f>2129</f>
        <v>2129.0</v>
      </c>
      <c r="N129" s="34" t="s">
        <v>49</v>
      </c>
      <c r="O129" s="33" t="n">
        <f>2057</f>
        <v>2057.0</v>
      </c>
      <c r="P129" s="34" t="s">
        <v>50</v>
      </c>
      <c r="Q129" s="33" t="n">
        <f>2120</f>
        <v>2120.0</v>
      </c>
      <c r="R129" s="34" t="s">
        <v>49</v>
      </c>
      <c r="S129" s="35" t="n">
        <f>2091.86</f>
        <v>2091.86</v>
      </c>
      <c r="T129" s="32" t="n">
        <f>250244</f>
        <v>250244.0</v>
      </c>
      <c r="U129" s="32" t="n">
        <f>54599</f>
        <v>54599.0</v>
      </c>
      <c r="V129" s="32" t="n">
        <f>523488582</f>
        <v>5.23488582E8</v>
      </c>
      <c r="W129" s="32" t="n">
        <f>113764910</f>
        <v>1.1376491E8</v>
      </c>
      <c r="X129" s="36" t="n">
        <f>21</f>
        <v>21.0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3320</f>
        <v>3320.0</v>
      </c>
      <c r="L130" s="34" t="s">
        <v>220</v>
      </c>
      <c r="M130" s="33" t="n">
        <f>3421</f>
        <v>3421.0</v>
      </c>
      <c r="N130" s="34" t="s">
        <v>49</v>
      </c>
      <c r="O130" s="33" t="n">
        <f>3267</f>
        <v>3267.0</v>
      </c>
      <c r="P130" s="34" t="s">
        <v>50</v>
      </c>
      <c r="Q130" s="33" t="n">
        <f>3409</f>
        <v>3409.0</v>
      </c>
      <c r="R130" s="34" t="s">
        <v>49</v>
      </c>
      <c r="S130" s="35" t="n">
        <f>3318.67</f>
        <v>3318.67</v>
      </c>
      <c r="T130" s="32" t="n">
        <f>7270</f>
        <v>7270.0</v>
      </c>
      <c r="U130" s="32" t="str">
        <f>"－"</f>
        <v>－</v>
      </c>
      <c r="V130" s="32" t="n">
        <f>24665400</f>
        <v>2.46654E7</v>
      </c>
      <c r="W130" s="32" t="str">
        <f>"－"</f>
        <v>－</v>
      </c>
      <c r="X130" s="36" t="n">
        <f>6</f>
        <v>6.0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3582</f>
        <v>3582.0</v>
      </c>
      <c r="L131" s="34" t="s">
        <v>48</v>
      </c>
      <c r="M131" s="33" t="n">
        <f>3728</f>
        <v>3728.0</v>
      </c>
      <c r="N131" s="34" t="s">
        <v>49</v>
      </c>
      <c r="O131" s="33" t="n">
        <f>3558</f>
        <v>3558.0</v>
      </c>
      <c r="P131" s="34" t="s">
        <v>64</v>
      </c>
      <c r="Q131" s="33" t="n">
        <f>3728</f>
        <v>3728.0</v>
      </c>
      <c r="R131" s="34" t="s">
        <v>49</v>
      </c>
      <c r="S131" s="35" t="n">
        <f>3615.12</f>
        <v>3615.12</v>
      </c>
      <c r="T131" s="32" t="n">
        <f>12640</f>
        <v>12640.0</v>
      </c>
      <c r="U131" s="32" t="str">
        <f>"－"</f>
        <v>－</v>
      </c>
      <c r="V131" s="32" t="n">
        <f>45861670</f>
        <v>4.586167E7</v>
      </c>
      <c r="W131" s="32" t="str">
        <f>"－"</f>
        <v>－</v>
      </c>
      <c r="X131" s="36" t="n">
        <f>17</f>
        <v>17.0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2248</f>
        <v>2248.0</v>
      </c>
      <c r="L132" s="34" t="s">
        <v>48</v>
      </c>
      <c r="M132" s="33" t="n">
        <f>2260</f>
        <v>2260.0</v>
      </c>
      <c r="N132" s="34" t="s">
        <v>69</v>
      </c>
      <c r="O132" s="33" t="n">
        <f>2223</f>
        <v>2223.0</v>
      </c>
      <c r="P132" s="34" t="s">
        <v>50</v>
      </c>
      <c r="Q132" s="33" t="n">
        <f>2225</f>
        <v>2225.0</v>
      </c>
      <c r="R132" s="34" t="s">
        <v>50</v>
      </c>
      <c r="S132" s="35" t="n">
        <f>2239.88</f>
        <v>2239.88</v>
      </c>
      <c r="T132" s="32" t="n">
        <f>310</f>
        <v>310.0</v>
      </c>
      <c r="U132" s="32" t="str">
        <f>"－"</f>
        <v>－</v>
      </c>
      <c r="V132" s="32" t="n">
        <f>691870</f>
        <v>691870.0</v>
      </c>
      <c r="W132" s="32" t="str">
        <f>"－"</f>
        <v>－</v>
      </c>
      <c r="X132" s="36" t="n">
        <f>4</f>
        <v>4.0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611.1</f>
        <v>611.1</v>
      </c>
      <c r="L133" s="34" t="s">
        <v>48</v>
      </c>
      <c r="M133" s="33" t="n">
        <f>646.9</f>
        <v>646.9</v>
      </c>
      <c r="N133" s="34" t="s">
        <v>49</v>
      </c>
      <c r="O133" s="33" t="n">
        <f>606.9</f>
        <v>606.9</v>
      </c>
      <c r="P133" s="34" t="s">
        <v>48</v>
      </c>
      <c r="Q133" s="33" t="n">
        <f>644.6</f>
        <v>644.6</v>
      </c>
      <c r="R133" s="34" t="s">
        <v>49</v>
      </c>
      <c r="S133" s="35" t="n">
        <f>626.88</f>
        <v>626.88</v>
      </c>
      <c r="T133" s="32" t="n">
        <f>52823840</f>
        <v>5.282384E7</v>
      </c>
      <c r="U133" s="32" t="n">
        <f>2355600</f>
        <v>2355600.0</v>
      </c>
      <c r="V133" s="32" t="n">
        <f>33141949657</f>
        <v>3.3141949657E10</v>
      </c>
      <c r="W133" s="32" t="n">
        <f>1490381312</f>
        <v>1.490381312E9</v>
      </c>
      <c r="X133" s="36" t="n">
        <f>21</f>
        <v>21.0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284.6</f>
        <v>284.6</v>
      </c>
      <c r="L134" s="34" t="s">
        <v>48</v>
      </c>
      <c r="M134" s="33" t="n">
        <f>292.3</f>
        <v>292.3</v>
      </c>
      <c r="N134" s="34" t="s">
        <v>64</v>
      </c>
      <c r="O134" s="33" t="n">
        <f>280.7</f>
        <v>280.7</v>
      </c>
      <c r="P134" s="34" t="s">
        <v>69</v>
      </c>
      <c r="Q134" s="33" t="n">
        <f>288.1</f>
        <v>288.1</v>
      </c>
      <c r="R134" s="34" t="s">
        <v>49</v>
      </c>
      <c r="S134" s="35" t="n">
        <f>286.44</f>
        <v>286.44</v>
      </c>
      <c r="T134" s="32" t="n">
        <f>13612720</f>
        <v>1.361272E7</v>
      </c>
      <c r="U134" s="32" t="n">
        <f>11872230</f>
        <v>1.187223E7</v>
      </c>
      <c r="V134" s="32" t="n">
        <f>3928501208</f>
        <v>3.928501208E9</v>
      </c>
      <c r="W134" s="32" t="n">
        <f>3430649112</f>
        <v>3.430649112E9</v>
      </c>
      <c r="X134" s="36" t="n">
        <f>21</f>
        <v>21.0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5170</f>
        <v>5170.0</v>
      </c>
      <c r="L135" s="34" t="s">
        <v>48</v>
      </c>
      <c r="M135" s="33" t="n">
        <f>5430</f>
        <v>5430.0</v>
      </c>
      <c r="N135" s="34" t="s">
        <v>49</v>
      </c>
      <c r="O135" s="33" t="n">
        <f>5141</f>
        <v>5141.0</v>
      </c>
      <c r="P135" s="34" t="s">
        <v>48</v>
      </c>
      <c r="Q135" s="33" t="n">
        <f>5404</f>
        <v>5404.0</v>
      </c>
      <c r="R135" s="34" t="s">
        <v>49</v>
      </c>
      <c r="S135" s="35" t="n">
        <f>5282.1</f>
        <v>5282.1</v>
      </c>
      <c r="T135" s="32" t="n">
        <f>29933</f>
        <v>29933.0</v>
      </c>
      <c r="U135" s="32" t="str">
        <f>"－"</f>
        <v>－</v>
      </c>
      <c r="V135" s="32" t="n">
        <f>158286013</f>
        <v>1.58286013E8</v>
      </c>
      <c r="W135" s="32" t="str">
        <f>"－"</f>
        <v>－</v>
      </c>
      <c r="X135" s="36" t="n">
        <f>21</f>
        <v>21.0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2750</f>
        <v>2750.0</v>
      </c>
      <c r="L136" s="34" t="s">
        <v>48</v>
      </c>
      <c r="M136" s="33" t="n">
        <f>2966</f>
        <v>2966.0</v>
      </c>
      <c r="N136" s="34" t="s">
        <v>151</v>
      </c>
      <c r="O136" s="33" t="n">
        <f>2720</f>
        <v>2720.0</v>
      </c>
      <c r="P136" s="34" t="s">
        <v>48</v>
      </c>
      <c r="Q136" s="33" t="n">
        <f>2919</f>
        <v>2919.0</v>
      </c>
      <c r="R136" s="34" t="s">
        <v>49</v>
      </c>
      <c r="S136" s="35" t="n">
        <f>2845.67</f>
        <v>2845.67</v>
      </c>
      <c r="T136" s="32" t="n">
        <f>121725</f>
        <v>121725.0</v>
      </c>
      <c r="U136" s="32" t="n">
        <f>26311</f>
        <v>26311.0</v>
      </c>
      <c r="V136" s="32" t="n">
        <f>344008924</f>
        <v>3.44008924E8</v>
      </c>
      <c r="W136" s="32" t="n">
        <f>73111051</f>
        <v>7.3111051E7</v>
      </c>
      <c r="X136" s="36" t="n">
        <f>21</f>
        <v>21.0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3046</f>
        <v>3046.0</v>
      </c>
      <c r="L137" s="34" t="s">
        <v>48</v>
      </c>
      <c r="M137" s="33" t="n">
        <f>3134</f>
        <v>3134.0</v>
      </c>
      <c r="N137" s="34" t="s">
        <v>102</v>
      </c>
      <c r="O137" s="33" t="n">
        <f>3001</f>
        <v>3001.0</v>
      </c>
      <c r="P137" s="34" t="s">
        <v>50</v>
      </c>
      <c r="Q137" s="33" t="n">
        <f>3027</f>
        <v>3027.0</v>
      </c>
      <c r="R137" s="34" t="s">
        <v>49</v>
      </c>
      <c r="S137" s="35" t="n">
        <f>3058.67</f>
        <v>3058.67</v>
      </c>
      <c r="T137" s="32" t="n">
        <f>289418</f>
        <v>289418.0</v>
      </c>
      <c r="U137" s="32" t="n">
        <f>8</f>
        <v>8.0</v>
      </c>
      <c r="V137" s="32" t="n">
        <f>882705034</f>
        <v>8.82705034E8</v>
      </c>
      <c r="W137" s="32" t="n">
        <f>24265</f>
        <v>24265.0</v>
      </c>
      <c r="X137" s="36" t="n">
        <f>21</f>
        <v>21.0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10075</f>
        <v>10075.0</v>
      </c>
      <c r="L138" s="34" t="s">
        <v>48</v>
      </c>
      <c r="M138" s="33" t="n">
        <f>10470</f>
        <v>10470.0</v>
      </c>
      <c r="N138" s="34" t="s">
        <v>102</v>
      </c>
      <c r="O138" s="33" t="n">
        <f>10030</f>
        <v>10030.0</v>
      </c>
      <c r="P138" s="34" t="s">
        <v>69</v>
      </c>
      <c r="Q138" s="33" t="n">
        <f>10345</f>
        <v>10345.0</v>
      </c>
      <c r="R138" s="34" t="s">
        <v>49</v>
      </c>
      <c r="S138" s="35" t="n">
        <f>10285.95</f>
        <v>10285.95</v>
      </c>
      <c r="T138" s="32" t="n">
        <f>219619</f>
        <v>219619.0</v>
      </c>
      <c r="U138" s="32" t="n">
        <f>132674</f>
        <v>132674.0</v>
      </c>
      <c r="V138" s="32" t="n">
        <f>2266481731</f>
        <v>2.266481731E9</v>
      </c>
      <c r="W138" s="32" t="n">
        <f>1370627621</f>
        <v>1.370627621E9</v>
      </c>
      <c r="X138" s="36" t="n">
        <f>21</f>
        <v>21.0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2679</f>
        <v>2679.0</v>
      </c>
      <c r="L139" s="34" t="s">
        <v>48</v>
      </c>
      <c r="M139" s="33" t="n">
        <f>3435</f>
        <v>3435.0</v>
      </c>
      <c r="N139" s="34" t="s">
        <v>64</v>
      </c>
      <c r="O139" s="33" t="n">
        <f>2673</f>
        <v>2673.0</v>
      </c>
      <c r="P139" s="34" t="s">
        <v>48</v>
      </c>
      <c r="Q139" s="33" t="n">
        <f>2887</f>
        <v>2887.0</v>
      </c>
      <c r="R139" s="34" t="s">
        <v>49</v>
      </c>
      <c r="S139" s="35" t="n">
        <f>2961</f>
        <v>2961.0</v>
      </c>
      <c r="T139" s="32" t="n">
        <f>14500777</f>
        <v>1.4500777E7</v>
      </c>
      <c r="U139" s="32" t="n">
        <f>14699</f>
        <v>14699.0</v>
      </c>
      <c r="V139" s="32" t="n">
        <f>44983659098</f>
        <v>4.4983659098E10</v>
      </c>
      <c r="W139" s="32" t="n">
        <f>44729497</f>
        <v>4.4729497E7</v>
      </c>
      <c r="X139" s="36" t="n">
        <f>21</f>
        <v>21.0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44250</f>
        <v>44250.0</v>
      </c>
      <c r="L140" s="34" t="s">
        <v>48</v>
      </c>
      <c r="M140" s="33" t="n">
        <f>46450</f>
        <v>46450.0</v>
      </c>
      <c r="N140" s="34" t="s">
        <v>86</v>
      </c>
      <c r="O140" s="33" t="n">
        <f>43950</f>
        <v>43950.0</v>
      </c>
      <c r="P140" s="34" t="s">
        <v>49</v>
      </c>
      <c r="Q140" s="33" t="n">
        <f>44110</f>
        <v>44110.0</v>
      </c>
      <c r="R140" s="34" t="s">
        <v>49</v>
      </c>
      <c r="S140" s="35" t="n">
        <f>45100.95</f>
        <v>45100.95</v>
      </c>
      <c r="T140" s="32" t="n">
        <f>14322</f>
        <v>14322.0</v>
      </c>
      <c r="U140" s="32" t="str">
        <f>"－"</f>
        <v>－</v>
      </c>
      <c r="V140" s="32" t="n">
        <f>645313060</f>
        <v>6.4531306E8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4372</f>
        <v>4372.0</v>
      </c>
      <c r="L141" s="34" t="s">
        <v>48</v>
      </c>
      <c r="M141" s="33" t="n">
        <f>5368</f>
        <v>5368.0</v>
      </c>
      <c r="N141" s="34" t="s">
        <v>220</v>
      </c>
      <c r="O141" s="33" t="n">
        <f>4332</f>
        <v>4332.0</v>
      </c>
      <c r="P141" s="34" t="s">
        <v>48</v>
      </c>
      <c r="Q141" s="33" t="n">
        <f>4760</f>
        <v>4760.0</v>
      </c>
      <c r="R141" s="34" t="s">
        <v>49</v>
      </c>
      <c r="S141" s="35" t="n">
        <f>4767.86</f>
        <v>4767.86</v>
      </c>
      <c r="T141" s="32" t="n">
        <f>250020</f>
        <v>250020.0</v>
      </c>
      <c r="U141" s="32" t="str">
        <f>"－"</f>
        <v>－</v>
      </c>
      <c r="V141" s="32" t="n">
        <f>1205487370</f>
        <v>1.20548737E9</v>
      </c>
      <c r="W141" s="32" t="str">
        <f>"－"</f>
        <v>－</v>
      </c>
      <c r="X141" s="36" t="n">
        <f>21</f>
        <v>21.0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14150</f>
        <v>14150.0</v>
      </c>
      <c r="L142" s="34" t="s">
        <v>48</v>
      </c>
      <c r="M142" s="33" t="n">
        <f>19250</f>
        <v>19250.0</v>
      </c>
      <c r="N142" s="34" t="s">
        <v>151</v>
      </c>
      <c r="O142" s="33" t="n">
        <f>13755</f>
        <v>13755.0</v>
      </c>
      <c r="P142" s="34" t="s">
        <v>48</v>
      </c>
      <c r="Q142" s="33" t="n">
        <f>18195</f>
        <v>18195.0</v>
      </c>
      <c r="R142" s="34" t="s">
        <v>49</v>
      </c>
      <c r="S142" s="35" t="n">
        <f>16440.48</f>
        <v>16440.48</v>
      </c>
      <c r="T142" s="32" t="n">
        <f>40678</f>
        <v>40678.0</v>
      </c>
      <c r="U142" s="32" t="str">
        <f>"－"</f>
        <v>－</v>
      </c>
      <c r="V142" s="32" t="n">
        <f>694183380</f>
        <v>6.9418338E8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12875</f>
        <v>12875.0</v>
      </c>
      <c r="L143" s="34" t="s">
        <v>48</v>
      </c>
      <c r="M143" s="33" t="n">
        <f>15620</f>
        <v>15620.0</v>
      </c>
      <c r="N143" s="34" t="s">
        <v>151</v>
      </c>
      <c r="O143" s="33" t="n">
        <f>12700</f>
        <v>12700.0</v>
      </c>
      <c r="P143" s="34" t="s">
        <v>48</v>
      </c>
      <c r="Q143" s="33" t="n">
        <f>15100</f>
        <v>15100.0</v>
      </c>
      <c r="R143" s="34" t="s">
        <v>49</v>
      </c>
      <c r="S143" s="35" t="n">
        <f>13924.52</f>
        <v>13924.52</v>
      </c>
      <c r="T143" s="32" t="n">
        <f>23521</f>
        <v>23521.0</v>
      </c>
      <c r="U143" s="32" t="str">
        <f>"－"</f>
        <v>－</v>
      </c>
      <c r="V143" s="32" t="n">
        <f>336061185</f>
        <v>3.36061185E8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27885</f>
        <v>27885.0</v>
      </c>
      <c r="L144" s="34" t="s">
        <v>48</v>
      </c>
      <c r="M144" s="33" t="n">
        <f>32000</f>
        <v>32000.0</v>
      </c>
      <c r="N144" s="34" t="s">
        <v>220</v>
      </c>
      <c r="O144" s="33" t="n">
        <f>26100</f>
        <v>26100.0</v>
      </c>
      <c r="P144" s="34" t="s">
        <v>48</v>
      </c>
      <c r="Q144" s="33" t="n">
        <f>28390</f>
        <v>28390.0</v>
      </c>
      <c r="R144" s="34" t="s">
        <v>49</v>
      </c>
      <c r="S144" s="35" t="n">
        <f>28725.24</f>
        <v>28725.24</v>
      </c>
      <c r="T144" s="32" t="n">
        <f>935</f>
        <v>935.0</v>
      </c>
      <c r="U144" s="32" t="str">
        <f>"－"</f>
        <v>－</v>
      </c>
      <c r="V144" s="32" t="n">
        <f>26692550</f>
        <v>2.669255E7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54290</f>
        <v>54290.0</v>
      </c>
      <c r="L145" s="34" t="s">
        <v>48</v>
      </c>
      <c r="M145" s="33" t="n">
        <f>55790</f>
        <v>55790.0</v>
      </c>
      <c r="N145" s="34" t="s">
        <v>64</v>
      </c>
      <c r="O145" s="33" t="n">
        <f>53900</f>
        <v>53900.0</v>
      </c>
      <c r="P145" s="34" t="s">
        <v>69</v>
      </c>
      <c r="Q145" s="33" t="n">
        <f>55070</f>
        <v>55070.0</v>
      </c>
      <c r="R145" s="34" t="s">
        <v>49</v>
      </c>
      <c r="S145" s="35" t="n">
        <f>54784.5</f>
        <v>54784.5</v>
      </c>
      <c r="T145" s="32" t="n">
        <f>2980</f>
        <v>2980.0</v>
      </c>
      <c r="U145" s="32" t="n">
        <f>20</f>
        <v>20.0</v>
      </c>
      <c r="V145" s="32" t="n">
        <f>162779400</f>
        <v>1.627794E8</v>
      </c>
      <c r="W145" s="32" t="n">
        <f>1089500</f>
        <v>1089500.0</v>
      </c>
      <c r="X145" s="36" t="n">
        <f>20</f>
        <v>20.0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345.4</f>
        <v>345.4</v>
      </c>
      <c r="L146" s="34" t="s">
        <v>48</v>
      </c>
      <c r="M146" s="33" t="n">
        <f>359.9</f>
        <v>359.9</v>
      </c>
      <c r="N146" s="34" t="s">
        <v>49</v>
      </c>
      <c r="O146" s="33" t="n">
        <f>322.8</f>
        <v>322.8</v>
      </c>
      <c r="P146" s="34" t="s">
        <v>50</v>
      </c>
      <c r="Q146" s="33" t="n">
        <f>355.2</f>
        <v>355.2</v>
      </c>
      <c r="R146" s="34" t="s">
        <v>49</v>
      </c>
      <c r="S146" s="35" t="n">
        <f>347.58</f>
        <v>347.58</v>
      </c>
      <c r="T146" s="32" t="n">
        <f>28991390</f>
        <v>2.899139E7</v>
      </c>
      <c r="U146" s="32" t="n">
        <f>122470</f>
        <v>122470.0</v>
      </c>
      <c r="V146" s="32" t="n">
        <f>10059190007</f>
        <v>1.0059190007E10</v>
      </c>
      <c r="W146" s="32" t="n">
        <f>42712107</f>
        <v>4.2712107E7</v>
      </c>
      <c r="X146" s="36" t="n">
        <f>21</f>
        <v>21.0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49650</f>
        <v>49650.0</v>
      </c>
      <c r="L147" s="34" t="s">
        <v>48</v>
      </c>
      <c r="M147" s="33" t="n">
        <f>52050</f>
        <v>52050.0</v>
      </c>
      <c r="N147" s="34" t="s">
        <v>49</v>
      </c>
      <c r="O147" s="33" t="n">
        <f>49360</f>
        <v>49360.0</v>
      </c>
      <c r="P147" s="34" t="s">
        <v>69</v>
      </c>
      <c r="Q147" s="33" t="n">
        <f>52040</f>
        <v>52040.0</v>
      </c>
      <c r="R147" s="34" t="s">
        <v>49</v>
      </c>
      <c r="S147" s="35" t="n">
        <f>50488.75</f>
        <v>50488.75</v>
      </c>
      <c r="T147" s="32" t="n">
        <f>660</f>
        <v>660.0</v>
      </c>
      <c r="U147" s="32" t="str">
        <f>"－"</f>
        <v>－</v>
      </c>
      <c r="V147" s="32" t="n">
        <f>33396100</f>
        <v>3.33961E7</v>
      </c>
      <c r="W147" s="32" t="str">
        <f>"－"</f>
        <v>－</v>
      </c>
      <c r="X147" s="36" t="n">
        <f>16</f>
        <v>16.0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5900</f>
        <v>5900.0</v>
      </c>
      <c r="L148" s="34" t="s">
        <v>48</v>
      </c>
      <c r="M148" s="33" t="n">
        <f>6216</f>
        <v>6216.0</v>
      </c>
      <c r="N148" s="34" t="s">
        <v>49</v>
      </c>
      <c r="O148" s="33" t="n">
        <f>5870</f>
        <v>5870.0</v>
      </c>
      <c r="P148" s="34" t="s">
        <v>48</v>
      </c>
      <c r="Q148" s="33" t="n">
        <f>6195</f>
        <v>6195.0</v>
      </c>
      <c r="R148" s="34" t="s">
        <v>49</v>
      </c>
      <c r="S148" s="35" t="n">
        <f>6037.9</f>
        <v>6037.9</v>
      </c>
      <c r="T148" s="32" t="n">
        <f>92449</f>
        <v>92449.0</v>
      </c>
      <c r="U148" s="32" t="str">
        <f>"－"</f>
        <v>－</v>
      </c>
      <c r="V148" s="32" t="n">
        <f>561898317</f>
        <v>5.61898317E8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2082</f>
        <v>2082.0</v>
      </c>
      <c r="L149" s="34" t="s">
        <v>48</v>
      </c>
      <c r="M149" s="33" t="n">
        <f>2229</f>
        <v>2229.0</v>
      </c>
      <c r="N149" s="34" t="s">
        <v>198</v>
      </c>
      <c r="O149" s="33" t="n">
        <f>2046</f>
        <v>2046.0</v>
      </c>
      <c r="P149" s="34" t="s">
        <v>48</v>
      </c>
      <c r="Q149" s="33" t="n">
        <f>2207</f>
        <v>2207.0</v>
      </c>
      <c r="R149" s="34" t="s">
        <v>49</v>
      </c>
      <c r="S149" s="35" t="n">
        <f>2150.24</f>
        <v>2150.24</v>
      </c>
      <c r="T149" s="32" t="n">
        <f>121069</f>
        <v>121069.0</v>
      </c>
      <c r="U149" s="32" t="n">
        <f>1</f>
        <v>1.0</v>
      </c>
      <c r="V149" s="32" t="n">
        <f>262967906</f>
        <v>2.62967906E8</v>
      </c>
      <c r="W149" s="32" t="n">
        <f>2198</f>
        <v>2198.0</v>
      </c>
      <c r="X149" s="36" t="n">
        <f>21</f>
        <v>21.0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1670</f>
        <v>1670.0</v>
      </c>
      <c r="L150" s="34" t="s">
        <v>48</v>
      </c>
      <c r="M150" s="33" t="n">
        <f>1828</f>
        <v>1828.0</v>
      </c>
      <c r="N150" s="34" t="s">
        <v>68</v>
      </c>
      <c r="O150" s="33" t="n">
        <f>1657.5</f>
        <v>1657.5</v>
      </c>
      <c r="P150" s="34" t="s">
        <v>60</v>
      </c>
      <c r="Q150" s="33" t="n">
        <f>1767.5</f>
        <v>1767.5</v>
      </c>
      <c r="R150" s="34" t="s">
        <v>49</v>
      </c>
      <c r="S150" s="35" t="n">
        <f>1722.92</f>
        <v>1722.92</v>
      </c>
      <c r="T150" s="32" t="n">
        <f>2470</f>
        <v>2470.0</v>
      </c>
      <c r="U150" s="32" t="str">
        <f>"－"</f>
        <v>－</v>
      </c>
      <c r="V150" s="32" t="n">
        <f>4248580</f>
        <v>4248580.0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481</f>
        <v>481.0</v>
      </c>
      <c r="L151" s="34" t="s">
        <v>48</v>
      </c>
      <c r="M151" s="33" t="n">
        <f>599.9</f>
        <v>599.9</v>
      </c>
      <c r="N151" s="34" t="s">
        <v>64</v>
      </c>
      <c r="O151" s="33" t="n">
        <f>481</f>
        <v>481.0</v>
      </c>
      <c r="P151" s="34" t="s">
        <v>48</v>
      </c>
      <c r="Q151" s="33" t="n">
        <f>507.6</f>
        <v>507.6</v>
      </c>
      <c r="R151" s="34" t="s">
        <v>49</v>
      </c>
      <c r="S151" s="35" t="n">
        <f>523.6</f>
        <v>523.6</v>
      </c>
      <c r="T151" s="32" t="n">
        <f>55850</f>
        <v>55850.0</v>
      </c>
      <c r="U151" s="32" t="str">
        <f>"－"</f>
        <v>－</v>
      </c>
      <c r="V151" s="32" t="n">
        <f>30115123</f>
        <v>3.0115123E7</v>
      </c>
      <c r="W151" s="32" t="str">
        <f>"－"</f>
        <v>－</v>
      </c>
      <c r="X151" s="36" t="n">
        <f>20</f>
        <v>20.0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2200</f>
        <v>2200.0</v>
      </c>
      <c r="L152" s="34" t="s">
        <v>48</v>
      </c>
      <c r="M152" s="33" t="n">
        <f>2343</f>
        <v>2343.0</v>
      </c>
      <c r="N152" s="34" t="s">
        <v>304</v>
      </c>
      <c r="O152" s="33" t="n">
        <f>2150</f>
        <v>2150.0</v>
      </c>
      <c r="P152" s="34" t="s">
        <v>206</v>
      </c>
      <c r="Q152" s="33" t="n">
        <f>2295</f>
        <v>2295.0</v>
      </c>
      <c r="R152" s="34" t="s">
        <v>49</v>
      </c>
      <c r="S152" s="35" t="n">
        <f>2260.63</f>
        <v>2260.63</v>
      </c>
      <c r="T152" s="32" t="n">
        <f>1350</f>
        <v>1350.0</v>
      </c>
      <c r="U152" s="32" t="str">
        <f>"－"</f>
        <v>－</v>
      </c>
      <c r="V152" s="32" t="n">
        <f>3064220</f>
        <v>3064220.0</v>
      </c>
      <c r="W152" s="32" t="str">
        <f>"－"</f>
        <v>－</v>
      </c>
      <c r="X152" s="36" t="n">
        <f>15</f>
        <v>15.0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869</f>
        <v>869.0</v>
      </c>
      <c r="L153" s="34" t="s">
        <v>48</v>
      </c>
      <c r="M153" s="33" t="n">
        <f>942.5</f>
        <v>942.5</v>
      </c>
      <c r="N153" s="34" t="s">
        <v>269</v>
      </c>
      <c r="O153" s="33" t="n">
        <f>848.5</f>
        <v>848.5</v>
      </c>
      <c r="P153" s="34" t="s">
        <v>151</v>
      </c>
      <c r="Q153" s="33" t="n">
        <f>851.1</f>
        <v>851.1</v>
      </c>
      <c r="R153" s="34" t="s">
        <v>49</v>
      </c>
      <c r="S153" s="35" t="n">
        <f>875.89</f>
        <v>875.89</v>
      </c>
      <c r="T153" s="32" t="n">
        <f>24780</f>
        <v>24780.0</v>
      </c>
      <c r="U153" s="32" t="str">
        <f>"－"</f>
        <v>－</v>
      </c>
      <c r="V153" s="32" t="n">
        <f>21733211</f>
        <v>2.1733211E7</v>
      </c>
      <c r="W153" s="32" t="str">
        <f>"－"</f>
        <v>－</v>
      </c>
      <c r="X153" s="36" t="n">
        <f>21</f>
        <v>21.0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491</f>
        <v>491.0</v>
      </c>
      <c r="L154" s="34" t="s">
        <v>48</v>
      </c>
      <c r="M154" s="33" t="n">
        <f>520</f>
        <v>520.0</v>
      </c>
      <c r="N154" s="34" t="s">
        <v>82</v>
      </c>
      <c r="O154" s="33" t="n">
        <f>478.1</f>
        <v>478.1</v>
      </c>
      <c r="P154" s="34" t="s">
        <v>151</v>
      </c>
      <c r="Q154" s="33" t="n">
        <f>480.8</f>
        <v>480.8</v>
      </c>
      <c r="R154" s="34" t="s">
        <v>49</v>
      </c>
      <c r="S154" s="35" t="n">
        <f>494.44</f>
        <v>494.44</v>
      </c>
      <c r="T154" s="32" t="n">
        <f>147960</f>
        <v>147960.0</v>
      </c>
      <c r="U154" s="32" t="str">
        <f>"－"</f>
        <v>－</v>
      </c>
      <c r="V154" s="32" t="n">
        <f>73716177</f>
        <v>7.3716177E7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1185</f>
        <v>1185.0</v>
      </c>
      <c r="L155" s="34" t="s">
        <v>48</v>
      </c>
      <c r="M155" s="33" t="n">
        <f>1384</f>
        <v>1384.0</v>
      </c>
      <c r="N155" s="34" t="s">
        <v>207</v>
      </c>
      <c r="O155" s="33" t="n">
        <f>1178</f>
        <v>1178.0</v>
      </c>
      <c r="P155" s="34" t="s">
        <v>48</v>
      </c>
      <c r="Q155" s="33" t="n">
        <f>1212</f>
        <v>1212.0</v>
      </c>
      <c r="R155" s="34" t="s">
        <v>49</v>
      </c>
      <c r="S155" s="35" t="n">
        <f>1249.1</f>
        <v>1249.1</v>
      </c>
      <c r="T155" s="32" t="n">
        <f>790595</f>
        <v>790595.0</v>
      </c>
      <c r="U155" s="32" t="str">
        <f>"－"</f>
        <v>－</v>
      </c>
      <c r="V155" s="32" t="n">
        <f>995686388</f>
        <v>9.95686388E8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1261</f>
        <v>1261.0</v>
      </c>
      <c r="L156" s="34" t="s">
        <v>48</v>
      </c>
      <c r="M156" s="33" t="n">
        <f>1898</f>
        <v>1898.0</v>
      </c>
      <c r="N156" s="34" t="s">
        <v>64</v>
      </c>
      <c r="O156" s="33" t="n">
        <f>1261</f>
        <v>1261.0</v>
      </c>
      <c r="P156" s="34" t="s">
        <v>48</v>
      </c>
      <c r="Q156" s="33" t="n">
        <f>1343</f>
        <v>1343.0</v>
      </c>
      <c r="R156" s="34" t="s">
        <v>49</v>
      </c>
      <c r="S156" s="35" t="n">
        <f>1387.64</f>
        <v>1387.64</v>
      </c>
      <c r="T156" s="32" t="n">
        <f>177730</f>
        <v>177730.0</v>
      </c>
      <c r="U156" s="32" t="str">
        <f>"－"</f>
        <v>－</v>
      </c>
      <c r="V156" s="32" t="n">
        <f>259582795</f>
        <v>2.59582795E8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7021</f>
        <v>7021.0</v>
      </c>
      <c r="L157" s="34" t="s">
        <v>48</v>
      </c>
      <c r="M157" s="33" t="n">
        <f>8669</f>
        <v>8669.0</v>
      </c>
      <c r="N157" s="34" t="s">
        <v>220</v>
      </c>
      <c r="O157" s="33" t="n">
        <f>6950</f>
        <v>6950.0</v>
      </c>
      <c r="P157" s="34" t="s">
        <v>152</v>
      </c>
      <c r="Q157" s="33" t="n">
        <f>7350</f>
        <v>7350.0</v>
      </c>
      <c r="R157" s="34" t="s">
        <v>49</v>
      </c>
      <c r="S157" s="35" t="n">
        <f>7478.48</f>
        <v>7478.48</v>
      </c>
      <c r="T157" s="32" t="n">
        <f>11848</f>
        <v>11848.0</v>
      </c>
      <c r="U157" s="32" t="str">
        <f>"－"</f>
        <v>－</v>
      </c>
      <c r="V157" s="32" t="n">
        <f>94117981</f>
        <v>9.4117981E7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464.1</f>
        <v>464.1</v>
      </c>
      <c r="L158" s="34" t="s">
        <v>48</v>
      </c>
      <c r="M158" s="33" t="n">
        <f>499.5</f>
        <v>499.5</v>
      </c>
      <c r="N158" s="34" t="s">
        <v>151</v>
      </c>
      <c r="O158" s="33" t="n">
        <f>451.9</f>
        <v>451.9</v>
      </c>
      <c r="P158" s="34" t="s">
        <v>220</v>
      </c>
      <c r="Q158" s="33" t="n">
        <f>480</f>
        <v>480.0</v>
      </c>
      <c r="R158" s="34" t="s">
        <v>49</v>
      </c>
      <c r="S158" s="35" t="n">
        <f>472.01</f>
        <v>472.01</v>
      </c>
      <c r="T158" s="32" t="n">
        <f>48200</f>
        <v>48200.0</v>
      </c>
      <c r="U158" s="32" t="str">
        <f>"－"</f>
        <v>－</v>
      </c>
      <c r="V158" s="32" t="n">
        <f>23095150</f>
        <v>2.309515E7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6117</f>
        <v>6117.0</v>
      </c>
      <c r="L159" s="34" t="s">
        <v>48</v>
      </c>
      <c r="M159" s="33" t="n">
        <f>6573</f>
        <v>6573.0</v>
      </c>
      <c r="N159" s="34" t="s">
        <v>151</v>
      </c>
      <c r="O159" s="33" t="n">
        <f>6018</f>
        <v>6018.0</v>
      </c>
      <c r="P159" s="34" t="s">
        <v>69</v>
      </c>
      <c r="Q159" s="33" t="n">
        <f>6526</f>
        <v>6526.0</v>
      </c>
      <c r="R159" s="34" t="s">
        <v>49</v>
      </c>
      <c r="S159" s="35" t="n">
        <f>6277.14</f>
        <v>6277.14</v>
      </c>
      <c r="T159" s="32" t="n">
        <f>98050</f>
        <v>98050.0</v>
      </c>
      <c r="U159" s="32" t="str">
        <f>"－"</f>
        <v>－</v>
      </c>
      <c r="V159" s="32" t="n">
        <f>614641620</f>
        <v>6.1464162E8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1948.5</f>
        <v>1948.5</v>
      </c>
      <c r="L160" s="34" t="s">
        <v>48</v>
      </c>
      <c r="M160" s="33" t="n">
        <f>2019.5</f>
        <v>2019.5</v>
      </c>
      <c r="N160" s="34" t="s">
        <v>64</v>
      </c>
      <c r="O160" s="33" t="n">
        <f>1921</f>
        <v>1921.0</v>
      </c>
      <c r="P160" s="34" t="s">
        <v>304</v>
      </c>
      <c r="Q160" s="33" t="n">
        <f>1959.5</f>
        <v>1959.5</v>
      </c>
      <c r="R160" s="34" t="s">
        <v>49</v>
      </c>
      <c r="S160" s="35" t="n">
        <f>1979.24</f>
        <v>1979.24</v>
      </c>
      <c r="T160" s="32" t="n">
        <f>5200</f>
        <v>5200.0</v>
      </c>
      <c r="U160" s="32" t="str">
        <f>"－"</f>
        <v>－</v>
      </c>
      <c r="V160" s="32" t="n">
        <f>10237880</f>
        <v>1.023788E7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2795</f>
        <v>2795.0</v>
      </c>
      <c r="L161" s="34" t="s">
        <v>48</v>
      </c>
      <c r="M161" s="33" t="n">
        <f>3044</f>
        <v>3044.0</v>
      </c>
      <c r="N161" s="34" t="s">
        <v>64</v>
      </c>
      <c r="O161" s="33" t="n">
        <f>2721</f>
        <v>2721.0</v>
      </c>
      <c r="P161" s="34" t="s">
        <v>50</v>
      </c>
      <c r="Q161" s="33" t="n">
        <f>2757</f>
        <v>2757.0</v>
      </c>
      <c r="R161" s="34" t="s">
        <v>49</v>
      </c>
      <c r="S161" s="35" t="n">
        <f>2852.76</f>
        <v>2852.76</v>
      </c>
      <c r="T161" s="32" t="n">
        <f>290434</f>
        <v>290434.0</v>
      </c>
      <c r="U161" s="32" t="str">
        <f>"－"</f>
        <v>－</v>
      </c>
      <c r="V161" s="32" t="n">
        <f>829696682</f>
        <v>8.29696682E8</v>
      </c>
      <c r="W161" s="32" t="str">
        <f>"－"</f>
        <v>－</v>
      </c>
      <c r="X161" s="36" t="n">
        <f>21</f>
        <v>21.0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2871</f>
        <v>2871.0</v>
      </c>
      <c r="L162" s="34" t="s">
        <v>48</v>
      </c>
      <c r="M162" s="33" t="n">
        <f>2927</f>
        <v>2927.0</v>
      </c>
      <c r="N162" s="34" t="s">
        <v>304</v>
      </c>
      <c r="O162" s="33" t="n">
        <f>2706</f>
        <v>2706.0</v>
      </c>
      <c r="P162" s="34" t="s">
        <v>151</v>
      </c>
      <c r="Q162" s="33" t="n">
        <f>2730</f>
        <v>2730.0</v>
      </c>
      <c r="R162" s="34" t="s">
        <v>49</v>
      </c>
      <c r="S162" s="35" t="n">
        <f>2824.24</f>
        <v>2824.24</v>
      </c>
      <c r="T162" s="32" t="n">
        <f>59345</f>
        <v>59345.0</v>
      </c>
      <c r="U162" s="32" t="str">
        <f>"－"</f>
        <v>－</v>
      </c>
      <c r="V162" s="32" t="n">
        <f>165966715</f>
        <v>1.65966715E8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3640</f>
        <v>3640.0</v>
      </c>
      <c r="L163" s="34" t="s">
        <v>48</v>
      </c>
      <c r="M163" s="33" t="n">
        <f>3865</f>
        <v>3865.0</v>
      </c>
      <c r="N163" s="34" t="s">
        <v>64</v>
      </c>
      <c r="O163" s="33" t="n">
        <f>3565</f>
        <v>3565.0</v>
      </c>
      <c r="P163" s="34" t="s">
        <v>69</v>
      </c>
      <c r="Q163" s="33" t="n">
        <f>3660</f>
        <v>3660.0</v>
      </c>
      <c r="R163" s="34" t="s">
        <v>49</v>
      </c>
      <c r="S163" s="35" t="n">
        <f>3702.52</f>
        <v>3702.52</v>
      </c>
      <c r="T163" s="32" t="n">
        <f>12720</f>
        <v>12720.0</v>
      </c>
      <c r="U163" s="32" t="str">
        <f>"－"</f>
        <v>－</v>
      </c>
      <c r="V163" s="32" t="n">
        <f>47179720</f>
        <v>4.717972E7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3062</f>
        <v>3062.0</v>
      </c>
      <c r="L164" s="34" t="s">
        <v>48</v>
      </c>
      <c r="M164" s="33" t="n">
        <f>3076</f>
        <v>3076.0</v>
      </c>
      <c r="N164" s="34" t="s">
        <v>49</v>
      </c>
      <c r="O164" s="33" t="n">
        <f>3000</f>
        <v>3000.0</v>
      </c>
      <c r="P164" s="34" t="s">
        <v>60</v>
      </c>
      <c r="Q164" s="33" t="n">
        <f>3066</f>
        <v>3066.0</v>
      </c>
      <c r="R164" s="34" t="s">
        <v>49</v>
      </c>
      <c r="S164" s="35" t="n">
        <f>3036.1</f>
        <v>3036.1</v>
      </c>
      <c r="T164" s="32" t="n">
        <f>320412</f>
        <v>320412.0</v>
      </c>
      <c r="U164" s="32" t="n">
        <f>136355</f>
        <v>136355.0</v>
      </c>
      <c r="V164" s="32" t="n">
        <f>970992361</f>
        <v>9.70992361E8</v>
      </c>
      <c r="W164" s="32" t="n">
        <f>412390297</f>
        <v>4.12390297E8</v>
      </c>
      <c r="X164" s="36" t="n">
        <f>21</f>
        <v>21.0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348.2</f>
        <v>348.2</v>
      </c>
      <c r="L165" s="34" t="s">
        <v>48</v>
      </c>
      <c r="M165" s="33" t="n">
        <f>432.4</f>
        <v>432.4</v>
      </c>
      <c r="N165" s="34" t="s">
        <v>64</v>
      </c>
      <c r="O165" s="33" t="n">
        <f>347.4</f>
        <v>347.4</v>
      </c>
      <c r="P165" s="34" t="s">
        <v>48</v>
      </c>
      <c r="Q165" s="33" t="n">
        <f>368.4</f>
        <v>368.4</v>
      </c>
      <c r="R165" s="34" t="s">
        <v>49</v>
      </c>
      <c r="S165" s="35" t="n">
        <f>380.1</f>
        <v>380.1</v>
      </c>
      <c r="T165" s="32" t="n">
        <f>38159690</f>
        <v>3.815969E7</v>
      </c>
      <c r="U165" s="32" t="n">
        <f>408430</f>
        <v>408430.0</v>
      </c>
      <c r="V165" s="32" t="n">
        <f>15165297193</f>
        <v>1.5165297193E10</v>
      </c>
      <c r="W165" s="32" t="n">
        <f>165109676</f>
        <v>1.65109676E8</v>
      </c>
      <c r="X165" s="36" t="n">
        <f>21</f>
        <v>21.0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2010</f>
        <v>2010.0</v>
      </c>
      <c r="L166" s="34" t="s">
        <v>48</v>
      </c>
      <c r="M166" s="33" t="n">
        <f>2074</f>
        <v>2074.0</v>
      </c>
      <c r="N166" s="34" t="s">
        <v>49</v>
      </c>
      <c r="O166" s="33" t="n">
        <f>1990</f>
        <v>1990.0</v>
      </c>
      <c r="P166" s="34" t="s">
        <v>50</v>
      </c>
      <c r="Q166" s="33" t="n">
        <f>2070</f>
        <v>2070.0</v>
      </c>
      <c r="R166" s="34" t="s">
        <v>49</v>
      </c>
      <c r="S166" s="35" t="n">
        <f>2016.43</f>
        <v>2016.43</v>
      </c>
      <c r="T166" s="32" t="n">
        <f>8136</f>
        <v>8136.0</v>
      </c>
      <c r="U166" s="32" t="str">
        <f>"－"</f>
        <v>－</v>
      </c>
      <c r="V166" s="32" t="n">
        <f>16418536</f>
        <v>1.6418536E7</v>
      </c>
      <c r="W166" s="32" t="str">
        <f>"－"</f>
        <v>－</v>
      </c>
      <c r="X166" s="36" t="n">
        <f>21</f>
        <v>21.0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1093</f>
        <v>1093.0</v>
      </c>
      <c r="L167" s="34" t="s">
        <v>48</v>
      </c>
      <c r="M167" s="33" t="n">
        <f>1191</f>
        <v>1191.0</v>
      </c>
      <c r="N167" s="34" t="s">
        <v>49</v>
      </c>
      <c r="O167" s="33" t="n">
        <f>1078</f>
        <v>1078.0</v>
      </c>
      <c r="P167" s="34" t="s">
        <v>48</v>
      </c>
      <c r="Q167" s="33" t="n">
        <f>1185</f>
        <v>1185.0</v>
      </c>
      <c r="R167" s="34" t="s">
        <v>49</v>
      </c>
      <c r="S167" s="35" t="n">
        <f>1144.71</f>
        <v>1144.71</v>
      </c>
      <c r="T167" s="32" t="n">
        <f>1028530</f>
        <v>1028530.0</v>
      </c>
      <c r="U167" s="32" t="n">
        <f>221</f>
        <v>221.0</v>
      </c>
      <c r="V167" s="32" t="n">
        <f>1177372787</f>
        <v>1.177372787E9</v>
      </c>
      <c r="W167" s="32" t="n">
        <f>256791</f>
        <v>256791.0</v>
      </c>
      <c r="X167" s="36" t="n">
        <f>21</f>
        <v>21.0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263.5</f>
        <v>263.5</v>
      </c>
      <c r="L168" s="34" t="s">
        <v>48</v>
      </c>
      <c r="M168" s="33" t="n">
        <f>269.2</f>
        <v>269.2</v>
      </c>
      <c r="N168" s="34" t="s">
        <v>151</v>
      </c>
      <c r="O168" s="33" t="n">
        <f>260.4</f>
        <v>260.4</v>
      </c>
      <c r="P168" s="34" t="s">
        <v>202</v>
      </c>
      <c r="Q168" s="33" t="n">
        <f>267</f>
        <v>267.0</v>
      </c>
      <c r="R168" s="34" t="s">
        <v>49</v>
      </c>
      <c r="S168" s="35" t="n">
        <f>264.41</f>
        <v>264.41</v>
      </c>
      <c r="T168" s="32" t="n">
        <f>1219250</f>
        <v>1219250.0</v>
      </c>
      <c r="U168" s="32" t="n">
        <f>100</f>
        <v>100.0</v>
      </c>
      <c r="V168" s="32" t="n">
        <f>322796860</f>
        <v>3.2279686E8</v>
      </c>
      <c r="W168" s="32" t="n">
        <f>26360</f>
        <v>26360.0</v>
      </c>
      <c r="X168" s="36" t="n">
        <f>21</f>
        <v>21.0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266.2</f>
        <v>266.2</v>
      </c>
      <c r="L169" s="34" t="s">
        <v>48</v>
      </c>
      <c r="M169" s="33" t="n">
        <f>274.9</f>
        <v>274.9</v>
      </c>
      <c r="N169" s="34" t="s">
        <v>151</v>
      </c>
      <c r="O169" s="33" t="n">
        <f>260.6</f>
        <v>260.6</v>
      </c>
      <c r="P169" s="34" t="s">
        <v>69</v>
      </c>
      <c r="Q169" s="33" t="n">
        <f>270.8</f>
        <v>270.8</v>
      </c>
      <c r="R169" s="34" t="s">
        <v>49</v>
      </c>
      <c r="S169" s="35" t="n">
        <f>268.69</f>
        <v>268.69</v>
      </c>
      <c r="T169" s="32" t="n">
        <f>520470</f>
        <v>520470.0</v>
      </c>
      <c r="U169" s="32" t="str">
        <f>"－"</f>
        <v>－</v>
      </c>
      <c r="V169" s="32" t="n">
        <f>139896807</f>
        <v>1.39896807E8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486.9</f>
        <v>486.9</v>
      </c>
      <c r="L170" s="34" t="s">
        <v>48</v>
      </c>
      <c r="M170" s="33" t="n">
        <f>490.8</f>
        <v>490.8</v>
      </c>
      <c r="N170" s="34" t="s">
        <v>64</v>
      </c>
      <c r="O170" s="33" t="n">
        <f>474.5</f>
        <v>474.5</v>
      </c>
      <c r="P170" s="34" t="s">
        <v>294</v>
      </c>
      <c r="Q170" s="33" t="n">
        <f>481.7</f>
        <v>481.7</v>
      </c>
      <c r="R170" s="34" t="s">
        <v>49</v>
      </c>
      <c r="S170" s="35" t="n">
        <f>480.54</f>
        <v>480.54</v>
      </c>
      <c r="T170" s="32" t="n">
        <f>228620</f>
        <v>228620.0</v>
      </c>
      <c r="U170" s="32" t="str">
        <f>"－"</f>
        <v>－</v>
      </c>
      <c r="V170" s="32" t="n">
        <f>108888302</f>
        <v>1.08888302E8</v>
      </c>
      <c r="W170" s="32" t="str">
        <f>"－"</f>
        <v>－</v>
      </c>
      <c r="X170" s="36" t="n">
        <f>13</f>
        <v>13.0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459.9</f>
        <v>459.9</v>
      </c>
      <c r="L171" s="34" t="s">
        <v>48</v>
      </c>
      <c r="M171" s="33" t="n">
        <f>493.3</f>
        <v>493.3</v>
      </c>
      <c r="N171" s="34" t="s">
        <v>49</v>
      </c>
      <c r="O171" s="33" t="n">
        <f>448</f>
        <v>448.0</v>
      </c>
      <c r="P171" s="34" t="s">
        <v>69</v>
      </c>
      <c r="Q171" s="33" t="n">
        <f>465.7</f>
        <v>465.7</v>
      </c>
      <c r="R171" s="34" t="s">
        <v>49</v>
      </c>
      <c r="S171" s="35" t="n">
        <f>462.12</f>
        <v>462.12</v>
      </c>
      <c r="T171" s="32" t="n">
        <f>263710</f>
        <v>263710.0</v>
      </c>
      <c r="U171" s="32" t="str">
        <f>"－"</f>
        <v>－</v>
      </c>
      <c r="V171" s="32" t="n">
        <f>119501009</f>
        <v>1.19501009E8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469</f>
        <v>469.0</v>
      </c>
      <c r="L172" s="34" t="s">
        <v>69</v>
      </c>
      <c r="M172" s="33" t="n">
        <f>478</f>
        <v>478.0</v>
      </c>
      <c r="N172" s="34" t="s">
        <v>202</v>
      </c>
      <c r="O172" s="33" t="n">
        <f>461</f>
        <v>461.0</v>
      </c>
      <c r="P172" s="34" t="s">
        <v>202</v>
      </c>
      <c r="Q172" s="33" t="n">
        <f>472</f>
        <v>472.0</v>
      </c>
      <c r="R172" s="34" t="s">
        <v>49</v>
      </c>
      <c r="S172" s="35" t="n">
        <f>467.62</f>
        <v>467.62</v>
      </c>
      <c r="T172" s="32" t="n">
        <f>12490</f>
        <v>12490.0</v>
      </c>
      <c r="U172" s="32" t="str">
        <f>"－"</f>
        <v>－</v>
      </c>
      <c r="V172" s="32" t="n">
        <f>5837786</f>
        <v>5837786.0</v>
      </c>
      <c r="W172" s="32" t="str">
        <f>"－"</f>
        <v>－</v>
      </c>
      <c r="X172" s="36" t="n">
        <f>16</f>
        <v>16.0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924</f>
        <v>924.0</v>
      </c>
      <c r="L173" s="34" t="s">
        <v>48</v>
      </c>
      <c r="M173" s="33" t="n">
        <f>959</f>
        <v>959.0</v>
      </c>
      <c r="N173" s="34" t="s">
        <v>49</v>
      </c>
      <c r="O173" s="33" t="n">
        <f>897</f>
        <v>897.0</v>
      </c>
      <c r="P173" s="34" t="s">
        <v>86</v>
      </c>
      <c r="Q173" s="33" t="n">
        <f>944</f>
        <v>944.0</v>
      </c>
      <c r="R173" s="34" t="s">
        <v>49</v>
      </c>
      <c r="S173" s="35" t="n">
        <f>931.14</f>
        <v>931.14</v>
      </c>
      <c r="T173" s="32" t="n">
        <f>243144</f>
        <v>243144.0</v>
      </c>
      <c r="U173" s="32" t="n">
        <f>309</f>
        <v>309.0</v>
      </c>
      <c r="V173" s="32" t="n">
        <f>225491985</f>
        <v>2.25491985E8</v>
      </c>
      <c r="W173" s="32" t="n">
        <f>289054</f>
        <v>289054.0</v>
      </c>
      <c r="X173" s="36" t="n">
        <f>21</f>
        <v>21.0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1472</f>
        <v>1472.0</v>
      </c>
      <c r="L174" s="34" t="s">
        <v>48</v>
      </c>
      <c r="M174" s="33" t="n">
        <f>1783</f>
        <v>1783.0</v>
      </c>
      <c r="N174" s="34" t="s">
        <v>49</v>
      </c>
      <c r="O174" s="33" t="n">
        <f>1454</f>
        <v>1454.0</v>
      </c>
      <c r="P174" s="34" t="s">
        <v>48</v>
      </c>
      <c r="Q174" s="33" t="n">
        <f>1750</f>
        <v>1750.0</v>
      </c>
      <c r="R174" s="34" t="s">
        <v>49</v>
      </c>
      <c r="S174" s="35" t="n">
        <f>1585.38</f>
        <v>1585.38</v>
      </c>
      <c r="T174" s="32" t="n">
        <f>4132753</f>
        <v>4132753.0</v>
      </c>
      <c r="U174" s="32" t="n">
        <f>1437694</f>
        <v>1437694.0</v>
      </c>
      <c r="V174" s="32" t="n">
        <f>6705622400</f>
        <v>6.7056224E9</v>
      </c>
      <c r="W174" s="32" t="n">
        <f>2338246048</f>
        <v>2.338246048E9</v>
      </c>
      <c r="X174" s="36" t="n">
        <f>21</f>
        <v>21.0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600</f>
        <v>600.0</v>
      </c>
      <c r="L175" s="34" t="s">
        <v>48</v>
      </c>
      <c r="M175" s="33" t="n">
        <f>605.9</f>
        <v>605.9</v>
      </c>
      <c r="N175" s="34" t="s">
        <v>49</v>
      </c>
      <c r="O175" s="33" t="n">
        <f>590</f>
        <v>590.0</v>
      </c>
      <c r="P175" s="34" t="s">
        <v>50</v>
      </c>
      <c r="Q175" s="33" t="n">
        <f>603.2</f>
        <v>603.2</v>
      </c>
      <c r="R175" s="34" t="s">
        <v>49</v>
      </c>
      <c r="S175" s="35" t="n">
        <f>595.32</f>
        <v>595.32</v>
      </c>
      <c r="T175" s="32" t="n">
        <f>572410</f>
        <v>572410.0</v>
      </c>
      <c r="U175" s="32" t="str">
        <f>"－"</f>
        <v>－</v>
      </c>
      <c r="V175" s="32" t="n">
        <f>342183829</f>
        <v>3.42183829E8</v>
      </c>
      <c r="W175" s="32" t="str">
        <f>"－"</f>
        <v>－</v>
      </c>
      <c r="X175" s="36" t="n">
        <f>21</f>
        <v>21.0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209.3</f>
        <v>209.3</v>
      </c>
      <c r="L176" s="34" t="s">
        <v>48</v>
      </c>
      <c r="M176" s="33" t="n">
        <f>214.4</f>
        <v>214.4</v>
      </c>
      <c r="N176" s="34" t="s">
        <v>64</v>
      </c>
      <c r="O176" s="33" t="n">
        <f>207.1</f>
        <v>207.1</v>
      </c>
      <c r="P176" s="34" t="s">
        <v>69</v>
      </c>
      <c r="Q176" s="33" t="n">
        <f>209.9</f>
        <v>209.9</v>
      </c>
      <c r="R176" s="34" t="s">
        <v>49</v>
      </c>
      <c r="S176" s="35" t="n">
        <f>210.25</f>
        <v>210.25</v>
      </c>
      <c r="T176" s="32" t="n">
        <f>784700</f>
        <v>784700.0</v>
      </c>
      <c r="U176" s="32" t="str">
        <f>"－"</f>
        <v>－</v>
      </c>
      <c r="V176" s="32" t="n">
        <f>165275800</f>
        <v>1.652758E8</v>
      </c>
      <c r="W176" s="32" t="str">
        <f>"－"</f>
        <v>－</v>
      </c>
      <c r="X176" s="36" t="n">
        <f>21</f>
        <v>21.0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223.7</f>
        <v>223.7</v>
      </c>
      <c r="L177" s="34" t="s">
        <v>48</v>
      </c>
      <c r="M177" s="33" t="n">
        <f>231.8</f>
        <v>231.8</v>
      </c>
      <c r="N177" s="34" t="s">
        <v>64</v>
      </c>
      <c r="O177" s="33" t="n">
        <f>221.5</f>
        <v>221.5</v>
      </c>
      <c r="P177" s="34" t="s">
        <v>152</v>
      </c>
      <c r="Q177" s="33" t="n">
        <f>227.3</f>
        <v>227.3</v>
      </c>
      <c r="R177" s="34" t="s">
        <v>49</v>
      </c>
      <c r="S177" s="35" t="n">
        <f>226.65</f>
        <v>226.65</v>
      </c>
      <c r="T177" s="32" t="n">
        <f>14056020</f>
        <v>1.405602E7</v>
      </c>
      <c r="U177" s="32" t="str">
        <f>"－"</f>
        <v>－</v>
      </c>
      <c r="V177" s="32" t="n">
        <f>3193164805</f>
        <v>3.193164805E9</v>
      </c>
      <c r="W177" s="32" t="str">
        <f>"－"</f>
        <v>－</v>
      </c>
      <c r="X177" s="36" t="n">
        <f>21</f>
        <v>21.0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227.3</f>
        <v>227.3</v>
      </c>
      <c r="L178" s="34" t="s">
        <v>48</v>
      </c>
      <c r="M178" s="33" t="n">
        <f>236.2</f>
        <v>236.2</v>
      </c>
      <c r="N178" s="34" t="s">
        <v>49</v>
      </c>
      <c r="O178" s="33" t="n">
        <f>225.6</f>
        <v>225.6</v>
      </c>
      <c r="P178" s="34" t="s">
        <v>69</v>
      </c>
      <c r="Q178" s="33" t="n">
        <f>235.5</f>
        <v>235.5</v>
      </c>
      <c r="R178" s="34" t="s">
        <v>49</v>
      </c>
      <c r="S178" s="35" t="n">
        <f>231.54</f>
        <v>231.54</v>
      </c>
      <c r="T178" s="32" t="n">
        <f>2653890</f>
        <v>2653890.0</v>
      </c>
      <c r="U178" s="32" t="n">
        <f>45200</f>
        <v>45200.0</v>
      </c>
      <c r="V178" s="32" t="n">
        <f>615842793</f>
        <v>6.15842793E8</v>
      </c>
      <c r="W178" s="32" t="n">
        <f>10340084</f>
        <v>1.0340084E7</v>
      </c>
      <c r="X178" s="36" t="n">
        <f>21</f>
        <v>21.0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1945</f>
        <v>1945.0</v>
      </c>
      <c r="L179" s="34" t="s">
        <v>48</v>
      </c>
      <c r="M179" s="33" t="n">
        <f>2000</f>
        <v>2000.0</v>
      </c>
      <c r="N179" s="34" t="s">
        <v>64</v>
      </c>
      <c r="O179" s="33" t="n">
        <f>1927</f>
        <v>1927.0</v>
      </c>
      <c r="P179" s="34" t="s">
        <v>69</v>
      </c>
      <c r="Q179" s="33" t="n">
        <f>1974</f>
        <v>1974.0</v>
      </c>
      <c r="R179" s="34" t="s">
        <v>49</v>
      </c>
      <c r="S179" s="35" t="n">
        <f>1963.29</f>
        <v>1963.29</v>
      </c>
      <c r="T179" s="32" t="n">
        <f>729252</f>
        <v>729252.0</v>
      </c>
      <c r="U179" s="32" t="n">
        <f>500000</f>
        <v>500000.0</v>
      </c>
      <c r="V179" s="32" t="n">
        <f>1443868478</f>
        <v>1.443868478E9</v>
      </c>
      <c r="W179" s="32" t="n">
        <f>993916250</f>
        <v>9.9391625E8</v>
      </c>
      <c r="X179" s="36" t="n">
        <f>21</f>
        <v>21.0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1855</f>
        <v>1855.0</v>
      </c>
      <c r="L180" s="34" t="s">
        <v>48</v>
      </c>
      <c r="M180" s="33" t="n">
        <f>1920</f>
        <v>1920.0</v>
      </c>
      <c r="N180" s="34" t="s">
        <v>49</v>
      </c>
      <c r="O180" s="33" t="n">
        <f>1833</f>
        <v>1833.0</v>
      </c>
      <c r="P180" s="34" t="s">
        <v>68</v>
      </c>
      <c r="Q180" s="33" t="n">
        <f>1876</f>
        <v>1876.0</v>
      </c>
      <c r="R180" s="34" t="s">
        <v>49</v>
      </c>
      <c r="S180" s="35" t="n">
        <f>1860.43</f>
        <v>1860.43</v>
      </c>
      <c r="T180" s="32" t="n">
        <f>188344</f>
        <v>188344.0</v>
      </c>
      <c r="U180" s="32" t="n">
        <f>2</f>
        <v>2.0</v>
      </c>
      <c r="V180" s="32" t="n">
        <f>349168520</f>
        <v>3.4916852E8</v>
      </c>
      <c r="W180" s="32" t="n">
        <f>3708</f>
        <v>3708.0</v>
      </c>
      <c r="X180" s="36" t="n">
        <f>21</f>
        <v>21.0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1085</f>
        <v>1085.0</v>
      </c>
      <c r="L181" s="34" t="s">
        <v>48</v>
      </c>
      <c r="M181" s="33" t="n">
        <f>1125</f>
        <v>1125.0</v>
      </c>
      <c r="N181" s="34" t="s">
        <v>49</v>
      </c>
      <c r="O181" s="33" t="n">
        <f>1057</f>
        <v>1057.0</v>
      </c>
      <c r="P181" s="34" t="s">
        <v>50</v>
      </c>
      <c r="Q181" s="33" t="n">
        <f>1114</f>
        <v>1114.0</v>
      </c>
      <c r="R181" s="34" t="s">
        <v>49</v>
      </c>
      <c r="S181" s="35" t="n">
        <f>1084.67</f>
        <v>1084.67</v>
      </c>
      <c r="T181" s="32" t="n">
        <f>945517</f>
        <v>945517.0</v>
      </c>
      <c r="U181" s="32" t="n">
        <f>301250</f>
        <v>301250.0</v>
      </c>
      <c r="V181" s="32" t="n">
        <f>1036239402</f>
        <v>1.036239402E9</v>
      </c>
      <c r="W181" s="32" t="n">
        <f>334936410</f>
        <v>3.3493641E8</v>
      </c>
      <c r="X181" s="36" t="n">
        <f>21</f>
        <v>21.0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1063</f>
        <v>1063.0</v>
      </c>
      <c r="L182" s="34" t="s">
        <v>48</v>
      </c>
      <c r="M182" s="33" t="n">
        <f>1098</f>
        <v>1098.0</v>
      </c>
      <c r="N182" s="34" t="s">
        <v>102</v>
      </c>
      <c r="O182" s="33" t="n">
        <f>1046</f>
        <v>1046.0</v>
      </c>
      <c r="P182" s="34" t="s">
        <v>151</v>
      </c>
      <c r="Q182" s="33" t="n">
        <f>1050</f>
        <v>1050.0</v>
      </c>
      <c r="R182" s="34" t="s">
        <v>49</v>
      </c>
      <c r="S182" s="35" t="n">
        <f>1069.52</f>
        <v>1069.52</v>
      </c>
      <c r="T182" s="32" t="n">
        <f>219038</f>
        <v>219038.0</v>
      </c>
      <c r="U182" s="32" t="str">
        <f>"－"</f>
        <v>－</v>
      </c>
      <c r="V182" s="32" t="n">
        <f>233287547</f>
        <v>2.33287547E8</v>
      </c>
      <c r="W182" s="32" t="str">
        <f>"－"</f>
        <v>－</v>
      </c>
      <c r="X182" s="36" t="n">
        <f>21</f>
        <v>21.0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938</f>
        <v>938.0</v>
      </c>
      <c r="L183" s="34" t="s">
        <v>48</v>
      </c>
      <c r="M183" s="33" t="n">
        <f>945</f>
        <v>945.0</v>
      </c>
      <c r="N183" s="34" t="s">
        <v>151</v>
      </c>
      <c r="O183" s="33" t="n">
        <f>917</f>
        <v>917.0</v>
      </c>
      <c r="P183" s="34" t="s">
        <v>69</v>
      </c>
      <c r="Q183" s="33" t="n">
        <f>944</f>
        <v>944.0</v>
      </c>
      <c r="R183" s="34" t="s">
        <v>49</v>
      </c>
      <c r="S183" s="35" t="n">
        <f>932.24</f>
        <v>932.24</v>
      </c>
      <c r="T183" s="32" t="n">
        <f>77585</f>
        <v>77585.0</v>
      </c>
      <c r="U183" s="32" t="str">
        <f>"－"</f>
        <v>－</v>
      </c>
      <c r="V183" s="32" t="n">
        <f>72087354</f>
        <v>7.2087354E7</v>
      </c>
      <c r="W183" s="32" t="str">
        <f>"－"</f>
        <v>－</v>
      </c>
      <c r="X183" s="36" t="n">
        <f>21</f>
        <v>21.0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189.8</f>
        <v>189.8</v>
      </c>
      <c r="L184" s="34" t="s">
        <v>48</v>
      </c>
      <c r="M184" s="33" t="n">
        <f>196</f>
        <v>196.0</v>
      </c>
      <c r="N184" s="34" t="s">
        <v>49</v>
      </c>
      <c r="O184" s="33" t="n">
        <f>185</f>
        <v>185.0</v>
      </c>
      <c r="P184" s="34" t="s">
        <v>86</v>
      </c>
      <c r="Q184" s="33" t="n">
        <f>194</f>
        <v>194.0</v>
      </c>
      <c r="R184" s="34" t="s">
        <v>49</v>
      </c>
      <c r="S184" s="35" t="n">
        <f>189.9</f>
        <v>189.9</v>
      </c>
      <c r="T184" s="32" t="n">
        <f>3684840</f>
        <v>3684840.0</v>
      </c>
      <c r="U184" s="32" t="n">
        <f>53970</f>
        <v>53970.0</v>
      </c>
      <c r="V184" s="32" t="n">
        <f>698476237</f>
        <v>6.98476237E8</v>
      </c>
      <c r="W184" s="32" t="n">
        <f>10337046</f>
        <v>1.0337046E7</v>
      </c>
      <c r="X184" s="36" t="n">
        <f>21</f>
        <v>21.0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416</v>
      </c>
      <c r="J185" s="32" t="n">
        <v>1.0</v>
      </c>
      <c r="K185" s="33" t="n">
        <f>6373</f>
        <v>6373.0</v>
      </c>
      <c r="L185" s="34" t="s">
        <v>48</v>
      </c>
      <c r="M185" s="33" t="n">
        <f>7299</f>
        <v>7299.0</v>
      </c>
      <c r="N185" s="34" t="s">
        <v>294</v>
      </c>
      <c r="O185" s="33" t="n">
        <f>6153</f>
        <v>6153.0</v>
      </c>
      <c r="P185" s="34" t="s">
        <v>48</v>
      </c>
      <c r="Q185" s="33" t="n">
        <f>7064</f>
        <v>7064.0</v>
      </c>
      <c r="R185" s="34" t="s">
        <v>49</v>
      </c>
      <c r="S185" s="35" t="n">
        <f>6892.86</f>
        <v>6892.86</v>
      </c>
      <c r="T185" s="32" t="n">
        <f>40400</f>
        <v>40400.0</v>
      </c>
      <c r="U185" s="32" t="str">
        <f>"－"</f>
        <v>－</v>
      </c>
      <c r="V185" s="32" t="n">
        <f>278273579</f>
        <v>2.78273579E8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416</v>
      </c>
      <c r="J186" s="32" t="n">
        <v>1.0</v>
      </c>
      <c r="K186" s="33" t="n">
        <f>6299</f>
        <v>6299.0</v>
      </c>
      <c r="L186" s="34" t="s">
        <v>48</v>
      </c>
      <c r="M186" s="33" t="n">
        <f>6400</f>
        <v>6400.0</v>
      </c>
      <c r="N186" s="34" t="s">
        <v>48</v>
      </c>
      <c r="O186" s="33" t="n">
        <f>5900</f>
        <v>5900.0</v>
      </c>
      <c r="P186" s="34" t="s">
        <v>198</v>
      </c>
      <c r="Q186" s="33" t="n">
        <f>5950</f>
        <v>5950.0</v>
      </c>
      <c r="R186" s="34" t="s">
        <v>49</v>
      </c>
      <c r="S186" s="35" t="n">
        <f>6070.86</f>
        <v>6070.86</v>
      </c>
      <c r="T186" s="32" t="n">
        <f>3420</f>
        <v>3420.0</v>
      </c>
      <c r="U186" s="32" t="str">
        <f>"－"</f>
        <v>－</v>
      </c>
      <c r="V186" s="32" t="n">
        <f>20894703</f>
        <v>2.0894703E7</v>
      </c>
      <c r="W186" s="32" t="str">
        <f>"－"</f>
        <v>－</v>
      </c>
      <c r="X186" s="36" t="n">
        <f>21</f>
        <v>21.0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416</v>
      </c>
      <c r="J187" s="32" t="n">
        <v>1.0</v>
      </c>
      <c r="K187" s="33" t="n">
        <f>11455</f>
        <v>11455.0</v>
      </c>
      <c r="L187" s="34" t="s">
        <v>48</v>
      </c>
      <c r="M187" s="33" t="n">
        <f>15850</f>
        <v>15850.0</v>
      </c>
      <c r="N187" s="34" t="s">
        <v>102</v>
      </c>
      <c r="O187" s="33" t="n">
        <f>11070</f>
        <v>11070.0</v>
      </c>
      <c r="P187" s="34" t="s">
        <v>48</v>
      </c>
      <c r="Q187" s="33" t="n">
        <f>15510</f>
        <v>15510.0</v>
      </c>
      <c r="R187" s="34" t="s">
        <v>49</v>
      </c>
      <c r="S187" s="35" t="n">
        <f>13753.1</f>
        <v>13753.1</v>
      </c>
      <c r="T187" s="32" t="n">
        <f>9607</f>
        <v>9607.0</v>
      </c>
      <c r="U187" s="32" t="str">
        <f>"－"</f>
        <v>－</v>
      </c>
      <c r="V187" s="32" t="n">
        <f>129374205</f>
        <v>1.29374205E8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416</v>
      </c>
      <c r="J188" s="32" t="n">
        <v>1.0</v>
      </c>
      <c r="K188" s="33" t="n">
        <f>7125</f>
        <v>7125.0</v>
      </c>
      <c r="L188" s="34" t="s">
        <v>48</v>
      </c>
      <c r="M188" s="33" t="n">
        <f>7125</f>
        <v>7125.0</v>
      </c>
      <c r="N188" s="34" t="s">
        <v>48</v>
      </c>
      <c r="O188" s="33" t="n">
        <f>6182</f>
        <v>6182.0</v>
      </c>
      <c r="P188" s="34" t="s">
        <v>198</v>
      </c>
      <c r="Q188" s="33" t="n">
        <f>6250</f>
        <v>6250.0</v>
      </c>
      <c r="R188" s="34" t="s">
        <v>49</v>
      </c>
      <c r="S188" s="35" t="n">
        <f>6601.52</f>
        <v>6601.52</v>
      </c>
      <c r="T188" s="32" t="n">
        <f>4508</f>
        <v>4508.0</v>
      </c>
      <c r="U188" s="32" t="str">
        <f>"－"</f>
        <v>－</v>
      </c>
      <c r="V188" s="32" t="n">
        <f>29860782</f>
        <v>2.9860782E7</v>
      </c>
      <c r="W188" s="32" t="str">
        <f>"－"</f>
        <v>－</v>
      </c>
      <c r="X188" s="36" t="n">
        <f>21</f>
        <v>21.0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416</v>
      </c>
      <c r="J189" s="32" t="n">
        <v>1.0</v>
      </c>
      <c r="K189" s="33" t="n">
        <f>91910</f>
        <v>91910.0</v>
      </c>
      <c r="L189" s="34" t="s">
        <v>48</v>
      </c>
      <c r="M189" s="33" t="n">
        <f>100250</f>
        <v>100250.0</v>
      </c>
      <c r="N189" s="34" t="s">
        <v>86</v>
      </c>
      <c r="O189" s="33" t="n">
        <f>90500</f>
        <v>90500.0</v>
      </c>
      <c r="P189" s="34" t="s">
        <v>49</v>
      </c>
      <c r="Q189" s="33" t="n">
        <f>91330</f>
        <v>91330.0</v>
      </c>
      <c r="R189" s="34" t="s">
        <v>49</v>
      </c>
      <c r="S189" s="35" t="n">
        <f>95093.81</f>
        <v>95093.81</v>
      </c>
      <c r="T189" s="32" t="n">
        <f>123535</f>
        <v>123535.0</v>
      </c>
      <c r="U189" s="32" t="n">
        <f>58</f>
        <v>58.0</v>
      </c>
      <c r="V189" s="32" t="n">
        <f>11767924980</f>
        <v>1.176792498E10</v>
      </c>
      <c r="W189" s="32" t="n">
        <f>5681320</f>
        <v>5681320.0</v>
      </c>
      <c r="X189" s="36" t="n">
        <f>21</f>
        <v>21.0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416</v>
      </c>
      <c r="J190" s="32" t="n">
        <v>1.0</v>
      </c>
      <c r="K190" s="33" t="n">
        <f>2085</f>
        <v>2085.0</v>
      </c>
      <c r="L190" s="34" t="s">
        <v>48</v>
      </c>
      <c r="M190" s="33" t="n">
        <f>2110</f>
        <v>2110.0</v>
      </c>
      <c r="N190" s="34" t="s">
        <v>49</v>
      </c>
      <c r="O190" s="33" t="n">
        <f>1991</f>
        <v>1991.0</v>
      </c>
      <c r="P190" s="34" t="s">
        <v>86</v>
      </c>
      <c r="Q190" s="33" t="n">
        <f>2080</f>
        <v>2080.0</v>
      </c>
      <c r="R190" s="34" t="s">
        <v>49</v>
      </c>
      <c r="S190" s="35" t="n">
        <f>2044.81</f>
        <v>2044.81</v>
      </c>
      <c r="T190" s="32" t="n">
        <f>26003</f>
        <v>26003.0</v>
      </c>
      <c r="U190" s="32" t="str">
        <f>"－"</f>
        <v>－</v>
      </c>
      <c r="V190" s="32" t="n">
        <f>53215269</f>
        <v>5.3215269E7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416</v>
      </c>
      <c r="J191" s="32" t="n">
        <v>1.0</v>
      </c>
      <c r="K191" s="33" t="n">
        <f>1228</f>
        <v>1228.0</v>
      </c>
      <c r="L191" s="34" t="s">
        <v>48</v>
      </c>
      <c r="M191" s="33" t="n">
        <f>1825</f>
        <v>1825.0</v>
      </c>
      <c r="N191" s="34" t="s">
        <v>64</v>
      </c>
      <c r="O191" s="33" t="n">
        <f>1220</f>
        <v>1220.0</v>
      </c>
      <c r="P191" s="34" t="s">
        <v>48</v>
      </c>
      <c r="Q191" s="33" t="n">
        <f>1331</f>
        <v>1331.0</v>
      </c>
      <c r="R191" s="34" t="s">
        <v>49</v>
      </c>
      <c r="S191" s="35" t="n">
        <f>1431.24</f>
        <v>1431.24</v>
      </c>
      <c r="T191" s="32" t="n">
        <f>18520096</f>
        <v>1.8520096E7</v>
      </c>
      <c r="U191" s="32" t="n">
        <f>4261</f>
        <v>4261.0</v>
      </c>
      <c r="V191" s="32" t="n">
        <f>28254370127</f>
        <v>2.8254370127E10</v>
      </c>
      <c r="W191" s="32" t="n">
        <f>6497989</f>
        <v>6497989.0</v>
      </c>
      <c r="X191" s="36" t="n">
        <f>21</f>
        <v>21.0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416</v>
      </c>
      <c r="J192" s="32" t="n">
        <v>1.0</v>
      </c>
      <c r="K192" s="33" t="n">
        <f>1057</f>
        <v>1057.0</v>
      </c>
      <c r="L192" s="34" t="s">
        <v>48</v>
      </c>
      <c r="M192" s="33" t="n">
        <f>1059</f>
        <v>1059.0</v>
      </c>
      <c r="N192" s="34" t="s">
        <v>48</v>
      </c>
      <c r="O192" s="33" t="n">
        <f>876</f>
        <v>876.0</v>
      </c>
      <c r="P192" s="34" t="s">
        <v>64</v>
      </c>
      <c r="Q192" s="33" t="n">
        <f>977</f>
        <v>977.0</v>
      </c>
      <c r="R192" s="34" t="s">
        <v>49</v>
      </c>
      <c r="S192" s="35" t="n">
        <f>976.43</f>
        <v>976.43</v>
      </c>
      <c r="T192" s="32" t="n">
        <f>2949728</f>
        <v>2949728.0</v>
      </c>
      <c r="U192" s="32" t="n">
        <f>1576</f>
        <v>1576.0</v>
      </c>
      <c r="V192" s="32" t="n">
        <f>2799079522</f>
        <v>2.799079522E9</v>
      </c>
      <c r="W192" s="32" t="n">
        <f>1394496</f>
        <v>1394496.0</v>
      </c>
      <c r="X192" s="36" t="n">
        <f>21</f>
        <v>21.0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416</v>
      </c>
      <c r="J193" s="32" t="n">
        <v>1.0</v>
      </c>
      <c r="K193" s="33" t="n">
        <f>27960</f>
        <v>27960.0</v>
      </c>
      <c r="L193" s="34" t="s">
        <v>48</v>
      </c>
      <c r="M193" s="33" t="n">
        <f>30500</f>
        <v>30500.0</v>
      </c>
      <c r="N193" s="34" t="s">
        <v>49</v>
      </c>
      <c r="O193" s="33" t="n">
        <f>27670</f>
        <v>27670.0</v>
      </c>
      <c r="P193" s="34" t="s">
        <v>207</v>
      </c>
      <c r="Q193" s="33" t="n">
        <f>30500</f>
        <v>30500.0</v>
      </c>
      <c r="R193" s="34" t="s">
        <v>49</v>
      </c>
      <c r="S193" s="35" t="n">
        <f>28599.29</f>
        <v>28599.29</v>
      </c>
      <c r="T193" s="32" t="n">
        <f>23597</f>
        <v>23597.0</v>
      </c>
      <c r="U193" s="32" t="str">
        <f>"－"</f>
        <v>－</v>
      </c>
      <c r="V193" s="32" t="n">
        <f>683453390</f>
        <v>6.8345339E8</v>
      </c>
      <c r="W193" s="32" t="str">
        <f>"－"</f>
        <v>－</v>
      </c>
      <c r="X193" s="36" t="n">
        <f>21</f>
        <v>21.0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416</v>
      </c>
      <c r="J194" s="32" t="n">
        <v>1.0</v>
      </c>
      <c r="K194" s="33" t="n">
        <f>2405</f>
        <v>2405.0</v>
      </c>
      <c r="L194" s="34" t="s">
        <v>48</v>
      </c>
      <c r="M194" s="33" t="n">
        <f>2447</f>
        <v>2447.0</v>
      </c>
      <c r="N194" s="34" t="s">
        <v>64</v>
      </c>
      <c r="O194" s="33" t="n">
        <f>2307</f>
        <v>2307.0</v>
      </c>
      <c r="P194" s="34" t="s">
        <v>49</v>
      </c>
      <c r="Q194" s="33" t="n">
        <f>2309</f>
        <v>2309.0</v>
      </c>
      <c r="R194" s="34" t="s">
        <v>49</v>
      </c>
      <c r="S194" s="35" t="n">
        <f>2382.14</f>
        <v>2382.14</v>
      </c>
      <c r="T194" s="32" t="n">
        <f>140084</f>
        <v>140084.0</v>
      </c>
      <c r="U194" s="32" t="str">
        <f>"－"</f>
        <v>－</v>
      </c>
      <c r="V194" s="32" t="n">
        <f>331855630</f>
        <v>3.3185563E8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416</v>
      </c>
      <c r="J195" s="32" t="n">
        <v>1.0</v>
      </c>
      <c r="K195" s="33" t="n">
        <f>7812</f>
        <v>7812.0</v>
      </c>
      <c r="L195" s="34" t="s">
        <v>48</v>
      </c>
      <c r="M195" s="33" t="n">
        <f>8180</f>
        <v>8180.0</v>
      </c>
      <c r="N195" s="34" t="s">
        <v>206</v>
      </c>
      <c r="O195" s="33" t="n">
        <f>7726</f>
        <v>7726.0</v>
      </c>
      <c r="P195" s="34" t="s">
        <v>151</v>
      </c>
      <c r="Q195" s="33" t="n">
        <f>7830</f>
        <v>7830.0</v>
      </c>
      <c r="R195" s="34" t="s">
        <v>49</v>
      </c>
      <c r="S195" s="35" t="n">
        <f>7935.57</f>
        <v>7935.57</v>
      </c>
      <c r="T195" s="32" t="n">
        <f>50112</f>
        <v>50112.0</v>
      </c>
      <c r="U195" s="32" t="n">
        <f>40</f>
        <v>40.0</v>
      </c>
      <c r="V195" s="32" t="n">
        <f>397882430</f>
        <v>3.9788243E8</v>
      </c>
      <c r="W195" s="32" t="n">
        <f>316000</f>
        <v>316000.0</v>
      </c>
      <c r="X195" s="36" t="n">
        <f>21</f>
        <v>21.0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416</v>
      </c>
      <c r="J196" s="32" t="n">
        <v>1.0</v>
      </c>
      <c r="K196" s="33" t="n">
        <f>20805</f>
        <v>20805.0</v>
      </c>
      <c r="L196" s="34" t="s">
        <v>48</v>
      </c>
      <c r="M196" s="33" t="n">
        <f>20805</f>
        <v>20805.0</v>
      </c>
      <c r="N196" s="34" t="s">
        <v>48</v>
      </c>
      <c r="O196" s="33" t="n">
        <f>20055</f>
        <v>20055.0</v>
      </c>
      <c r="P196" s="34" t="s">
        <v>207</v>
      </c>
      <c r="Q196" s="33" t="n">
        <f>20500</f>
        <v>20500.0</v>
      </c>
      <c r="R196" s="34" t="s">
        <v>49</v>
      </c>
      <c r="S196" s="35" t="n">
        <f>20362.65</f>
        <v>20362.65</v>
      </c>
      <c r="T196" s="32" t="n">
        <f>206</f>
        <v>206.0</v>
      </c>
      <c r="U196" s="32" t="str">
        <f>"－"</f>
        <v>－</v>
      </c>
      <c r="V196" s="32" t="n">
        <f>4193575</f>
        <v>4193575.0</v>
      </c>
      <c r="W196" s="32" t="str">
        <f>"－"</f>
        <v>－</v>
      </c>
      <c r="X196" s="36" t="n">
        <f>17</f>
        <v>17.0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416</v>
      </c>
      <c r="J197" s="32" t="n">
        <v>1.0</v>
      </c>
      <c r="K197" s="33" t="n">
        <f>27655</f>
        <v>27655.0</v>
      </c>
      <c r="L197" s="34" t="s">
        <v>48</v>
      </c>
      <c r="M197" s="33" t="n">
        <f>27995</f>
        <v>27995.0</v>
      </c>
      <c r="N197" s="34" t="s">
        <v>198</v>
      </c>
      <c r="O197" s="33" t="n">
        <f>27180</f>
        <v>27180.0</v>
      </c>
      <c r="P197" s="34" t="s">
        <v>50</v>
      </c>
      <c r="Q197" s="33" t="n">
        <f>27875</f>
        <v>27875.0</v>
      </c>
      <c r="R197" s="34" t="s">
        <v>49</v>
      </c>
      <c r="S197" s="35" t="n">
        <f>27569.29</f>
        <v>27569.29</v>
      </c>
      <c r="T197" s="32" t="n">
        <f>6974</f>
        <v>6974.0</v>
      </c>
      <c r="U197" s="32" t="str">
        <f>"－"</f>
        <v>－</v>
      </c>
      <c r="V197" s="32" t="n">
        <f>192281775</f>
        <v>1.92281775E8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416</v>
      </c>
      <c r="J198" s="32" t="n">
        <v>1.0</v>
      </c>
      <c r="K198" s="33" t="n">
        <f>16180</f>
        <v>16180.0</v>
      </c>
      <c r="L198" s="34" t="s">
        <v>294</v>
      </c>
      <c r="M198" s="33" t="n">
        <f>16950</f>
        <v>16950.0</v>
      </c>
      <c r="N198" s="34" t="s">
        <v>49</v>
      </c>
      <c r="O198" s="33" t="n">
        <f>16180</f>
        <v>16180.0</v>
      </c>
      <c r="P198" s="34" t="s">
        <v>294</v>
      </c>
      <c r="Q198" s="33" t="n">
        <f>16810</f>
        <v>16810.0</v>
      </c>
      <c r="R198" s="34" t="s">
        <v>49</v>
      </c>
      <c r="S198" s="35" t="n">
        <f>16417.27</f>
        <v>16417.27</v>
      </c>
      <c r="T198" s="32" t="n">
        <f>275</f>
        <v>275.0</v>
      </c>
      <c r="U198" s="32" t="str">
        <f>"－"</f>
        <v>－</v>
      </c>
      <c r="V198" s="32" t="n">
        <f>4526470</f>
        <v>4526470.0</v>
      </c>
      <c r="W198" s="32" t="str">
        <f>"－"</f>
        <v>－</v>
      </c>
      <c r="X198" s="36" t="n">
        <f>11</f>
        <v>11.0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416</v>
      </c>
      <c r="J199" s="32" t="n">
        <v>1.0</v>
      </c>
      <c r="K199" s="33" t="n">
        <f>29340</f>
        <v>29340.0</v>
      </c>
      <c r="L199" s="34" t="s">
        <v>48</v>
      </c>
      <c r="M199" s="33" t="n">
        <f>31250</f>
        <v>31250.0</v>
      </c>
      <c r="N199" s="34" t="s">
        <v>49</v>
      </c>
      <c r="O199" s="33" t="n">
        <f>28600</f>
        <v>28600.0</v>
      </c>
      <c r="P199" s="34" t="s">
        <v>152</v>
      </c>
      <c r="Q199" s="33" t="n">
        <f>30880</f>
        <v>30880.0</v>
      </c>
      <c r="R199" s="34" t="s">
        <v>49</v>
      </c>
      <c r="S199" s="35" t="n">
        <f>29684.05</f>
        <v>29684.05</v>
      </c>
      <c r="T199" s="32" t="n">
        <f>59375</f>
        <v>59375.0</v>
      </c>
      <c r="U199" s="32" t="n">
        <f>23</f>
        <v>23.0</v>
      </c>
      <c r="V199" s="32" t="n">
        <f>1773187040</f>
        <v>1.77318704E9</v>
      </c>
      <c r="W199" s="32" t="n">
        <f>685850</f>
        <v>685850.0</v>
      </c>
      <c r="X199" s="36" t="n">
        <f>21</f>
        <v>21.0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416</v>
      </c>
      <c r="J200" s="32" t="n">
        <v>1.0</v>
      </c>
      <c r="K200" s="33" t="n">
        <f>3298</f>
        <v>3298.0</v>
      </c>
      <c r="L200" s="34" t="s">
        <v>48</v>
      </c>
      <c r="M200" s="33" t="n">
        <f>3399</f>
        <v>3399.0</v>
      </c>
      <c r="N200" s="34" t="s">
        <v>86</v>
      </c>
      <c r="O200" s="33" t="n">
        <f>3226</f>
        <v>3226.0</v>
      </c>
      <c r="P200" s="34" t="s">
        <v>198</v>
      </c>
      <c r="Q200" s="33" t="n">
        <f>3246</f>
        <v>3246.0</v>
      </c>
      <c r="R200" s="34" t="s">
        <v>49</v>
      </c>
      <c r="S200" s="35" t="n">
        <f>3296.07</f>
        <v>3296.07</v>
      </c>
      <c r="T200" s="32" t="n">
        <f>5561</f>
        <v>5561.0</v>
      </c>
      <c r="U200" s="32" t="str">
        <f>"－"</f>
        <v>－</v>
      </c>
      <c r="V200" s="32" t="n">
        <f>18482345</f>
        <v>1.8482345E7</v>
      </c>
      <c r="W200" s="32" t="str">
        <f>"－"</f>
        <v>－</v>
      </c>
      <c r="X200" s="36" t="n">
        <f>14</f>
        <v>14.0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416</v>
      </c>
      <c r="J201" s="32" t="n">
        <v>1.0</v>
      </c>
      <c r="K201" s="33" t="n">
        <f>30810</f>
        <v>30810.0</v>
      </c>
      <c r="L201" s="34" t="s">
        <v>304</v>
      </c>
      <c r="M201" s="33" t="n">
        <f>31510</f>
        <v>31510.0</v>
      </c>
      <c r="N201" s="34" t="s">
        <v>269</v>
      </c>
      <c r="O201" s="33" t="n">
        <f>30740</f>
        <v>30740.0</v>
      </c>
      <c r="P201" s="34" t="s">
        <v>198</v>
      </c>
      <c r="Q201" s="33" t="n">
        <f>31110</f>
        <v>31110.0</v>
      </c>
      <c r="R201" s="34" t="s">
        <v>49</v>
      </c>
      <c r="S201" s="35" t="n">
        <f>31015.56</f>
        <v>31015.56</v>
      </c>
      <c r="T201" s="32" t="n">
        <f>9385</f>
        <v>9385.0</v>
      </c>
      <c r="U201" s="32" t="str">
        <f>"－"</f>
        <v>－</v>
      </c>
      <c r="V201" s="32" t="n">
        <f>292797610</f>
        <v>2.9279761E8</v>
      </c>
      <c r="W201" s="32" t="str">
        <f>"－"</f>
        <v>－</v>
      </c>
      <c r="X201" s="36" t="n">
        <f>9</f>
        <v>9.0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416</v>
      </c>
      <c r="J202" s="32" t="n">
        <v>1.0</v>
      </c>
      <c r="K202" s="33" t="n">
        <f>21080</f>
        <v>21080.0</v>
      </c>
      <c r="L202" s="34" t="s">
        <v>294</v>
      </c>
      <c r="M202" s="33" t="n">
        <f>21590</f>
        <v>21590.0</v>
      </c>
      <c r="N202" s="34" t="s">
        <v>49</v>
      </c>
      <c r="O202" s="33" t="n">
        <f>20860</f>
        <v>20860.0</v>
      </c>
      <c r="P202" s="34" t="s">
        <v>68</v>
      </c>
      <c r="Q202" s="33" t="n">
        <f>21550</f>
        <v>21550.0</v>
      </c>
      <c r="R202" s="34" t="s">
        <v>49</v>
      </c>
      <c r="S202" s="35" t="n">
        <f>21212.5</f>
        <v>21212.5</v>
      </c>
      <c r="T202" s="32" t="n">
        <f>11</f>
        <v>11.0</v>
      </c>
      <c r="U202" s="32" t="str">
        <f>"－"</f>
        <v>－</v>
      </c>
      <c r="V202" s="32" t="n">
        <f>235980</f>
        <v>235980.0</v>
      </c>
      <c r="W202" s="32" t="str">
        <f>"－"</f>
        <v>－</v>
      </c>
      <c r="X202" s="36" t="n">
        <f>4</f>
        <v>4.0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416</v>
      </c>
      <c r="J203" s="32" t="n">
        <v>1.0</v>
      </c>
      <c r="K203" s="33" t="n">
        <f>35330</f>
        <v>35330.0</v>
      </c>
      <c r="L203" s="34" t="s">
        <v>48</v>
      </c>
      <c r="M203" s="33" t="n">
        <f>36760</f>
        <v>36760.0</v>
      </c>
      <c r="N203" s="34" t="s">
        <v>82</v>
      </c>
      <c r="O203" s="33" t="n">
        <f>35330</f>
        <v>35330.0</v>
      </c>
      <c r="P203" s="34" t="s">
        <v>48</v>
      </c>
      <c r="Q203" s="33" t="n">
        <f>36100</f>
        <v>36100.0</v>
      </c>
      <c r="R203" s="34" t="s">
        <v>151</v>
      </c>
      <c r="S203" s="35" t="n">
        <f>36025</f>
        <v>36025.0</v>
      </c>
      <c r="T203" s="32" t="n">
        <f>286</f>
        <v>286.0</v>
      </c>
      <c r="U203" s="32" t="str">
        <f>"－"</f>
        <v>－</v>
      </c>
      <c r="V203" s="32" t="n">
        <f>10334590</f>
        <v>1.033459E7</v>
      </c>
      <c r="W203" s="32" t="str">
        <f>"－"</f>
        <v>－</v>
      </c>
      <c r="X203" s="36" t="n">
        <f>12</f>
        <v>12.0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416</v>
      </c>
      <c r="J204" s="32" t="n">
        <v>1.0</v>
      </c>
      <c r="K204" s="33" t="n">
        <f>20085</f>
        <v>20085.0</v>
      </c>
      <c r="L204" s="34" t="s">
        <v>86</v>
      </c>
      <c r="M204" s="33" t="n">
        <f>20965</f>
        <v>20965.0</v>
      </c>
      <c r="N204" s="34" t="s">
        <v>64</v>
      </c>
      <c r="O204" s="33" t="n">
        <f>19780</f>
        <v>19780.0</v>
      </c>
      <c r="P204" s="34" t="s">
        <v>64</v>
      </c>
      <c r="Q204" s="33" t="n">
        <f>20965</f>
        <v>20965.0</v>
      </c>
      <c r="R204" s="34" t="s">
        <v>64</v>
      </c>
      <c r="S204" s="35" t="n">
        <f>20443.33</f>
        <v>20443.33</v>
      </c>
      <c r="T204" s="32" t="n">
        <f>7790</f>
        <v>7790.0</v>
      </c>
      <c r="U204" s="32" t="str">
        <f>"－"</f>
        <v>－</v>
      </c>
      <c r="V204" s="32" t="n">
        <f>156510160</f>
        <v>1.5651016E8</v>
      </c>
      <c r="W204" s="32" t="str">
        <f>"－"</f>
        <v>－</v>
      </c>
      <c r="X204" s="36" t="n">
        <f>3</f>
        <v>3.0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416</v>
      </c>
      <c r="J205" s="32" t="n">
        <v>1.0</v>
      </c>
      <c r="K205" s="33" t="n">
        <f>20165</f>
        <v>20165.0</v>
      </c>
      <c r="L205" s="34" t="s">
        <v>48</v>
      </c>
      <c r="M205" s="33" t="n">
        <f>20660</f>
        <v>20660.0</v>
      </c>
      <c r="N205" s="34" t="s">
        <v>49</v>
      </c>
      <c r="O205" s="33" t="n">
        <f>19475</f>
        <v>19475.0</v>
      </c>
      <c r="P205" s="34" t="s">
        <v>152</v>
      </c>
      <c r="Q205" s="33" t="n">
        <f>20660</f>
        <v>20660.0</v>
      </c>
      <c r="R205" s="34" t="s">
        <v>49</v>
      </c>
      <c r="S205" s="35" t="n">
        <f>20189.29</f>
        <v>20189.29</v>
      </c>
      <c r="T205" s="32" t="n">
        <f>250</f>
        <v>250.0</v>
      </c>
      <c r="U205" s="32" t="str">
        <f>"－"</f>
        <v>－</v>
      </c>
      <c r="V205" s="32" t="n">
        <f>5067200</f>
        <v>5067200.0</v>
      </c>
      <c r="W205" s="32" t="str">
        <f>"－"</f>
        <v>－</v>
      </c>
      <c r="X205" s="36" t="n">
        <f>14</f>
        <v>14.0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416</v>
      </c>
      <c r="J206" s="32" t="n">
        <v>1.0</v>
      </c>
      <c r="K206" s="33" t="n">
        <f>24220</f>
        <v>24220.0</v>
      </c>
      <c r="L206" s="34" t="s">
        <v>48</v>
      </c>
      <c r="M206" s="33" t="n">
        <f>25400</f>
        <v>25400.0</v>
      </c>
      <c r="N206" s="34" t="s">
        <v>49</v>
      </c>
      <c r="O206" s="33" t="n">
        <f>24220</f>
        <v>24220.0</v>
      </c>
      <c r="P206" s="34" t="s">
        <v>48</v>
      </c>
      <c r="Q206" s="33" t="n">
        <f>25220</f>
        <v>25220.0</v>
      </c>
      <c r="R206" s="34" t="s">
        <v>49</v>
      </c>
      <c r="S206" s="35" t="n">
        <f>24618.75</f>
        <v>24618.75</v>
      </c>
      <c r="T206" s="32" t="n">
        <f>1005</f>
        <v>1005.0</v>
      </c>
      <c r="U206" s="32" t="str">
        <f>"－"</f>
        <v>－</v>
      </c>
      <c r="V206" s="32" t="n">
        <f>24843875</f>
        <v>2.4843875E7</v>
      </c>
      <c r="W206" s="32" t="str">
        <f>"－"</f>
        <v>－</v>
      </c>
      <c r="X206" s="36" t="n">
        <f>4</f>
        <v>4.0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416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416</v>
      </c>
      <c r="J208" s="32" t="n">
        <v>1.0</v>
      </c>
      <c r="K208" s="33" t="n">
        <f>12290</f>
        <v>12290.0</v>
      </c>
      <c r="L208" s="34" t="s">
        <v>48</v>
      </c>
      <c r="M208" s="33" t="n">
        <f>12395</f>
        <v>12395.0</v>
      </c>
      <c r="N208" s="34" t="s">
        <v>49</v>
      </c>
      <c r="O208" s="33" t="n">
        <f>12110</f>
        <v>12110.0</v>
      </c>
      <c r="P208" s="34" t="s">
        <v>198</v>
      </c>
      <c r="Q208" s="33" t="n">
        <f>12395</f>
        <v>12395.0</v>
      </c>
      <c r="R208" s="34" t="s">
        <v>49</v>
      </c>
      <c r="S208" s="35" t="n">
        <f>12242.86</f>
        <v>12242.86</v>
      </c>
      <c r="T208" s="32" t="n">
        <f>788</f>
        <v>788.0</v>
      </c>
      <c r="U208" s="32" t="n">
        <f>1</f>
        <v>1.0</v>
      </c>
      <c r="V208" s="32" t="n">
        <f>9620800</f>
        <v>9620800.0</v>
      </c>
      <c r="W208" s="32" t="n">
        <f>12230</f>
        <v>12230.0</v>
      </c>
      <c r="X208" s="36" t="n">
        <f>7</f>
        <v>7.0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416</v>
      </c>
      <c r="J209" s="32" t="n">
        <v>1.0</v>
      </c>
      <c r="K209" s="33" t="n">
        <f>14905</f>
        <v>14905.0</v>
      </c>
      <c r="L209" s="34" t="s">
        <v>48</v>
      </c>
      <c r="M209" s="33" t="n">
        <f>16390</f>
        <v>16390.0</v>
      </c>
      <c r="N209" s="34" t="s">
        <v>49</v>
      </c>
      <c r="O209" s="33" t="n">
        <f>14875</f>
        <v>14875.0</v>
      </c>
      <c r="P209" s="34" t="s">
        <v>152</v>
      </c>
      <c r="Q209" s="33" t="n">
        <f>16320</f>
        <v>16320.0</v>
      </c>
      <c r="R209" s="34" t="s">
        <v>49</v>
      </c>
      <c r="S209" s="35" t="n">
        <f>15433.95</f>
        <v>15433.95</v>
      </c>
      <c r="T209" s="32" t="n">
        <f>7295</f>
        <v>7295.0</v>
      </c>
      <c r="U209" s="32" t="str">
        <f>"－"</f>
        <v>－</v>
      </c>
      <c r="V209" s="32" t="n">
        <f>113496820</f>
        <v>1.1349682E8</v>
      </c>
      <c r="W209" s="32" t="str">
        <f>"－"</f>
        <v>－</v>
      </c>
      <c r="X209" s="36" t="n">
        <f>19</f>
        <v>19.0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416</v>
      </c>
      <c r="J210" s="32" t="n">
        <v>1.0</v>
      </c>
      <c r="K210" s="33" t="n">
        <f>12905</f>
        <v>12905.0</v>
      </c>
      <c r="L210" s="34" t="s">
        <v>202</v>
      </c>
      <c r="M210" s="33" t="n">
        <f>13505</f>
        <v>13505.0</v>
      </c>
      <c r="N210" s="34" t="s">
        <v>49</v>
      </c>
      <c r="O210" s="33" t="n">
        <f>12880</f>
        <v>12880.0</v>
      </c>
      <c r="P210" s="34" t="s">
        <v>202</v>
      </c>
      <c r="Q210" s="33" t="n">
        <f>13505</f>
        <v>13505.0</v>
      </c>
      <c r="R210" s="34" t="s">
        <v>49</v>
      </c>
      <c r="S210" s="35" t="n">
        <f>13100.63</f>
        <v>13100.63</v>
      </c>
      <c r="T210" s="32" t="n">
        <f>2184</f>
        <v>2184.0</v>
      </c>
      <c r="U210" s="32" t="str">
        <f>"－"</f>
        <v>－</v>
      </c>
      <c r="V210" s="32" t="n">
        <f>28375515</f>
        <v>2.8375515E7</v>
      </c>
      <c r="W210" s="32" t="str">
        <f>"－"</f>
        <v>－</v>
      </c>
      <c r="X210" s="36" t="n">
        <f>8</f>
        <v>8.0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416</v>
      </c>
      <c r="J211" s="32" t="n">
        <v>1.0</v>
      </c>
      <c r="K211" s="33" t="n">
        <f>14650</f>
        <v>14650.0</v>
      </c>
      <c r="L211" s="34" t="s">
        <v>304</v>
      </c>
      <c r="M211" s="33" t="n">
        <f>15780</f>
        <v>15780.0</v>
      </c>
      <c r="N211" s="34" t="s">
        <v>49</v>
      </c>
      <c r="O211" s="33" t="n">
        <f>14630</f>
        <v>14630.0</v>
      </c>
      <c r="P211" s="34" t="s">
        <v>304</v>
      </c>
      <c r="Q211" s="33" t="n">
        <f>15775</f>
        <v>15775.0</v>
      </c>
      <c r="R211" s="34" t="s">
        <v>49</v>
      </c>
      <c r="S211" s="35" t="n">
        <f>15202.5</f>
        <v>15202.5</v>
      </c>
      <c r="T211" s="32" t="n">
        <f>8</f>
        <v>8.0</v>
      </c>
      <c r="U211" s="32" t="str">
        <f>"－"</f>
        <v>－</v>
      </c>
      <c r="V211" s="32" t="n">
        <f>120290</f>
        <v>120290.0</v>
      </c>
      <c r="W211" s="32" t="str">
        <f>"－"</f>
        <v>－</v>
      </c>
      <c r="X211" s="36" t="n">
        <f>2</f>
        <v>2.0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1250</f>
        <v>1250.0</v>
      </c>
      <c r="L212" s="34" t="s">
        <v>48</v>
      </c>
      <c r="M212" s="33" t="n">
        <f>1257</f>
        <v>1257.0</v>
      </c>
      <c r="N212" s="34" t="s">
        <v>49</v>
      </c>
      <c r="O212" s="33" t="n">
        <f>1221</f>
        <v>1221.0</v>
      </c>
      <c r="P212" s="34" t="s">
        <v>50</v>
      </c>
      <c r="Q212" s="33" t="n">
        <f>1249</f>
        <v>1249.0</v>
      </c>
      <c r="R212" s="34" t="s">
        <v>49</v>
      </c>
      <c r="S212" s="35" t="n">
        <f>1235.57</f>
        <v>1235.57</v>
      </c>
      <c r="T212" s="32" t="n">
        <f>630103</f>
        <v>630103.0</v>
      </c>
      <c r="U212" s="32" t="n">
        <f>128062</f>
        <v>128062.0</v>
      </c>
      <c r="V212" s="32" t="n">
        <f>782622927</f>
        <v>7.82622927E8</v>
      </c>
      <c r="W212" s="32" t="n">
        <f>159678529</f>
        <v>1.59678529E8</v>
      </c>
      <c r="X212" s="36" t="n">
        <f>21</f>
        <v>21.0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1344</f>
        <v>1344.0</v>
      </c>
      <c r="L213" s="34" t="s">
        <v>48</v>
      </c>
      <c r="M213" s="33" t="n">
        <f>1379</f>
        <v>1379.0</v>
      </c>
      <c r="N213" s="34" t="s">
        <v>49</v>
      </c>
      <c r="O213" s="33" t="n">
        <f>1325</f>
        <v>1325.0</v>
      </c>
      <c r="P213" s="34" t="s">
        <v>152</v>
      </c>
      <c r="Q213" s="33" t="n">
        <f>1372</f>
        <v>1372.0</v>
      </c>
      <c r="R213" s="34" t="s">
        <v>49</v>
      </c>
      <c r="S213" s="35" t="n">
        <f>1339.9</f>
        <v>1339.9</v>
      </c>
      <c r="T213" s="32" t="n">
        <f>19700</f>
        <v>19700.0</v>
      </c>
      <c r="U213" s="32" t="str">
        <f>"－"</f>
        <v>－</v>
      </c>
      <c r="V213" s="32" t="n">
        <f>26370324</f>
        <v>2.6370324E7</v>
      </c>
      <c r="W213" s="32" t="str">
        <f>"－"</f>
        <v>－</v>
      </c>
      <c r="X213" s="36" t="n">
        <f>21</f>
        <v>21.0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1120</f>
        <v>1120.0</v>
      </c>
      <c r="L214" s="34" t="s">
        <v>48</v>
      </c>
      <c r="M214" s="33" t="n">
        <f>1182</f>
        <v>1182.0</v>
      </c>
      <c r="N214" s="34" t="s">
        <v>49</v>
      </c>
      <c r="O214" s="33" t="n">
        <f>1101</f>
        <v>1101.0</v>
      </c>
      <c r="P214" s="34" t="s">
        <v>48</v>
      </c>
      <c r="Q214" s="33" t="n">
        <f>1175</f>
        <v>1175.0</v>
      </c>
      <c r="R214" s="34" t="s">
        <v>49</v>
      </c>
      <c r="S214" s="35" t="n">
        <f>1132.19</f>
        <v>1132.19</v>
      </c>
      <c r="T214" s="32" t="n">
        <f>4216</f>
        <v>4216.0</v>
      </c>
      <c r="U214" s="32" t="str">
        <f>"－"</f>
        <v>－</v>
      </c>
      <c r="V214" s="32" t="n">
        <f>4850386</f>
        <v>4850386.0</v>
      </c>
      <c r="W214" s="32" t="str">
        <f>"－"</f>
        <v>－</v>
      </c>
      <c r="X214" s="36" t="n">
        <f>21</f>
        <v>21.0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2214</f>
        <v>2214.0</v>
      </c>
      <c r="L215" s="34" t="s">
        <v>48</v>
      </c>
      <c r="M215" s="33" t="n">
        <f>2397</f>
        <v>2397.0</v>
      </c>
      <c r="N215" s="34" t="s">
        <v>49</v>
      </c>
      <c r="O215" s="33" t="n">
        <f>2204</f>
        <v>2204.0</v>
      </c>
      <c r="P215" s="34" t="s">
        <v>48</v>
      </c>
      <c r="Q215" s="33" t="n">
        <f>2379</f>
        <v>2379.0</v>
      </c>
      <c r="R215" s="34" t="s">
        <v>49</v>
      </c>
      <c r="S215" s="35" t="n">
        <f>2266.43</f>
        <v>2266.43</v>
      </c>
      <c r="T215" s="32" t="n">
        <f>209869</f>
        <v>209869.0</v>
      </c>
      <c r="U215" s="32" t="n">
        <f>3</f>
        <v>3.0</v>
      </c>
      <c r="V215" s="32" t="n">
        <f>477293635</f>
        <v>4.77293635E8</v>
      </c>
      <c r="W215" s="32" t="n">
        <f>6975</f>
        <v>6975.0</v>
      </c>
      <c r="X215" s="36" t="n">
        <f>21</f>
        <v>21.0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2310</f>
        <v>2310.0</v>
      </c>
      <c r="L216" s="34" t="s">
        <v>48</v>
      </c>
      <c r="M216" s="33" t="n">
        <f>2349</f>
        <v>2349.0</v>
      </c>
      <c r="N216" s="34" t="s">
        <v>49</v>
      </c>
      <c r="O216" s="33" t="n">
        <f>2268</f>
        <v>2268.0</v>
      </c>
      <c r="P216" s="34" t="s">
        <v>64</v>
      </c>
      <c r="Q216" s="33" t="n">
        <f>2327</f>
        <v>2327.0</v>
      </c>
      <c r="R216" s="34" t="s">
        <v>49</v>
      </c>
      <c r="S216" s="35" t="n">
        <f>2298</f>
        <v>2298.0</v>
      </c>
      <c r="T216" s="32" t="n">
        <f>266974</f>
        <v>266974.0</v>
      </c>
      <c r="U216" s="32" t="n">
        <f>48001</f>
        <v>48001.0</v>
      </c>
      <c r="V216" s="32" t="n">
        <f>614798644</f>
        <v>6.14798644E8</v>
      </c>
      <c r="W216" s="32" t="n">
        <f>110327584</f>
        <v>1.10327584E8</v>
      </c>
      <c r="X216" s="36" t="n">
        <f>21</f>
        <v>21.0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563.5</f>
        <v>563.5</v>
      </c>
      <c r="L217" s="34" t="s">
        <v>48</v>
      </c>
      <c r="M217" s="33" t="n">
        <f>564.9</f>
        <v>564.9</v>
      </c>
      <c r="N217" s="34" t="s">
        <v>206</v>
      </c>
      <c r="O217" s="33" t="n">
        <f>548</f>
        <v>548.0</v>
      </c>
      <c r="P217" s="34" t="s">
        <v>64</v>
      </c>
      <c r="Q217" s="33" t="n">
        <f>561</f>
        <v>561.0</v>
      </c>
      <c r="R217" s="34" t="s">
        <v>49</v>
      </c>
      <c r="S217" s="35" t="n">
        <f>555.91</f>
        <v>555.91</v>
      </c>
      <c r="T217" s="32" t="n">
        <f>8698980</f>
        <v>8698980.0</v>
      </c>
      <c r="U217" s="32" t="n">
        <f>7988070</f>
        <v>7988070.0</v>
      </c>
      <c r="V217" s="32" t="n">
        <f>4859261340</f>
        <v>4.85926134E9</v>
      </c>
      <c r="W217" s="32" t="n">
        <f>4463612512</f>
        <v>4.463612512E9</v>
      </c>
      <c r="X217" s="36" t="n">
        <f>21</f>
        <v>21.0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2472</f>
        <v>2472.0</v>
      </c>
      <c r="L218" s="34" t="s">
        <v>48</v>
      </c>
      <c r="M218" s="33" t="n">
        <f>2574.5</f>
        <v>2574.5</v>
      </c>
      <c r="N218" s="34" t="s">
        <v>49</v>
      </c>
      <c r="O218" s="33" t="n">
        <f>2446</f>
        <v>2446.0</v>
      </c>
      <c r="P218" s="34" t="s">
        <v>48</v>
      </c>
      <c r="Q218" s="33" t="n">
        <f>2574.5</f>
        <v>2574.5</v>
      </c>
      <c r="R218" s="34" t="s">
        <v>49</v>
      </c>
      <c r="S218" s="35" t="n">
        <f>2502.1</f>
        <v>2502.1</v>
      </c>
      <c r="T218" s="32" t="n">
        <f>190260</f>
        <v>190260.0</v>
      </c>
      <c r="U218" s="32" t="str">
        <f>"－"</f>
        <v>－</v>
      </c>
      <c r="V218" s="32" t="n">
        <f>478109375</f>
        <v>4.78109375E8</v>
      </c>
      <c r="W218" s="32" t="str">
        <f>"－"</f>
        <v>－</v>
      </c>
      <c r="X218" s="36" t="n">
        <f>15</f>
        <v>15.0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2620</f>
        <v>2620.0</v>
      </c>
      <c r="L219" s="34" t="s">
        <v>48</v>
      </c>
      <c r="M219" s="33" t="n">
        <f>2755</f>
        <v>2755.0</v>
      </c>
      <c r="N219" s="34" t="s">
        <v>49</v>
      </c>
      <c r="O219" s="33" t="n">
        <f>2617</f>
        <v>2617.0</v>
      </c>
      <c r="P219" s="34" t="s">
        <v>64</v>
      </c>
      <c r="Q219" s="33" t="n">
        <f>2754</f>
        <v>2754.0</v>
      </c>
      <c r="R219" s="34" t="s">
        <v>49</v>
      </c>
      <c r="S219" s="35" t="n">
        <f>2663.65</f>
        <v>2663.65</v>
      </c>
      <c r="T219" s="32" t="n">
        <f>8890</f>
        <v>8890.0</v>
      </c>
      <c r="U219" s="32" t="str">
        <f>"－"</f>
        <v>－</v>
      </c>
      <c r="V219" s="32" t="n">
        <f>23672675</f>
        <v>2.3672675E7</v>
      </c>
      <c r="W219" s="32" t="str">
        <f>"－"</f>
        <v>－</v>
      </c>
      <c r="X219" s="36" t="n">
        <f>10</f>
        <v>10.0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2232</f>
        <v>2232.0</v>
      </c>
      <c r="L220" s="34" t="s">
        <v>48</v>
      </c>
      <c r="M220" s="33" t="n">
        <f>2278.5</f>
        <v>2278.5</v>
      </c>
      <c r="N220" s="34" t="s">
        <v>151</v>
      </c>
      <c r="O220" s="33" t="n">
        <f>2207</f>
        <v>2207.0</v>
      </c>
      <c r="P220" s="34" t="s">
        <v>64</v>
      </c>
      <c r="Q220" s="33" t="n">
        <f>2278.5</f>
        <v>2278.5</v>
      </c>
      <c r="R220" s="34" t="s">
        <v>151</v>
      </c>
      <c r="S220" s="35" t="n">
        <f>2243.33</f>
        <v>2243.33</v>
      </c>
      <c r="T220" s="32" t="n">
        <f>171320</f>
        <v>171320.0</v>
      </c>
      <c r="U220" s="32" t="str">
        <f>"－"</f>
        <v>－</v>
      </c>
      <c r="V220" s="32" t="n">
        <f>384043020</f>
        <v>3.8404302E8</v>
      </c>
      <c r="W220" s="32" t="str">
        <f>"－"</f>
        <v>－</v>
      </c>
      <c r="X220" s="36" t="n">
        <f>9</f>
        <v>9.0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2755</f>
        <v>2755.0</v>
      </c>
      <c r="L221" s="34" t="s">
        <v>48</v>
      </c>
      <c r="M221" s="33" t="n">
        <f>2810.5</f>
        <v>2810.5</v>
      </c>
      <c r="N221" s="34" t="s">
        <v>202</v>
      </c>
      <c r="O221" s="33" t="n">
        <f>2645</f>
        <v>2645.0</v>
      </c>
      <c r="P221" s="34" t="s">
        <v>64</v>
      </c>
      <c r="Q221" s="33" t="n">
        <f>2755</f>
        <v>2755.0</v>
      </c>
      <c r="R221" s="34" t="s">
        <v>49</v>
      </c>
      <c r="S221" s="35" t="n">
        <f>2723.61</f>
        <v>2723.61</v>
      </c>
      <c r="T221" s="32" t="n">
        <f>1287750</f>
        <v>1287750.0</v>
      </c>
      <c r="U221" s="32" t="n">
        <f>913040</f>
        <v>913040.0</v>
      </c>
      <c r="V221" s="32" t="n">
        <f>3498603640</f>
        <v>3.49860364E9</v>
      </c>
      <c r="W221" s="32" t="n">
        <f>2500705485</f>
        <v>2.500705485E9</v>
      </c>
      <c r="X221" s="36" t="n">
        <f>19</f>
        <v>19.0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4515</f>
        <v>4515.0</v>
      </c>
      <c r="L222" s="34" t="s">
        <v>48</v>
      </c>
      <c r="M222" s="33" t="n">
        <f>4725</f>
        <v>4725.0</v>
      </c>
      <c r="N222" s="34" t="s">
        <v>102</v>
      </c>
      <c r="O222" s="33" t="n">
        <f>4486</f>
        <v>4486.0</v>
      </c>
      <c r="P222" s="34" t="s">
        <v>202</v>
      </c>
      <c r="Q222" s="33" t="n">
        <f>4562</f>
        <v>4562.0</v>
      </c>
      <c r="R222" s="34" t="s">
        <v>49</v>
      </c>
      <c r="S222" s="35" t="n">
        <f>4534.12</f>
        <v>4534.12</v>
      </c>
      <c r="T222" s="32" t="n">
        <f>35220</f>
        <v>35220.0</v>
      </c>
      <c r="U222" s="32" t="str">
        <f>"－"</f>
        <v>－</v>
      </c>
      <c r="V222" s="32" t="n">
        <f>158504490</f>
        <v>1.5850449E8</v>
      </c>
      <c r="W222" s="32" t="str">
        <f>"－"</f>
        <v>－</v>
      </c>
      <c r="X222" s="36" t="n">
        <f>17</f>
        <v>17.0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4765</f>
        <v>4765.0</v>
      </c>
      <c r="L223" s="34" t="s">
        <v>202</v>
      </c>
      <c r="M223" s="33" t="n">
        <f>4772</f>
        <v>4772.0</v>
      </c>
      <c r="N223" s="34" t="s">
        <v>60</v>
      </c>
      <c r="O223" s="33" t="n">
        <f>4754</f>
        <v>4754.0</v>
      </c>
      <c r="P223" s="34" t="s">
        <v>202</v>
      </c>
      <c r="Q223" s="33" t="n">
        <f>4772</f>
        <v>4772.0</v>
      </c>
      <c r="R223" s="34" t="s">
        <v>60</v>
      </c>
      <c r="S223" s="35" t="n">
        <f>4763</f>
        <v>4763.0</v>
      </c>
      <c r="T223" s="32" t="n">
        <f>700</f>
        <v>700.0</v>
      </c>
      <c r="U223" s="32" t="str">
        <f>"－"</f>
        <v>－</v>
      </c>
      <c r="V223" s="32" t="n">
        <f>3332900</f>
        <v>3332900.0</v>
      </c>
      <c r="W223" s="32" t="str">
        <f>"－"</f>
        <v>－</v>
      </c>
      <c r="X223" s="36" t="n">
        <f>2</f>
        <v>2.0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4816</f>
        <v>4816.0</v>
      </c>
      <c r="L225" s="34" t="s">
        <v>48</v>
      </c>
      <c r="M225" s="33" t="n">
        <f>4992</f>
        <v>4992.0</v>
      </c>
      <c r="N225" s="34" t="s">
        <v>723</v>
      </c>
      <c r="O225" s="33" t="n">
        <f>4776</f>
        <v>4776.0</v>
      </c>
      <c r="P225" s="34" t="s">
        <v>69</v>
      </c>
      <c r="Q225" s="33" t="n">
        <f>4839</f>
        <v>4839.0</v>
      </c>
      <c r="R225" s="34" t="s">
        <v>49</v>
      </c>
      <c r="S225" s="35" t="n">
        <f>4850.71</f>
        <v>4850.71</v>
      </c>
      <c r="T225" s="32" t="n">
        <f>410160</f>
        <v>410160.0</v>
      </c>
      <c r="U225" s="32" t="n">
        <f>400000</f>
        <v>400000.0</v>
      </c>
      <c r="V225" s="32" t="n">
        <f>2024411320</f>
        <v>2.02441132E9</v>
      </c>
      <c r="W225" s="32" t="n">
        <f>1975240000</f>
        <v>1.97524E9</v>
      </c>
      <c r="X225" s="36" t="n">
        <f>21</f>
        <v>21.0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912</f>
        <v>912.0</v>
      </c>
      <c r="L226" s="34" t="s">
        <v>48</v>
      </c>
      <c r="M226" s="33" t="n">
        <f>913</f>
        <v>913.0</v>
      </c>
      <c r="N226" s="34" t="s">
        <v>48</v>
      </c>
      <c r="O226" s="33" t="n">
        <f>870</f>
        <v>870.0</v>
      </c>
      <c r="P226" s="34" t="s">
        <v>49</v>
      </c>
      <c r="Q226" s="33" t="n">
        <f>882</f>
        <v>882.0</v>
      </c>
      <c r="R226" s="34" t="s">
        <v>49</v>
      </c>
      <c r="S226" s="35" t="n">
        <f>889.71</f>
        <v>889.71</v>
      </c>
      <c r="T226" s="32" t="n">
        <f>248056</f>
        <v>248056.0</v>
      </c>
      <c r="U226" s="32" t="str">
        <f>"－"</f>
        <v>－</v>
      </c>
      <c r="V226" s="32" t="n">
        <f>220618263</f>
        <v>2.20618263E8</v>
      </c>
      <c r="W226" s="32" t="str">
        <f>"－"</f>
        <v>－</v>
      </c>
      <c r="X226" s="36" t="n">
        <f>21</f>
        <v>21.0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1071</f>
        <v>1071.0</v>
      </c>
      <c r="L227" s="34" t="s">
        <v>48</v>
      </c>
      <c r="M227" s="33" t="n">
        <f>1093</f>
        <v>1093.0</v>
      </c>
      <c r="N227" s="34" t="s">
        <v>269</v>
      </c>
      <c r="O227" s="33" t="n">
        <f>1052</f>
        <v>1052.0</v>
      </c>
      <c r="P227" s="34" t="s">
        <v>207</v>
      </c>
      <c r="Q227" s="33" t="n">
        <f>1076</f>
        <v>1076.0</v>
      </c>
      <c r="R227" s="34" t="s">
        <v>49</v>
      </c>
      <c r="S227" s="35" t="n">
        <f>1067.43</f>
        <v>1067.43</v>
      </c>
      <c r="T227" s="32" t="n">
        <f>104220</f>
        <v>104220.0</v>
      </c>
      <c r="U227" s="32" t="str">
        <f>"－"</f>
        <v>－</v>
      </c>
      <c r="V227" s="32" t="n">
        <f>111438243</f>
        <v>1.11438243E8</v>
      </c>
      <c r="W227" s="32" t="str">
        <f>"－"</f>
        <v>－</v>
      </c>
      <c r="X227" s="36" t="n">
        <f>21</f>
        <v>21.0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1021</f>
        <v>1021.0</v>
      </c>
      <c r="L228" s="34" t="s">
        <v>48</v>
      </c>
      <c r="M228" s="33" t="n">
        <f>1113</f>
        <v>1113.0</v>
      </c>
      <c r="N228" s="34" t="s">
        <v>198</v>
      </c>
      <c r="O228" s="33" t="n">
        <f>1017</f>
        <v>1017.0</v>
      </c>
      <c r="P228" s="34" t="s">
        <v>48</v>
      </c>
      <c r="Q228" s="33" t="n">
        <f>1047</f>
        <v>1047.0</v>
      </c>
      <c r="R228" s="34" t="s">
        <v>49</v>
      </c>
      <c r="S228" s="35" t="n">
        <f>1042.81</f>
        <v>1042.81</v>
      </c>
      <c r="T228" s="32" t="n">
        <f>216335</f>
        <v>216335.0</v>
      </c>
      <c r="U228" s="32" t="str">
        <f>"－"</f>
        <v>－</v>
      </c>
      <c r="V228" s="32" t="n">
        <f>226565157</f>
        <v>2.26565157E8</v>
      </c>
      <c r="W228" s="32" t="str">
        <f>"－"</f>
        <v>－</v>
      </c>
      <c r="X228" s="36" t="n">
        <f>21</f>
        <v>21.0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937</f>
        <v>937.0</v>
      </c>
      <c r="L229" s="34" t="s">
        <v>48</v>
      </c>
      <c r="M229" s="33" t="n">
        <f>977</f>
        <v>977.0</v>
      </c>
      <c r="N229" s="34" t="s">
        <v>207</v>
      </c>
      <c r="O229" s="33" t="n">
        <f>924</f>
        <v>924.0</v>
      </c>
      <c r="P229" s="34" t="s">
        <v>152</v>
      </c>
      <c r="Q229" s="33" t="n">
        <f>935</f>
        <v>935.0</v>
      </c>
      <c r="R229" s="34" t="s">
        <v>49</v>
      </c>
      <c r="S229" s="35" t="n">
        <f>938.48</f>
        <v>938.48</v>
      </c>
      <c r="T229" s="32" t="n">
        <f>680805</f>
        <v>680805.0</v>
      </c>
      <c r="U229" s="32" t="str">
        <f>"－"</f>
        <v>－</v>
      </c>
      <c r="V229" s="32" t="n">
        <f>642137784</f>
        <v>6.42137784E8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988</f>
        <v>988.0</v>
      </c>
      <c r="L230" s="34" t="s">
        <v>48</v>
      </c>
      <c r="M230" s="33" t="n">
        <f>1080</f>
        <v>1080.0</v>
      </c>
      <c r="N230" s="34" t="s">
        <v>151</v>
      </c>
      <c r="O230" s="33" t="n">
        <f>981</f>
        <v>981.0</v>
      </c>
      <c r="P230" s="34" t="s">
        <v>69</v>
      </c>
      <c r="Q230" s="33" t="n">
        <f>1013</f>
        <v>1013.0</v>
      </c>
      <c r="R230" s="34" t="s">
        <v>49</v>
      </c>
      <c r="S230" s="35" t="n">
        <f>1008.43</f>
        <v>1008.43</v>
      </c>
      <c r="T230" s="32" t="n">
        <f>115601</f>
        <v>115601.0</v>
      </c>
      <c r="U230" s="32" t="str">
        <f>"－"</f>
        <v>－</v>
      </c>
      <c r="V230" s="32" t="n">
        <f>117201118</f>
        <v>1.17201118E8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1537</f>
        <v>1537.0</v>
      </c>
      <c r="L231" s="34" t="s">
        <v>48</v>
      </c>
      <c r="M231" s="33" t="n">
        <f>1595</f>
        <v>1595.0</v>
      </c>
      <c r="N231" s="34" t="s">
        <v>49</v>
      </c>
      <c r="O231" s="33" t="n">
        <f>1511</f>
        <v>1511.0</v>
      </c>
      <c r="P231" s="34" t="s">
        <v>152</v>
      </c>
      <c r="Q231" s="33" t="n">
        <f>1550</f>
        <v>1550.0</v>
      </c>
      <c r="R231" s="34" t="s">
        <v>49</v>
      </c>
      <c r="S231" s="35" t="n">
        <f>1552.57</f>
        <v>1552.57</v>
      </c>
      <c r="T231" s="32" t="n">
        <f>239112</f>
        <v>239112.0</v>
      </c>
      <c r="U231" s="32" t="n">
        <f>46400</f>
        <v>46400.0</v>
      </c>
      <c r="V231" s="32" t="n">
        <f>373967231</f>
        <v>3.73967231E8</v>
      </c>
      <c r="W231" s="32" t="n">
        <f>73177980</f>
        <v>7.317798E7</v>
      </c>
      <c r="X231" s="36" t="n">
        <f>21</f>
        <v>21.0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137.2</f>
        <v>137.2</v>
      </c>
      <c r="L232" s="34" t="s">
        <v>48</v>
      </c>
      <c r="M232" s="33" t="n">
        <f>165.1</f>
        <v>165.1</v>
      </c>
      <c r="N232" s="34" t="s">
        <v>49</v>
      </c>
      <c r="O232" s="33" t="n">
        <f>134.4</f>
        <v>134.4</v>
      </c>
      <c r="P232" s="34" t="s">
        <v>48</v>
      </c>
      <c r="Q232" s="33" t="n">
        <f>160.1</f>
        <v>160.1</v>
      </c>
      <c r="R232" s="34" t="s">
        <v>49</v>
      </c>
      <c r="S232" s="35" t="n">
        <f>146.58</f>
        <v>146.58</v>
      </c>
      <c r="T232" s="32" t="n">
        <f>3343740</f>
        <v>3343740.0</v>
      </c>
      <c r="U232" s="32" t="str">
        <f>"－"</f>
        <v>－</v>
      </c>
      <c r="V232" s="32" t="n">
        <f>506174217</f>
        <v>5.06174217E8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385</f>
        <v>385.0</v>
      </c>
      <c r="L233" s="34" t="s">
        <v>48</v>
      </c>
      <c r="M233" s="33" t="n">
        <f>469.1</f>
        <v>469.1</v>
      </c>
      <c r="N233" s="34" t="s">
        <v>49</v>
      </c>
      <c r="O233" s="33" t="n">
        <f>381.6</f>
        <v>381.6</v>
      </c>
      <c r="P233" s="34" t="s">
        <v>48</v>
      </c>
      <c r="Q233" s="33" t="n">
        <f>461.1</f>
        <v>461.1</v>
      </c>
      <c r="R233" s="34" t="s">
        <v>49</v>
      </c>
      <c r="S233" s="35" t="n">
        <f>417.73</f>
        <v>417.73</v>
      </c>
      <c r="T233" s="32" t="n">
        <f>488340</f>
        <v>488340.0</v>
      </c>
      <c r="U233" s="32" t="str">
        <f>"－"</f>
        <v>－</v>
      </c>
      <c r="V233" s="32" t="n">
        <f>209308901</f>
        <v>2.09308901E8</v>
      </c>
      <c r="W233" s="32" t="str">
        <f>"－"</f>
        <v>－</v>
      </c>
      <c r="X233" s="36" t="n">
        <f>21</f>
        <v>21.0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2668</f>
        <v>2668.0</v>
      </c>
      <c r="L234" s="34" t="s">
        <v>48</v>
      </c>
      <c r="M234" s="33" t="n">
        <f>2792</f>
        <v>2792.0</v>
      </c>
      <c r="N234" s="34" t="s">
        <v>49</v>
      </c>
      <c r="O234" s="33" t="n">
        <f>2637</f>
        <v>2637.0</v>
      </c>
      <c r="P234" s="34" t="s">
        <v>69</v>
      </c>
      <c r="Q234" s="33" t="n">
        <f>2779</f>
        <v>2779.0</v>
      </c>
      <c r="R234" s="34" t="s">
        <v>49</v>
      </c>
      <c r="S234" s="35" t="n">
        <f>2697.33</f>
        <v>2697.33</v>
      </c>
      <c r="T234" s="32" t="n">
        <f>146789</f>
        <v>146789.0</v>
      </c>
      <c r="U234" s="32" t="n">
        <f>8</f>
        <v>8.0</v>
      </c>
      <c r="V234" s="32" t="n">
        <f>396469066</f>
        <v>3.96469066E8</v>
      </c>
      <c r="W234" s="32" t="n">
        <f>21896</f>
        <v>21896.0</v>
      </c>
      <c r="X234" s="36" t="n">
        <f>21</f>
        <v>21.0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1167</f>
        <v>1167.0</v>
      </c>
      <c r="L235" s="34" t="s">
        <v>48</v>
      </c>
      <c r="M235" s="33" t="n">
        <f>1188</f>
        <v>1188.0</v>
      </c>
      <c r="N235" s="34" t="s">
        <v>294</v>
      </c>
      <c r="O235" s="33" t="n">
        <f>1155</f>
        <v>1155.0</v>
      </c>
      <c r="P235" s="34" t="s">
        <v>69</v>
      </c>
      <c r="Q235" s="33" t="n">
        <f>1181</f>
        <v>1181.0</v>
      </c>
      <c r="R235" s="34" t="s">
        <v>49</v>
      </c>
      <c r="S235" s="35" t="n">
        <f>1172.62</f>
        <v>1172.62</v>
      </c>
      <c r="T235" s="32" t="n">
        <f>469242</f>
        <v>469242.0</v>
      </c>
      <c r="U235" s="32" t="n">
        <f>34600</f>
        <v>34600.0</v>
      </c>
      <c r="V235" s="32" t="n">
        <f>549791012</f>
        <v>5.49791012E8</v>
      </c>
      <c r="W235" s="32" t="n">
        <f>40297515</f>
        <v>4.0297515E7</v>
      </c>
      <c r="X235" s="36" t="n">
        <f>21</f>
        <v>21.0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81110</f>
        <v>81110.0</v>
      </c>
      <c r="L236" s="34" t="s">
        <v>48</v>
      </c>
      <c r="M236" s="33" t="n">
        <f>89500</f>
        <v>89500.0</v>
      </c>
      <c r="N236" s="34" t="s">
        <v>49</v>
      </c>
      <c r="O236" s="33" t="n">
        <f>80530</f>
        <v>80530.0</v>
      </c>
      <c r="P236" s="34" t="s">
        <v>48</v>
      </c>
      <c r="Q236" s="33" t="n">
        <f>89500</f>
        <v>89500.0</v>
      </c>
      <c r="R236" s="34" t="s">
        <v>49</v>
      </c>
      <c r="S236" s="35" t="n">
        <f>84204.76</f>
        <v>84204.76</v>
      </c>
      <c r="T236" s="32" t="n">
        <f>31535</f>
        <v>31535.0</v>
      </c>
      <c r="U236" s="32" t="str">
        <f>"－"</f>
        <v>－</v>
      </c>
      <c r="V236" s="32" t="n">
        <f>2658545980</f>
        <v>2.65854598E9</v>
      </c>
      <c r="W236" s="32" t="str">
        <f>"－"</f>
        <v>－</v>
      </c>
      <c r="X236" s="36" t="n">
        <f>21</f>
        <v>21.0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6698</f>
        <v>6698.0</v>
      </c>
      <c r="L237" s="34" t="s">
        <v>48</v>
      </c>
      <c r="M237" s="33" t="n">
        <f>6745</f>
        <v>6745.0</v>
      </c>
      <c r="N237" s="34" t="s">
        <v>48</v>
      </c>
      <c r="O237" s="33" t="n">
        <f>6355</f>
        <v>6355.0</v>
      </c>
      <c r="P237" s="34" t="s">
        <v>49</v>
      </c>
      <c r="Q237" s="33" t="n">
        <f>6373</f>
        <v>6373.0</v>
      </c>
      <c r="R237" s="34" t="s">
        <v>49</v>
      </c>
      <c r="S237" s="35" t="n">
        <f>6572.14</f>
        <v>6572.14</v>
      </c>
      <c r="T237" s="32" t="n">
        <f>59189</f>
        <v>59189.0</v>
      </c>
      <c r="U237" s="32" t="str">
        <f>"－"</f>
        <v>－</v>
      </c>
      <c r="V237" s="32" t="n">
        <f>388296858</f>
        <v>3.88296858E8</v>
      </c>
      <c r="W237" s="32" t="str">
        <f>"－"</f>
        <v>－</v>
      </c>
      <c r="X237" s="36" t="n">
        <f>21</f>
        <v>21.0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17600</f>
        <v>17600.0</v>
      </c>
      <c r="L238" s="34" t="s">
        <v>48</v>
      </c>
      <c r="M238" s="33" t="n">
        <f>19395</f>
        <v>19395.0</v>
      </c>
      <c r="N238" s="34" t="s">
        <v>49</v>
      </c>
      <c r="O238" s="33" t="n">
        <f>17430</f>
        <v>17430.0</v>
      </c>
      <c r="P238" s="34" t="s">
        <v>48</v>
      </c>
      <c r="Q238" s="33" t="n">
        <f>19325</f>
        <v>19325.0</v>
      </c>
      <c r="R238" s="34" t="s">
        <v>49</v>
      </c>
      <c r="S238" s="35" t="n">
        <f>18204.05</f>
        <v>18204.05</v>
      </c>
      <c r="T238" s="32" t="n">
        <f>41650</f>
        <v>41650.0</v>
      </c>
      <c r="U238" s="32" t="str">
        <f>"－"</f>
        <v>－</v>
      </c>
      <c r="V238" s="32" t="n">
        <f>760540330</f>
        <v>7.6054033E8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1045</f>
        <v>1045.0</v>
      </c>
      <c r="L239" s="34" t="s">
        <v>48</v>
      </c>
      <c r="M239" s="33" t="n">
        <f>1133</f>
        <v>1133.0</v>
      </c>
      <c r="N239" s="34" t="s">
        <v>49</v>
      </c>
      <c r="O239" s="33" t="n">
        <f>1028</f>
        <v>1028.0</v>
      </c>
      <c r="P239" s="34" t="s">
        <v>48</v>
      </c>
      <c r="Q239" s="33" t="n">
        <f>1125</f>
        <v>1125.0</v>
      </c>
      <c r="R239" s="34" t="s">
        <v>49</v>
      </c>
      <c r="S239" s="35" t="n">
        <f>1084.71</f>
        <v>1084.71</v>
      </c>
      <c r="T239" s="32" t="n">
        <f>301696</f>
        <v>301696.0</v>
      </c>
      <c r="U239" s="32" t="n">
        <f>28000</f>
        <v>28000.0</v>
      </c>
      <c r="V239" s="32" t="n">
        <f>327657287</f>
        <v>3.27657287E8</v>
      </c>
      <c r="W239" s="32" t="n">
        <f>30536800</f>
        <v>3.05368E7</v>
      </c>
      <c r="X239" s="36" t="n">
        <f>21</f>
        <v>21.0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6785</f>
        <v>6785.0</v>
      </c>
      <c r="L240" s="34" t="s">
        <v>48</v>
      </c>
      <c r="M240" s="33" t="n">
        <f>6800</f>
        <v>6800.0</v>
      </c>
      <c r="N240" s="34" t="s">
        <v>48</v>
      </c>
      <c r="O240" s="33" t="n">
        <f>6449</f>
        <v>6449.0</v>
      </c>
      <c r="P240" s="34" t="s">
        <v>49</v>
      </c>
      <c r="Q240" s="33" t="n">
        <f>6450</f>
        <v>6450.0</v>
      </c>
      <c r="R240" s="34" t="s">
        <v>49</v>
      </c>
      <c r="S240" s="35" t="n">
        <f>6650.71</f>
        <v>6650.71</v>
      </c>
      <c r="T240" s="32" t="n">
        <f>19527</f>
        <v>19527.0</v>
      </c>
      <c r="U240" s="32" t="str">
        <f>"－"</f>
        <v>－</v>
      </c>
      <c r="V240" s="32" t="n">
        <f>129723800</f>
        <v>1.297238E8</v>
      </c>
      <c r="W240" s="32" t="str">
        <f>"－"</f>
        <v>－</v>
      </c>
      <c r="X240" s="36" t="n">
        <f>21</f>
        <v>21.0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680.9</f>
        <v>680.9</v>
      </c>
      <c r="L241" s="34" t="s">
        <v>48</v>
      </c>
      <c r="M241" s="33" t="n">
        <f>710.3</f>
        <v>710.3</v>
      </c>
      <c r="N241" s="34" t="s">
        <v>49</v>
      </c>
      <c r="O241" s="33" t="n">
        <f>671</f>
        <v>671.0</v>
      </c>
      <c r="P241" s="34" t="s">
        <v>69</v>
      </c>
      <c r="Q241" s="33" t="n">
        <f>707.8</f>
        <v>707.8</v>
      </c>
      <c r="R241" s="34" t="s">
        <v>49</v>
      </c>
      <c r="S241" s="35" t="n">
        <f>686.3</f>
        <v>686.3</v>
      </c>
      <c r="T241" s="32" t="n">
        <f>326490</f>
        <v>326490.0</v>
      </c>
      <c r="U241" s="32" t="str">
        <f>"－"</f>
        <v>－</v>
      </c>
      <c r="V241" s="32" t="n">
        <f>223489644</f>
        <v>2.23489644E8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564</f>
        <v>564.0</v>
      </c>
      <c r="L242" s="34" t="s">
        <v>48</v>
      </c>
      <c r="M242" s="33" t="n">
        <f>588</f>
        <v>588.0</v>
      </c>
      <c r="N242" s="34" t="s">
        <v>49</v>
      </c>
      <c r="O242" s="33" t="n">
        <f>560.3</f>
        <v>560.3</v>
      </c>
      <c r="P242" s="34" t="s">
        <v>207</v>
      </c>
      <c r="Q242" s="33" t="n">
        <f>588</f>
        <v>588.0</v>
      </c>
      <c r="R242" s="34" t="s">
        <v>49</v>
      </c>
      <c r="S242" s="35" t="n">
        <f>569.04</f>
        <v>569.04</v>
      </c>
      <c r="T242" s="32" t="n">
        <f>475940</f>
        <v>475940.0</v>
      </c>
      <c r="U242" s="32" t="n">
        <f>351920</f>
        <v>351920.0</v>
      </c>
      <c r="V242" s="32" t="n">
        <f>270586127</f>
        <v>2.70586127E8</v>
      </c>
      <c r="W242" s="32" t="n">
        <f>200190626</f>
        <v>2.00190626E8</v>
      </c>
      <c r="X242" s="36" t="n">
        <f>21</f>
        <v>21.0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1634</f>
        <v>1634.0</v>
      </c>
      <c r="L243" s="34" t="s">
        <v>48</v>
      </c>
      <c r="M243" s="33" t="n">
        <f>1925</f>
        <v>1925.0</v>
      </c>
      <c r="N243" s="34" t="s">
        <v>49</v>
      </c>
      <c r="O243" s="33" t="n">
        <f>1614</f>
        <v>1614.0</v>
      </c>
      <c r="P243" s="34" t="s">
        <v>48</v>
      </c>
      <c r="Q243" s="33" t="n">
        <f>1924</f>
        <v>1924.0</v>
      </c>
      <c r="R243" s="34" t="s">
        <v>49</v>
      </c>
      <c r="S243" s="35" t="n">
        <f>1793.52</f>
        <v>1793.52</v>
      </c>
      <c r="T243" s="32" t="n">
        <f>5152309</f>
        <v>5152309.0</v>
      </c>
      <c r="U243" s="32" t="n">
        <f>6459</f>
        <v>6459.0</v>
      </c>
      <c r="V243" s="32" t="n">
        <f>9248165144</f>
        <v>9.248165144E9</v>
      </c>
      <c r="W243" s="32" t="n">
        <f>12256416</f>
        <v>1.2256416E7</v>
      </c>
      <c r="X243" s="36" t="n">
        <f>21</f>
        <v>21.0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2317</f>
        <v>2317.0</v>
      </c>
      <c r="L244" s="34" t="s">
        <v>48</v>
      </c>
      <c r="M244" s="33" t="n">
        <f>2510</f>
        <v>2510.0</v>
      </c>
      <c r="N244" s="34" t="s">
        <v>49</v>
      </c>
      <c r="O244" s="33" t="n">
        <f>2291</f>
        <v>2291.0</v>
      </c>
      <c r="P244" s="34" t="s">
        <v>48</v>
      </c>
      <c r="Q244" s="33" t="n">
        <f>2507</f>
        <v>2507.0</v>
      </c>
      <c r="R244" s="34" t="s">
        <v>49</v>
      </c>
      <c r="S244" s="35" t="n">
        <f>2401.43</f>
        <v>2401.43</v>
      </c>
      <c r="T244" s="32" t="n">
        <f>4231094</f>
        <v>4231094.0</v>
      </c>
      <c r="U244" s="32" t="n">
        <f>781</f>
        <v>781.0</v>
      </c>
      <c r="V244" s="32" t="n">
        <f>10173571762</f>
        <v>1.0173571762E10</v>
      </c>
      <c r="W244" s="32" t="n">
        <f>1913830</f>
        <v>1913830.0</v>
      </c>
      <c r="X244" s="36" t="n">
        <f>21</f>
        <v>21.0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749.9</f>
        <v>749.9</v>
      </c>
      <c r="L245" s="34" t="s">
        <v>48</v>
      </c>
      <c r="M245" s="33" t="n">
        <f>765.5</f>
        <v>765.5</v>
      </c>
      <c r="N245" s="34" t="s">
        <v>206</v>
      </c>
      <c r="O245" s="33" t="n">
        <f>742</f>
        <v>742.0</v>
      </c>
      <c r="P245" s="34" t="s">
        <v>49</v>
      </c>
      <c r="Q245" s="33" t="n">
        <f>742</f>
        <v>742.0</v>
      </c>
      <c r="R245" s="34" t="s">
        <v>49</v>
      </c>
      <c r="S245" s="35" t="n">
        <f>746.93</f>
        <v>746.93</v>
      </c>
      <c r="T245" s="32" t="n">
        <f>11120</f>
        <v>11120.0</v>
      </c>
      <c r="U245" s="32" t="str">
        <f>"－"</f>
        <v>－</v>
      </c>
      <c r="V245" s="32" t="n">
        <f>8335777</f>
        <v>8335777.0</v>
      </c>
      <c r="W245" s="32" t="str">
        <f>"－"</f>
        <v>－</v>
      </c>
      <c r="X245" s="36" t="n">
        <f>16</f>
        <v>16.0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752.9</f>
        <v>752.9</v>
      </c>
      <c r="L246" s="34" t="s">
        <v>48</v>
      </c>
      <c r="M246" s="33" t="n">
        <f>794.2</f>
        <v>794.2</v>
      </c>
      <c r="N246" s="34" t="s">
        <v>152</v>
      </c>
      <c r="O246" s="33" t="n">
        <f>744.1</f>
        <v>744.1</v>
      </c>
      <c r="P246" s="34" t="s">
        <v>269</v>
      </c>
      <c r="Q246" s="33" t="n">
        <f>744.1</f>
        <v>744.1</v>
      </c>
      <c r="R246" s="34" t="s">
        <v>49</v>
      </c>
      <c r="S246" s="35" t="n">
        <f>748.22</f>
        <v>748.22</v>
      </c>
      <c r="T246" s="32" t="n">
        <f>6380</f>
        <v>6380.0</v>
      </c>
      <c r="U246" s="32" t="str">
        <f>"－"</f>
        <v>－</v>
      </c>
      <c r="V246" s="32" t="n">
        <f>4755577</f>
        <v>4755577.0</v>
      </c>
      <c r="W246" s="32" t="str">
        <f>"－"</f>
        <v>－</v>
      </c>
      <c r="X246" s="36" t="n">
        <f>13</f>
        <v>13.0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1590</f>
        <v>1590.0</v>
      </c>
      <c r="L247" s="34" t="s">
        <v>48</v>
      </c>
      <c r="M247" s="33" t="n">
        <f>1683</f>
        <v>1683.0</v>
      </c>
      <c r="N247" s="34" t="s">
        <v>49</v>
      </c>
      <c r="O247" s="33" t="n">
        <f>1580</f>
        <v>1580.0</v>
      </c>
      <c r="P247" s="34" t="s">
        <v>48</v>
      </c>
      <c r="Q247" s="33" t="n">
        <f>1679</f>
        <v>1679.0</v>
      </c>
      <c r="R247" s="34" t="s">
        <v>49</v>
      </c>
      <c r="S247" s="35" t="n">
        <f>1636.05</f>
        <v>1636.05</v>
      </c>
      <c r="T247" s="32" t="n">
        <f>1944179</f>
        <v>1944179.0</v>
      </c>
      <c r="U247" s="32" t="n">
        <f>3555</f>
        <v>3555.0</v>
      </c>
      <c r="V247" s="32" t="n">
        <f>3166931459</f>
        <v>3.166931459E9</v>
      </c>
      <c r="W247" s="32" t="n">
        <f>5813606</f>
        <v>5813606.0</v>
      </c>
      <c r="X247" s="36" t="n">
        <f>21</f>
        <v>21.0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2217</f>
        <v>2217.0</v>
      </c>
      <c r="L248" s="34" t="s">
        <v>48</v>
      </c>
      <c r="M248" s="33" t="n">
        <f>2321</f>
        <v>2321.0</v>
      </c>
      <c r="N248" s="34" t="s">
        <v>49</v>
      </c>
      <c r="O248" s="33" t="n">
        <f>2203</f>
        <v>2203.0</v>
      </c>
      <c r="P248" s="34" t="s">
        <v>48</v>
      </c>
      <c r="Q248" s="33" t="n">
        <f>2321</f>
        <v>2321.0</v>
      </c>
      <c r="R248" s="34" t="s">
        <v>49</v>
      </c>
      <c r="S248" s="35" t="n">
        <f>2252.1</f>
        <v>2252.1</v>
      </c>
      <c r="T248" s="32" t="n">
        <f>2458013</f>
        <v>2458013.0</v>
      </c>
      <c r="U248" s="32" t="n">
        <f>1622120</f>
        <v>1622120.0</v>
      </c>
      <c r="V248" s="32" t="n">
        <f>5578038952</f>
        <v>5.578038952E9</v>
      </c>
      <c r="W248" s="32" t="n">
        <f>3689870644</f>
        <v>3.689870644E9</v>
      </c>
      <c r="X248" s="36" t="n">
        <f>21</f>
        <v>21.0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15695</f>
        <v>15695.0</v>
      </c>
      <c r="L249" s="34" t="s">
        <v>48</v>
      </c>
      <c r="M249" s="33" t="n">
        <f>15765</f>
        <v>15765.0</v>
      </c>
      <c r="N249" s="34" t="s">
        <v>48</v>
      </c>
      <c r="O249" s="33" t="n">
        <f>14085</f>
        <v>14085.0</v>
      </c>
      <c r="P249" s="34" t="s">
        <v>151</v>
      </c>
      <c r="Q249" s="33" t="n">
        <f>14140</f>
        <v>14140.0</v>
      </c>
      <c r="R249" s="34" t="s">
        <v>49</v>
      </c>
      <c r="S249" s="35" t="n">
        <f>15068.81</f>
        <v>15068.81</v>
      </c>
      <c r="T249" s="32" t="n">
        <f>145840</f>
        <v>145840.0</v>
      </c>
      <c r="U249" s="32" t="n">
        <f>91</f>
        <v>91.0</v>
      </c>
      <c r="V249" s="32" t="n">
        <f>2183319875</f>
        <v>2.183319875E9</v>
      </c>
      <c r="W249" s="32" t="n">
        <f>1335600</f>
        <v>1335600.0</v>
      </c>
      <c r="X249" s="36" t="n">
        <f>21</f>
        <v>21.0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1050</f>
        <v>1050.0</v>
      </c>
      <c r="L250" s="34" t="s">
        <v>48</v>
      </c>
      <c r="M250" s="33" t="n">
        <f>1343</f>
        <v>1343.0</v>
      </c>
      <c r="N250" s="34" t="s">
        <v>269</v>
      </c>
      <c r="O250" s="33" t="n">
        <f>990</f>
        <v>990.0</v>
      </c>
      <c r="P250" s="34" t="s">
        <v>48</v>
      </c>
      <c r="Q250" s="33" t="n">
        <f>1248</f>
        <v>1248.0</v>
      </c>
      <c r="R250" s="34" t="s">
        <v>49</v>
      </c>
      <c r="S250" s="35" t="n">
        <f>1175.14</f>
        <v>1175.14</v>
      </c>
      <c r="T250" s="32" t="n">
        <f>456108</f>
        <v>456108.0</v>
      </c>
      <c r="U250" s="32" t="str">
        <f>"－"</f>
        <v>－</v>
      </c>
      <c r="V250" s="32" t="n">
        <f>551881245</f>
        <v>5.51881245E8</v>
      </c>
      <c r="W250" s="32" t="str">
        <f>"－"</f>
        <v>－</v>
      </c>
      <c r="X250" s="36" t="n">
        <f>21</f>
        <v>21.0</v>
      </c>
    </row>
    <row r="251">
      <c r="A251" s="27" t="s">
        <v>42</v>
      </c>
      <c r="B251" s="27" t="s">
        <v>799</v>
      </c>
      <c r="C251" s="27" t="s">
        <v>800</v>
      </c>
      <c r="D251" s="27" t="s">
        <v>801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250.5</f>
        <v>250.5</v>
      </c>
      <c r="L251" s="34" t="s">
        <v>48</v>
      </c>
      <c r="M251" s="33" t="n">
        <f>255.4</f>
        <v>255.4</v>
      </c>
      <c r="N251" s="34" t="s">
        <v>49</v>
      </c>
      <c r="O251" s="33" t="n">
        <f>243.8</f>
        <v>243.8</v>
      </c>
      <c r="P251" s="34" t="s">
        <v>50</v>
      </c>
      <c r="Q251" s="33" t="n">
        <f>254</f>
        <v>254.0</v>
      </c>
      <c r="R251" s="34" t="s">
        <v>49</v>
      </c>
      <c r="S251" s="35" t="n">
        <f>248.1</f>
        <v>248.1</v>
      </c>
      <c r="T251" s="32" t="n">
        <f>39580</f>
        <v>39580.0</v>
      </c>
      <c r="U251" s="32" t="str">
        <f>"－"</f>
        <v>－</v>
      </c>
      <c r="V251" s="32" t="n">
        <f>9879041</f>
        <v>9879041.0</v>
      </c>
      <c r="W251" s="32" t="str">
        <f>"－"</f>
        <v>－</v>
      </c>
      <c r="X251" s="36" t="n">
        <f>21</f>
        <v>21.0</v>
      </c>
    </row>
    <row r="252">
      <c r="A252" s="27" t="s">
        <v>42</v>
      </c>
      <c r="B252" s="27" t="s">
        <v>802</v>
      </c>
      <c r="C252" s="27" t="s">
        <v>803</v>
      </c>
      <c r="D252" s="27" t="s">
        <v>804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791.7</f>
        <v>791.7</v>
      </c>
      <c r="L252" s="34" t="s">
        <v>48</v>
      </c>
      <c r="M252" s="33" t="n">
        <f>800</f>
        <v>800.0</v>
      </c>
      <c r="N252" s="34" t="s">
        <v>220</v>
      </c>
      <c r="O252" s="33" t="n">
        <f>767.3</f>
        <v>767.3</v>
      </c>
      <c r="P252" s="34" t="s">
        <v>50</v>
      </c>
      <c r="Q252" s="33" t="n">
        <f>787.2</f>
        <v>787.2</v>
      </c>
      <c r="R252" s="34" t="s">
        <v>49</v>
      </c>
      <c r="S252" s="35" t="n">
        <f>788.51</f>
        <v>788.51</v>
      </c>
      <c r="T252" s="32" t="n">
        <f>10482950</f>
        <v>1.048295E7</v>
      </c>
      <c r="U252" s="32" t="n">
        <f>9275000</f>
        <v>9275000.0</v>
      </c>
      <c r="V252" s="32" t="n">
        <f>8302963990</f>
        <v>8.30296399E9</v>
      </c>
      <c r="W252" s="32" t="n">
        <f>7346170000</f>
        <v>7.34617E9</v>
      </c>
      <c r="X252" s="36" t="n">
        <f>21</f>
        <v>21.0</v>
      </c>
    </row>
    <row r="253">
      <c r="A253" s="27" t="s">
        <v>42</v>
      </c>
      <c r="B253" s="27" t="s">
        <v>805</v>
      </c>
      <c r="C253" s="27" t="s">
        <v>806</v>
      </c>
      <c r="D253" s="27" t="s">
        <v>807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1102</f>
        <v>1102.0</v>
      </c>
      <c r="L253" s="34" t="s">
        <v>48</v>
      </c>
      <c r="M253" s="33" t="n">
        <f>1149</f>
        <v>1149.0</v>
      </c>
      <c r="N253" s="34" t="s">
        <v>49</v>
      </c>
      <c r="O253" s="33" t="n">
        <f>1079</f>
        <v>1079.0</v>
      </c>
      <c r="P253" s="34" t="s">
        <v>69</v>
      </c>
      <c r="Q253" s="33" t="n">
        <f>1148</f>
        <v>1148.0</v>
      </c>
      <c r="R253" s="34" t="s">
        <v>49</v>
      </c>
      <c r="S253" s="35" t="n">
        <f>1117.33</f>
        <v>1117.33</v>
      </c>
      <c r="T253" s="32" t="n">
        <f>167044</f>
        <v>167044.0</v>
      </c>
      <c r="U253" s="32" t="n">
        <f>43800</f>
        <v>43800.0</v>
      </c>
      <c r="V253" s="32" t="n">
        <f>188647070</f>
        <v>1.8864707E8</v>
      </c>
      <c r="W253" s="32" t="n">
        <f>50254709</f>
        <v>5.0254709E7</v>
      </c>
      <c r="X253" s="36" t="n">
        <f>21</f>
        <v>21.0</v>
      </c>
    </row>
    <row r="254">
      <c r="A254" s="27" t="s">
        <v>42</v>
      </c>
      <c r="B254" s="27" t="s">
        <v>808</v>
      </c>
      <c r="C254" s="27" t="s">
        <v>809</v>
      </c>
      <c r="D254" s="27" t="s">
        <v>810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1080</f>
        <v>1080.0</v>
      </c>
      <c r="L254" s="34" t="s">
        <v>48</v>
      </c>
      <c r="M254" s="33" t="n">
        <f>1120</f>
        <v>1120.0</v>
      </c>
      <c r="N254" s="34" t="s">
        <v>102</v>
      </c>
      <c r="O254" s="33" t="n">
        <f>1071</f>
        <v>1071.0</v>
      </c>
      <c r="P254" s="34" t="s">
        <v>69</v>
      </c>
      <c r="Q254" s="33" t="n">
        <f>1090</f>
        <v>1090.0</v>
      </c>
      <c r="R254" s="34" t="s">
        <v>49</v>
      </c>
      <c r="S254" s="35" t="n">
        <f>1094.43</f>
        <v>1094.43</v>
      </c>
      <c r="T254" s="32" t="n">
        <f>423421</f>
        <v>423421.0</v>
      </c>
      <c r="U254" s="32" t="str">
        <f>"－"</f>
        <v>－</v>
      </c>
      <c r="V254" s="32" t="n">
        <f>462464456</f>
        <v>4.62464456E8</v>
      </c>
      <c r="W254" s="32" t="str">
        <f>"－"</f>
        <v>－</v>
      </c>
      <c r="X254" s="36" t="n">
        <f>21</f>
        <v>21.0</v>
      </c>
    </row>
    <row r="255">
      <c r="A255" s="27" t="s">
        <v>42</v>
      </c>
      <c r="B255" s="27" t="s">
        <v>811</v>
      </c>
      <c r="C255" s="27" t="s">
        <v>812</v>
      </c>
      <c r="D255" s="27" t="s">
        <v>813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882</f>
        <v>882.0</v>
      </c>
      <c r="L255" s="34" t="s">
        <v>48</v>
      </c>
      <c r="M255" s="33" t="n">
        <f>910</f>
        <v>910.0</v>
      </c>
      <c r="N255" s="34" t="s">
        <v>198</v>
      </c>
      <c r="O255" s="33" t="n">
        <f>855</f>
        <v>855.0</v>
      </c>
      <c r="P255" s="34" t="s">
        <v>48</v>
      </c>
      <c r="Q255" s="33" t="n">
        <f>882</f>
        <v>882.0</v>
      </c>
      <c r="R255" s="34" t="s">
        <v>49</v>
      </c>
      <c r="S255" s="35" t="n">
        <f>879.71</f>
        <v>879.71</v>
      </c>
      <c r="T255" s="32" t="n">
        <f>2828290</f>
        <v>2828290.0</v>
      </c>
      <c r="U255" s="32" t="str">
        <f>"－"</f>
        <v>－</v>
      </c>
      <c r="V255" s="32" t="n">
        <f>2514933290</f>
        <v>2.51493329E9</v>
      </c>
      <c r="W255" s="32" t="str">
        <f>"－"</f>
        <v>－</v>
      </c>
      <c r="X255" s="36" t="n">
        <f>21</f>
        <v>21.0</v>
      </c>
    </row>
    <row r="256">
      <c r="A256" s="27" t="s">
        <v>42</v>
      </c>
      <c r="B256" s="27" t="s">
        <v>814</v>
      </c>
      <c r="C256" s="27" t="s">
        <v>815</v>
      </c>
      <c r="D256" s="27" t="s">
        <v>816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187.9</f>
        <v>187.9</v>
      </c>
      <c r="L256" s="34" t="s">
        <v>48</v>
      </c>
      <c r="M256" s="33" t="n">
        <f>194.1</f>
        <v>194.1</v>
      </c>
      <c r="N256" s="34" t="s">
        <v>151</v>
      </c>
      <c r="O256" s="33" t="n">
        <f>185</f>
        <v>185.0</v>
      </c>
      <c r="P256" s="34" t="s">
        <v>69</v>
      </c>
      <c r="Q256" s="33" t="n">
        <f>192</f>
        <v>192.0</v>
      </c>
      <c r="R256" s="34" t="s">
        <v>49</v>
      </c>
      <c r="S256" s="35" t="n">
        <f>190.44</f>
        <v>190.44</v>
      </c>
      <c r="T256" s="32" t="n">
        <f>3872770</f>
        <v>3872770.0</v>
      </c>
      <c r="U256" s="32" t="str">
        <f>"－"</f>
        <v>－</v>
      </c>
      <c r="V256" s="32" t="n">
        <f>735501068</f>
        <v>7.35501068E8</v>
      </c>
      <c r="W256" s="32" t="str">
        <f>"－"</f>
        <v>－</v>
      </c>
      <c r="X256" s="36" t="n">
        <f>21</f>
        <v>21.0</v>
      </c>
    </row>
    <row r="257">
      <c r="A257" s="27" t="s">
        <v>42</v>
      </c>
      <c r="B257" s="27" t="s">
        <v>817</v>
      </c>
      <c r="C257" s="27" t="s">
        <v>818</v>
      </c>
      <c r="D257" s="27" t="s">
        <v>819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200.1</f>
        <v>200.1</v>
      </c>
      <c r="L257" s="34" t="s">
        <v>48</v>
      </c>
      <c r="M257" s="33" t="n">
        <f>205.5</f>
        <v>205.5</v>
      </c>
      <c r="N257" s="34" t="s">
        <v>64</v>
      </c>
      <c r="O257" s="33" t="n">
        <f>197.5</f>
        <v>197.5</v>
      </c>
      <c r="P257" s="34" t="s">
        <v>69</v>
      </c>
      <c r="Q257" s="33" t="n">
        <f>202.3</f>
        <v>202.3</v>
      </c>
      <c r="R257" s="34" t="s">
        <v>49</v>
      </c>
      <c r="S257" s="35" t="n">
        <f>201.68</f>
        <v>201.68</v>
      </c>
      <c r="T257" s="32" t="n">
        <f>426700</f>
        <v>426700.0</v>
      </c>
      <c r="U257" s="32" t="n">
        <f>30</f>
        <v>30.0</v>
      </c>
      <c r="V257" s="32" t="n">
        <f>86181066</f>
        <v>8.6181066E7</v>
      </c>
      <c r="W257" s="32" t="n">
        <f>5995</f>
        <v>5995.0</v>
      </c>
      <c r="X257" s="36" t="n">
        <f>21</f>
        <v>21.0</v>
      </c>
    </row>
    <row r="258">
      <c r="A258" s="27" t="s">
        <v>42</v>
      </c>
      <c r="B258" s="27" t="s">
        <v>820</v>
      </c>
      <c r="C258" s="27" t="s">
        <v>821</v>
      </c>
      <c r="D258" s="27" t="s">
        <v>822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201.7</f>
        <v>201.7</v>
      </c>
      <c r="L258" s="34" t="s">
        <v>48</v>
      </c>
      <c r="M258" s="33" t="n">
        <f>207.5</f>
        <v>207.5</v>
      </c>
      <c r="N258" s="34" t="s">
        <v>64</v>
      </c>
      <c r="O258" s="33" t="n">
        <f>199.2</f>
        <v>199.2</v>
      </c>
      <c r="P258" s="34" t="s">
        <v>69</v>
      </c>
      <c r="Q258" s="33" t="n">
        <f>204.4</f>
        <v>204.4</v>
      </c>
      <c r="R258" s="34" t="s">
        <v>49</v>
      </c>
      <c r="S258" s="35" t="n">
        <f>203.5</f>
        <v>203.5</v>
      </c>
      <c r="T258" s="32" t="n">
        <f>174950</f>
        <v>174950.0</v>
      </c>
      <c r="U258" s="32" t="n">
        <f>760</f>
        <v>760.0</v>
      </c>
      <c r="V258" s="32" t="n">
        <f>35504969</f>
        <v>3.5504969E7</v>
      </c>
      <c r="W258" s="32" t="n">
        <f>152714</f>
        <v>152714.0</v>
      </c>
      <c r="X258" s="36" t="n">
        <f>21</f>
        <v>21.0</v>
      </c>
    </row>
    <row r="259">
      <c r="A259" s="27" t="s">
        <v>42</v>
      </c>
      <c r="B259" s="27" t="s">
        <v>823</v>
      </c>
      <c r="C259" s="27" t="s">
        <v>824</v>
      </c>
      <c r="D259" s="27" t="s">
        <v>825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206</f>
        <v>206.0</v>
      </c>
      <c r="L259" s="34" t="s">
        <v>48</v>
      </c>
      <c r="M259" s="33" t="n">
        <f>212</f>
        <v>212.0</v>
      </c>
      <c r="N259" s="34" t="s">
        <v>82</v>
      </c>
      <c r="O259" s="33" t="n">
        <f>203</f>
        <v>203.0</v>
      </c>
      <c r="P259" s="34" t="s">
        <v>69</v>
      </c>
      <c r="Q259" s="33" t="n">
        <f>208.7</f>
        <v>208.7</v>
      </c>
      <c r="R259" s="34" t="s">
        <v>49</v>
      </c>
      <c r="S259" s="35" t="n">
        <f>207.36</f>
        <v>207.36</v>
      </c>
      <c r="T259" s="32" t="n">
        <f>661710</f>
        <v>661710.0</v>
      </c>
      <c r="U259" s="32" t="str">
        <f>"－"</f>
        <v>－</v>
      </c>
      <c r="V259" s="32" t="n">
        <f>137175229</f>
        <v>1.37175229E8</v>
      </c>
      <c r="W259" s="32" t="str">
        <f>"－"</f>
        <v>－</v>
      </c>
      <c r="X259" s="36" t="n">
        <f>21</f>
        <v>21.0</v>
      </c>
    </row>
    <row r="260">
      <c r="A260" s="27" t="s">
        <v>42</v>
      </c>
      <c r="B260" s="27" t="s">
        <v>826</v>
      </c>
      <c r="C260" s="27" t="s">
        <v>827</v>
      </c>
      <c r="D260" s="27" t="s">
        <v>828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196.2</f>
        <v>196.2</v>
      </c>
      <c r="L260" s="34" t="s">
        <v>48</v>
      </c>
      <c r="M260" s="33" t="n">
        <f>199</f>
        <v>199.0</v>
      </c>
      <c r="N260" s="34" t="s">
        <v>69</v>
      </c>
      <c r="O260" s="33" t="n">
        <f>192.5</f>
        <v>192.5</v>
      </c>
      <c r="P260" s="34" t="s">
        <v>68</v>
      </c>
      <c r="Q260" s="33" t="n">
        <f>193.8</f>
        <v>193.8</v>
      </c>
      <c r="R260" s="34" t="s">
        <v>49</v>
      </c>
      <c r="S260" s="35" t="n">
        <f>194.09</f>
        <v>194.09</v>
      </c>
      <c r="T260" s="32" t="n">
        <f>3853910</f>
        <v>3853910.0</v>
      </c>
      <c r="U260" s="32" t="n">
        <f>3600000</f>
        <v>3600000.0</v>
      </c>
      <c r="V260" s="32" t="n">
        <f>746476675</f>
        <v>7.46476675E8</v>
      </c>
      <c r="W260" s="32" t="n">
        <f>697262040</f>
        <v>6.9726204E8</v>
      </c>
      <c r="X260" s="36" t="n">
        <f>21</f>
        <v>21.0</v>
      </c>
    </row>
    <row r="261">
      <c r="A261" s="27" t="s">
        <v>42</v>
      </c>
      <c r="B261" s="27" t="s">
        <v>829</v>
      </c>
      <c r="C261" s="27" t="s">
        <v>830</v>
      </c>
      <c r="D261" s="27" t="s">
        <v>831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1945</f>
        <v>1945.0</v>
      </c>
      <c r="L261" s="34" t="s">
        <v>48</v>
      </c>
      <c r="M261" s="33" t="n">
        <f>2035</f>
        <v>2035.0</v>
      </c>
      <c r="N261" s="34" t="s">
        <v>49</v>
      </c>
      <c r="O261" s="33" t="n">
        <f>1906</f>
        <v>1906.0</v>
      </c>
      <c r="P261" s="34" t="s">
        <v>86</v>
      </c>
      <c r="Q261" s="33" t="n">
        <f>2020</f>
        <v>2020.0</v>
      </c>
      <c r="R261" s="34" t="s">
        <v>49</v>
      </c>
      <c r="S261" s="35" t="n">
        <f>1970.05</f>
        <v>1970.05</v>
      </c>
      <c r="T261" s="32" t="n">
        <f>923187</f>
        <v>923187.0</v>
      </c>
      <c r="U261" s="32" t="n">
        <f>29600</f>
        <v>29600.0</v>
      </c>
      <c r="V261" s="32" t="n">
        <f>1813118139</f>
        <v>1.813118139E9</v>
      </c>
      <c r="W261" s="32" t="n">
        <f>59857185</f>
        <v>5.9857185E7</v>
      </c>
      <c r="X261" s="36" t="n">
        <f>21</f>
        <v>21.0</v>
      </c>
    </row>
    <row r="262">
      <c r="A262" s="27" t="s">
        <v>42</v>
      </c>
      <c r="B262" s="27" t="s">
        <v>832</v>
      </c>
      <c r="C262" s="27" t="s">
        <v>833</v>
      </c>
      <c r="D262" s="27" t="s">
        <v>834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1007</f>
        <v>1007.0</v>
      </c>
      <c r="L262" s="34" t="s">
        <v>48</v>
      </c>
      <c r="M262" s="33" t="n">
        <f>1029</f>
        <v>1029.0</v>
      </c>
      <c r="N262" s="34" t="s">
        <v>69</v>
      </c>
      <c r="O262" s="33" t="n">
        <f>986</f>
        <v>986.0</v>
      </c>
      <c r="P262" s="34" t="s">
        <v>198</v>
      </c>
      <c r="Q262" s="33" t="n">
        <f>1017</f>
        <v>1017.0</v>
      </c>
      <c r="R262" s="34" t="s">
        <v>49</v>
      </c>
      <c r="S262" s="35" t="n">
        <f>1001.19</f>
        <v>1001.19</v>
      </c>
      <c r="T262" s="32" t="n">
        <f>51600</f>
        <v>51600.0</v>
      </c>
      <c r="U262" s="32" t="n">
        <f>10</f>
        <v>10.0</v>
      </c>
      <c r="V262" s="32" t="n">
        <f>51554773</f>
        <v>5.1554773E7</v>
      </c>
      <c r="W262" s="32" t="n">
        <f>9969</f>
        <v>9969.0</v>
      </c>
      <c r="X262" s="36" t="n">
        <f>21</f>
        <v>21.0</v>
      </c>
    </row>
    <row r="263">
      <c r="A263" s="27" t="s">
        <v>42</v>
      </c>
      <c r="B263" s="27" t="s">
        <v>835</v>
      </c>
      <c r="C263" s="27" t="s">
        <v>836</v>
      </c>
      <c r="D263" s="27" t="s">
        <v>837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1025</f>
        <v>1025.0</v>
      </c>
      <c r="L263" s="34" t="s">
        <v>48</v>
      </c>
      <c r="M263" s="33" t="n">
        <f>1030</f>
        <v>1030.0</v>
      </c>
      <c r="N263" s="34" t="s">
        <v>49</v>
      </c>
      <c r="O263" s="33" t="n">
        <f>1003</f>
        <v>1003.0</v>
      </c>
      <c r="P263" s="34" t="s">
        <v>152</v>
      </c>
      <c r="Q263" s="33" t="n">
        <f>1030</f>
        <v>1030.0</v>
      </c>
      <c r="R263" s="34" t="s">
        <v>49</v>
      </c>
      <c r="S263" s="35" t="n">
        <f>1017.19</f>
        <v>1017.19</v>
      </c>
      <c r="T263" s="32" t="n">
        <f>979182</f>
        <v>979182.0</v>
      </c>
      <c r="U263" s="32" t="n">
        <f>487943</f>
        <v>487943.0</v>
      </c>
      <c r="V263" s="32" t="n">
        <f>1002202044</f>
        <v>1.002202044E9</v>
      </c>
      <c r="W263" s="32" t="n">
        <f>502221442</f>
        <v>5.02221442E8</v>
      </c>
      <c r="X263" s="36" t="n">
        <f>21</f>
        <v>21.0</v>
      </c>
    </row>
    <row r="264">
      <c r="A264" s="27" t="s">
        <v>42</v>
      </c>
      <c r="B264" s="27" t="s">
        <v>838</v>
      </c>
      <c r="C264" s="27" t="s">
        <v>839</v>
      </c>
      <c r="D264" s="27" t="s">
        <v>840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481.2</f>
        <v>481.2</v>
      </c>
      <c r="L264" s="34" t="s">
        <v>48</v>
      </c>
      <c r="M264" s="33" t="n">
        <f>489.5</f>
        <v>489.5</v>
      </c>
      <c r="N264" s="34" t="s">
        <v>64</v>
      </c>
      <c r="O264" s="33" t="n">
        <f>479.4</f>
        <v>479.4</v>
      </c>
      <c r="P264" s="34" t="s">
        <v>69</v>
      </c>
      <c r="Q264" s="33" t="n">
        <f>482.2</f>
        <v>482.2</v>
      </c>
      <c r="R264" s="34" t="s">
        <v>49</v>
      </c>
      <c r="S264" s="35" t="n">
        <f>482.33</f>
        <v>482.33</v>
      </c>
      <c r="T264" s="32" t="n">
        <f>565140</f>
        <v>565140.0</v>
      </c>
      <c r="U264" s="32" t="n">
        <f>355350</f>
        <v>355350.0</v>
      </c>
      <c r="V264" s="32" t="n">
        <f>272605276</f>
        <v>2.72605276E8</v>
      </c>
      <c r="W264" s="32" t="n">
        <f>171598453</f>
        <v>1.71598453E8</v>
      </c>
      <c r="X264" s="36" t="n">
        <f>20</f>
        <v>20.0</v>
      </c>
    </row>
    <row r="265">
      <c r="A265" s="27" t="s">
        <v>42</v>
      </c>
      <c r="B265" s="27" t="s">
        <v>841</v>
      </c>
      <c r="C265" s="27" t="s">
        <v>842</v>
      </c>
      <c r="D265" s="27" t="s">
        <v>843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153.1</f>
        <v>153.1</v>
      </c>
      <c r="L265" s="34" t="s">
        <v>48</v>
      </c>
      <c r="M265" s="33" t="n">
        <f>159</f>
        <v>159.0</v>
      </c>
      <c r="N265" s="34" t="s">
        <v>151</v>
      </c>
      <c r="O265" s="33" t="n">
        <f>149.2</f>
        <v>149.2</v>
      </c>
      <c r="P265" s="34" t="s">
        <v>69</v>
      </c>
      <c r="Q265" s="33" t="n">
        <f>156.7</f>
        <v>156.7</v>
      </c>
      <c r="R265" s="34" t="s">
        <v>49</v>
      </c>
      <c r="S265" s="35" t="n">
        <f>155</f>
        <v>155.0</v>
      </c>
      <c r="T265" s="32" t="n">
        <f>2471320</f>
        <v>2471320.0</v>
      </c>
      <c r="U265" s="32" t="n">
        <f>880</f>
        <v>880.0</v>
      </c>
      <c r="V265" s="32" t="n">
        <f>381892224</f>
        <v>3.81892224E8</v>
      </c>
      <c r="W265" s="32" t="n">
        <f>134195</f>
        <v>134195.0</v>
      </c>
      <c r="X265" s="36" t="n">
        <f>21</f>
        <v>21.0</v>
      </c>
    </row>
    <row r="266">
      <c r="A266" s="27" t="s">
        <v>42</v>
      </c>
      <c r="B266" s="27" t="s">
        <v>844</v>
      </c>
      <c r="C266" s="27" t="s">
        <v>845</v>
      </c>
      <c r="D266" s="27" t="s">
        <v>846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145.7</f>
        <v>145.7</v>
      </c>
      <c r="L266" s="34" t="s">
        <v>48</v>
      </c>
      <c r="M266" s="33" t="n">
        <f>150.8</f>
        <v>150.8</v>
      </c>
      <c r="N266" s="34" t="s">
        <v>50</v>
      </c>
      <c r="O266" s="33" t="n">
        <f>143.8</f>
        <v>143.8</v>
      </c>
      <c r="P266" s="34" t="s">
        <v>206</v>
      </c>
      <c r="Q266" s="33" t="n">
        <f>148.6</f>
        <v>148.6</v>
      </c>
      <c r="R266" s="34" t="s">
        <v>49</v>
      </c>
      <c r="S266" s="35" t="n">
        <f>147.21</f>
        <v>147.21</v>
      </c>
      <c r="T266" s="32" t="n">
        <f>1898470</f>
        <v>1898470.0</v>
      </c>
      <c r="U266" s="32" t="n">
        <f>150</f>
        <v>150.0</v>
      </c>
      <c r="V266" s="32" t="n">
        <f>278626433</f>
        <v>2.78626433E8</v>
      </c>
      <c r="W266" s="32" t="n">
        <f>22078</f>
        <v>22078.0</v>
      </c>
      <c r="X266" s="36" t="n">
        <f>21</f>
        <v>21.0</v>
      </c>
    </row>
    <row r="267">
      <c r="A267" s="27" t="s">
        <v>42</v>
      </c>
      <c r="B267" s="27" t="s">
        <v>847</v>
      </c>
      <c r="C267" s="27" t="s">
        <v>848</v>
      </c>
      <c r="D267" s="27" t="s">
        <v>849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870.8</f>
        <v>870.8</v>
      </c>
      <c r="L267" s="34" t="s">
        <v>48</v>
      </c>
      <c r="M267" s="33" t="n">
        <f>878.8</f>
        <v>878.8</v>
      </c>
      <c r="N267" s="34" t="s">
        <v>198</v>
      </c>
      <c r="O267" s="33" t="n">
        <f>868.5</f>
        <v>868.5</v>
      </c>
      <c r="P267" s="34" t="s">
        <v>48</v>
      </c>
      <c r="Q267" s="33" t="n">
        <f>876.9</f>
        <v>876.9</v>
      </c>
      <c r="R267" s="34" t="s">
        <v>49</v>
      </c>
      <c r="S267" s="35" t="n">
        <f>872.83</f>
        <v>872.83</v>
      </c>
      <c r="T267" s="32" t="n">
        <f>3775280</f>
        <v>3775280.0</v>
      </c>
      <c r="U267" s="32" t="n">
        <f>3148580</f>
        <v>3148580.0</v>
      </c>
      <c r="V267" s="32" t="n">
        <f>3296255001</f>
        <v>3.296255001E9</v>
      </c>
      <c r="W267" s="32" t="n">
        <f>2748581560</f>
        <v>2.74858156E9</v>
      </c>
      <c r="X267" s="36" t="n">
        <f>21</f>
        <v>21.0</v>
      </c>
    </row>
    <row r="268">
      <c r="A268" s="27" t="s">
        <v>42</v>
      </c>
      <c r="B268" s="27" t="s">
        <v>850</v>
      </c>
      <c r="C268" s="27" t="s">
        <v>851</v>
      </c>
      <c r="D268" s="27" t="s">
        <v>852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1062.5</f>
        <v>1062.5</v>
      </c>
      <c r="L268" s="34" t="s">
        <v>48</v>
      </c>
      <c r="M268" s="33" t="n">
        <f>1094</f>
        <v>1094.0</v>
      </c>
      <c r="N268" s="34" t="s">
        <v>64</v>
      </c>
      <c r="O268" s="33" t="n">
        <f>1054</f>
        <v>1054.0</v>
      </c>
      <c r="P268" s="34" t="s">
        <v>69</v>
      </c>
      <c r="Q268" s="33" t="n">
        <f>1083</f>
        <v>1083.0</v>
      </c>
      <c r="R268" s="34" t="s">
        <v>49</v>
      </c>
      <c r="S268" s="35" t="n">
        <f>1075.48</f>
        <v>1075.48</v>
      </c>
      <c r="T268" s="32" t="n">
        <f>1887800</f>
        <v>1887800.0</v>
      </c>
      <c r="U268" s="32" t="n">
        <f>1034830</f>
        <v>1034830.0</v>
      </c>
      <c r="V268" s="32" t="n">
        <f>2020270929</f>
        <v>2.020270929E9</v>
      </c>
      <c r="W268" s="32" t="n">
        <f>1101485369</f>
        <v>1.101485369E9</v>
      </c>
      <c r="X268" s="36" t="n">
        <f>21</f>
        <v>21.0</v>
      </c>
    </row>
    <row r="269">
      <c r="A269" s="27" t="s">
        <v>42</v>
      </c>
      <c r="B269" s="27" t="s">
        <v>853</v>
      </c>
      <c r="C269" s="27" t="s">
        <v>854</v>
      </c>
      <c r="D269" s="27" t="s">
        <v>855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762.7</f>
        <v>762.7</v>
      </c>
      <c r="L269" s="34" t="s">
        <v>48</v>
      </c>
      <c r="M269" s="33" t="n">
        <f>765.1</f>
        <v>765.1</v>
      </c>
      <c r="N269" s="34" t="s">
        <v>151</v>
      </c>
      <c r="O269" s="33" t="n">
        <f>757</f>
        <v>757.0</v>
      </c>
      <c r="P269" s="34" t="s">
        <v>202</v>
      </c>
      <c r="Q269" s="33" t="n">
        <f>763.7</f>
        <v>763.7</v>
      </c>
      <c r="R269" s="34" t="s">
        <v>49</v>
      </c>
      <c r="S269" s="35" t="n">
        <f>761.7</f>
        <v>761.7</v>
      </c>
      <c r="T269" s="32" t="n">
        <f>12778120</f>
        <v>1.277812E7</v>
      </c>
      <c r="U269" s="32" t="n">
        <f>12424820</f>
        <v>1.242482E7</v>
      </c>
      <c r="V269" s="32" t="n">
        <f>9709917880</f>
        <v>9.70991788E9</v>
      </c>
      <c r="W269" s="32" t="n">
        <f>9441186710</f>
        <v>9.44118671E9</v>
      </c>
      <c r="X269" s="36" t="n">
        <f>21</f>
        <v>21.0</v>
      </c>
    </row>
    <row r="270">
      <c r="A270" s="27" t="s">
        <v>42</v>
      </c>
      <c r="B270" s="27" t="s">
        <v>856</v>
      </c>
      <c r="C270" s="27" t="s">
        <v>857</v>
      </c>
      <c r="D270" s="27" t="s">
        <v>858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2542.5</f>
        <v>2542.5</v>
      </c>
      <c r="L270" s="34" t="s">
        <v>48</v>
      </c>
      <c r="M270" s="33" t="n">
        <f>2675</f>
        <v>2675.0</v>
      </c>
      <c r="N270" s="34" t="s">
        <v>49</v>
      </c>
      <c r="O270" s="33" t="n">
        <f>2527.5</f>
        <v>2527.5</v>
      </c>
      <c r="P270" s="34" t="s">
        <v>48</v>
      </c>
      <c r="Q270" s="33" t="n">
        <f>2669</f>
        <v>2669.0</v>
      </c>
      <c r="R270" s="34" t="s">
        <v>49</v>
      </c>
      <c r="S270" s="35" t="n">
        <f>2603.12</f>
        <v>2603.12</v>
      </c>
      <c r="T270" s="32" t="n">
        <f>1172750</f>
        <v>1172750.0</v>
      </c>
      <c r="U270" s="32" t="n">
        <f>737230</f>
        <v>737230.0</v>
      </c>
      <c r="V270" s="32" t="n">
        <f>3094118524</f>
        <v>3.094118524E9</v>
      </c>
      <c r="W270" s="32" t="n">
        <f>1960288294</f>
        <v>1.960288294E9</v>
      </c>
      <c r="X270" s="36" t="n">
        <f>21</f>
        <v>21.0</v>
      </c>
    </row>
    <row r="271">
      <c r="A271" s="27" t="s">
        <v>42</v>
      </c>
      <c r="B271" s="27" t="s">
        <v>859</v>
      </c>
      <c r="C271" s="27" t="s">
        <v>860</v>
      </c>
      <c r="D271" s="27" t="s">
        <v>861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1655</f>
        <v>1655.0</v>
      </c>
      <c r="L271" s="34" t="s">
        <v>48</v>
      </c>
      <c r="M271" s="33" t="n">
        <f>1729</f>
        <v>1729.0</v>
      </c>
      <c r="N271" s="34" t="s">
        <v>49</v>
      </c>
      <c r="O271" s="33" t="n">
        <f>1653.5</f>
        <v>1653.5</v>
      </c>
      <c r="P271" s="34" t="s">
        <v>48</v>
      </c>
      <c r="Q271" s="33" t="n">
        <f>1722.5</f>
        <v>1722.5</v>
      </c>
      <c r="R271" s="34" t="s">
        <v>49</v>
      </c>
      <c r="S271" s="35" t="n">
        <f>1681.05</f>
        <v>1681.05</v>
      </c>
      <c r="T271" s="32" t="n">
        <f>323110</f>
        <v>323110.0</v>
      </c>
      <c r="U271" s="32" t="str">
        <f>"－"</f>
        <v>－</v>
      </c>
      <c r="V271" s="32" t="n">
        <f>542784610</f>
        <v>5.4278461E8</v>
      </c>
      <c r="W271" s="32" t="str">
        <f>"－"</f>
        <v>－</v>
      </c>
      <c r="X271" s="36" t="n">
        <f>21</f>
        <v>21.0</v>
      </c>
    </row>
    <row r="272">
      <c r="A272" s="27" t="s">
        <v>42</v>
      </c>
      <c r="B272" s="27" t="s">
        <v>862</v>
      </c>
      <c r="C272" s="27" t="s">
        <v>863</v>
      </c>
      <c r="D272" s="27" t="s">
        <v>864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1352</f>
        <v>1352.0</v>
      </c>
      <c r="L272" s="34" t="s">
        <v>48</v>
      </c>
      <c r="M272" s="33" t="n">
        <f>1384</f>
        <v>1384.0</v>
      </c>
      <c r="N272" s="34" t="s">
        <v>102</v>
      </c>
      <c r="O272" s="33" t="n">
        <f>1328.5</f>
        <v>1328.5</v>
      </c>
      <c r="P272" s="34" t="s">
        <v>50</v>
      </c>
      <c r="Q272" s="33" t="n">
        <f>1342</f>
        <v>1342.0</v>
      </c>
      <c r="R272" s="34" t="s">
        <v>49</v>
      </c>
      <c r="S272" s="35" t="n">
        <f>1353.12</f>
        <v>1353.12</v>
      </c>
      <c r="T272" s="32" t="n">
        <f>682410</f>
        <v>682410.0</v>
      </c>
      <c r="U272" s="32" t="n">
        <f>95560</f>
        <v>95560.0</v>
      </c>
      <c r="V272" s="32" t="n">
        <f>921904144</f>
        <v>9.21904144E8</v>
      </c>
      <c r="W272" s="32" t="n">
        <f>129133564</f>
        <v>1.29133564E8</v>
      </c>
      <c r="X272" s="36" t="n">
        <f>21</f>
        <v>21.0</v>
      </c>
    </row>
    <row r="273">
      <c r="A273" s="27" t="s">
        <v>42</v>
      </c>
      <c r="B273" s="27" t="s">
        <v>865</v>
      </c>
      <c r="C273" s="27" t="s">
        <v>866</v>
      </c>
      <c r="D273" s="27" t="s">
        <v>867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584.9</f>
        <v>584.9</v>
      </c>
      <c r="L273" s="34" t="s">
        <v>48</v>
      </c>
      <c r="M273" s="33" t="n">
        <f>605.2</f>
        <v>605.2</v>
      </c>
      <c r="N273" s="34" t="s">
        <v>50</v>
      </c>
      <c r="O273" s="33" t="n">
        <f>573.6</f>
        <v>573.6</v>
      </c>
      <c r="P273" s="34" t="s">
        <v>151</v>
      </c>
      <c r="Q273" s="33" t="n">
        <f>587.3</f>
        <v>587.3</v>
      </c>
      <c r="R273" s="34" t="s">
        <v>49</v>
      </c>
      <c r="S273" s="35" t="n">
        <f>592.08</f>
        <v>592.08</v>
      </c>
      <c r="T273" s="32" t="n">
        <f>26305270</f>
        <v>2.630527E7</v>
      </c>
      <c r="U273" s="32" t="n">
        <f>3356900</f>
        <v>3356900.0</v>
      </c>
      <c r="V273" s="32" t="n">
        <f>15580338169</f>
        <v>1.5580338169E10</v>
      </c>
      <c r="W273" s="32" t="n">
        <f>1989669174</f>
        <v>1.989669174E9</v>
      </c>
      <c r="X273" s="36" t="n">
        <f>21</f>
        <v>21.0</v>
      </c>
    </row>
    <row r="274">
      <c r="A274" s="27" t="s">
        <v>42</v>
      </c>
      <c r="B274" s="27" t="s">
        <v>868</v>
      </c>
      <c r="C274" s="27" t="s">
        <v>869</v>
      </c>
      <c r="D274" s="27" t="s">
        <v>870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1046.5</f>
        <v>1046.5</v>
      </c>
      <c r="L274" s="34" t="s">
        <v>48</v>
      </c>
      <c r="M274" s="33" t="n">
        <f>1083.5</f>
        <v>1083.5</v>
      </c>
      <c r="N274" s="34" t="s">
        <v>151</v>
      </c>
      <c r="O274" s="33" t="n">
        <f>1042.5</f>
        <v>1042.5</v>
      </c>
      <c r="P274" s="34" t="s">
        <v>69</v>
      </c>
      <c r="Q274" s="33" t="n">
        <f>1071</f>
        <v>1071.0</v>
      </c>
      <c r="R274" s="34" t="s">
        <v>49</v>
      </c>
      <c r="S274" s="35" t="n">
        <f>1063.81</f>
        <v>1063.81</v>
      </c>
      <c r="T274" s="32" t="n">
        <f>1615850</f>
        <v>1615850.0</v>
      </c>
      <c r="U274" s="32" t="n">
        <f>1147060</f>
        <v>1147060.0</v>
      </c>
      <c r="V274" s="32" t="n">
        <f>1734853518</f>
        <v>1.734853518E9</v>
      </c>
      <c r="W274" s="32" t="n">
        <f>1231912038</f>
        <v>1.231912038E9</v>
      </c>
      <c r="X274" s="36" t="n">
        <f>21</f>
        <v>21.0</v>
      </c>
    </row>
    <row r="275">
      <c r="A275" s="27" t="s">
        <v>42</v>
      </c>
      <c r="B275" s="27" t="s">
        <v>871</v>
      </c>
      <c r="C275" s="27" t="s">
        <v>872</v>
      </c>
      <c r="D275" s="27" t="s">
        <v>873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1602</f>
        <v>1602.0</v>
      </c>
      <c r="L275" s="34" t="s">
        <v>48</v>
      </c>
      <c r="M275" s="33" t="n">
        <f>1656</f>
        <v>1656.0</v>
      </c>
      <c r="N275" s="34" t="s">
        <v>49</v>
      </c>
      <c r="O275" s="33" t="n">
        <f>1587</f>
        <v>1587.0</v>
      </c>
      <c r="P275" s="34" t="s">
        <v>50</v>
      </c>
      <c r="Q275" s="33" t="n">
        <f>1647</f>
        <v>1647.0</v>
      </c>
      <c r="R275" s="34" t="s">
        <v>49</v>
      </c>
      <c r="S275" s="35" t="n">
        <f>1608.1</f>
        <v>1608.1</v>
      </c>
      <c r="T275" s="32" t="n">
        <f>5298</f>
        <v>5298.0</v>
      </c>
      <c r="U275" s="32" t="n">
        <f>3</f>
        <v>3.0</v>
      </c>
      <c r="V275" s="32" t="n">
        <f>8538576</f>
        <v>8538576.0</v>
      </c>
      <c r="W275" s="32" t="n">
        <f>4862</f>
        <v>4862.0</v>
      </c>
      <c r="X275" s="36" t="n">
        <f>21</f>
        <v>21.0</v>
      </c>
    </row>
    <row r="276">
      <c r="A276" s="27" t="s">
        <v>42</v>
      </c>
      <c r="B276" s="27" t="s">
        <v>874</v>
      </c>
      <c r="C276" s="27" t="s">
        <v>875</v>
      </c>
      <c r="D276" s="27" t="s">
        <v>876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1041.5</f>
        <v>1041.5</v>
      </c>
      <c r="L276" s="34" t="s">
        <v>48</v>
      </c>
      <c r="M276" s="33" t="n">
        <f>1064</f>
        <v>1064.0</v>
      </c>
      <c r="N276" s="34" t="s">
        <v>102</v>
      </c>
      <c r="O276" s="33" t="n">
        <f>1015</f>
        <v>1015.0</v>
      </c>
      <c r="P276" s="34" t="s">
        <v>69</v>
      </c>
      <c r="Q276" s="33" t="n">
        <f>1060</f>
        <v>1060.0</v>
      </c>
      <c r="R276" s="34" t="s">
        <v>49</v>
      </c>
      <c r="S276" s="35" t="n">
        <f>1046.62</f>
        <v>1046.62</v>
      </c>
      <c r="T276" s="32" t="n">
        <f>44850</f>
        <v>44850.0</v>
      </c>
      <c r="U276" s="32" t="n">
        <f>80</f>
        <v>80.0</v>
      </c>
      <c r="V276" s="32" t="n">
        <f>46915995</f>
        <v>4.6915995E7</v>
      </c>
      <c r="W276" s="32" t="n">
        <f>82840</f>
        <v>82840.0</v>
      </c>
      <c r="X276" s="36" t="n">
        <f>21</f>
        <v>21.0</v>
      </c>
    </row>
    <row r="277">
      <c r="A277" s="27" t="s">
        <v>42</v>
      </c>
      <c r="B277" s="27" t="s">
        <v>877</v>
      </c>
      <c r="C277" s="27" t="s">
        <v>878</v>
      </c>
      <c r="D277" s="27" t="s">
        <v>879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1432</f>
        <v>1432.0</v>
      </c>
      <c r="L277" s="34" t="s">
        <v>48</v>
      </c>
      <c r="M277" s="33" t="n">
        <f>1554</f>
        <v>1554.0</v>
      </c>
      <c r="N277" s="34" t="s">
        <v>49</v>
      </c>
      <c r="O277" s="33" t="n">
        <f>1420.5</f>
        <v>1420.5</v>
      </c>
      <c r="P277" s="34" t="s">
        <v>48</v>
      </c>
      <c r="Q277" s="33" t="n">
        <f>1546</f>
        <v>1546.0</v>
      </c>
      <c r="R277" s="34" t="s">
        <v>49</v>
      </c>
      <c r="S277" s="35" t="n">
        <f>1500.45</f>
        <v>1500.45</v>
      </c>
      <c r="T277" s="32" t="n">
        <f>93360</f>
        <v>93360.0</v>
      </c>
      <c r="U277" s="32" t="n">
        <f>20</f>
        <v>20.0</v>
      </c>
      <c r="V277" s="32" t="n">
        <f>141154384</f>
        <v>1.41154384E8</v>
      </c>
      <c r="W277" s="32" t="n">
        <f>29344</f>
        <v>29344.0</v>
      </c>
      <c r="X277" s="36" t="n">
        <f>21</f>
        <v>21.0</v>
      </c>
    </row>
    <row r="278">
      <c r="A278" s="27" t="s">
        <v>42</v>
      </c>
      <c r="B278" s="27" t="s">
        <v>880</v>
      </c>
      <c r="C278" s="27" t="s">
        <v>881</v>
      </c>
      <c r="D278" s="27" t="s">
        <v>882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1737</f>
        <v>1737.0</v>
      </c>
      <c r="L278" s="34" t="s">
        <v>48</v>
      </c>
      <c r="M278" s="33" t="n">
        <f>1825</f>
        <v>1825.0</v>
      </c>
      <c r="N278" s="34" t="s">
        <v>49</v>
      </c>
      <c r="O278" s="33" t="n">
        <f>1726</f>
        <v>1726.0</v>
      </c>
      <c r="P278" s="34" t="s">
        <v>48</v>
      </c>
      <c r="Q278" s="33" t="n">
        <f>1824</f>
        <v>1824.0</v>
      </c>
      <c r="R278" s="34" t="s">
        <v>49</v>
      </c>
      <c r="S278" s="35" t="n">
        <f>1768.95</f>
        <v>1768.95</v>
      </c>
      <c r="T278" s="32" t="n">
        <f>5445118</f>
        <v>5445118.0</v>
      </c>
      <c r="U278" s="32" t="n">
        <f>4938918</f>
        <v>4938918.0</v>
      </c>
      <c r="V278" s="32" t="n">
        <f>9662743954</f>
        <v>9.662743954E9</v>
      </c>
      <c r="W278" s="32" t="n">
        <f>8766421396</f>
        <v>8.766421396E9</v>
      </c>
      <c r="X278" s="36" t="n">
        <f>21</f>
        <v>21.0</v>
      </c>
    </row>
    <row r="279">
      <c r="A279" s="27" t="s">
        <v>42</v>
      </c>
      <c r="B279" s="27" t="s">
        <v>883</v>
      </c>
      <c r="C279" s="27" t="s">
        <v>884</v>
      </c>
      <c r="D279" s="27" t="s">
        <v>885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5370</f>
        <v>5370.0</v>
      </c>
      <c r="L279" s="34" t="s">
        <v>48</v>
      </c>
      <c r="M279" s="33" t="n">
        <f>5782</f>
        <v>5782.0</v>
      </c>
      <c r="N279" s="34" t="s">
        <v>49</v>
      </c>
      <c r="O279" s="33" t="n">
        <f>5281</f>
        <v>5281.0</v>
      </c>
      <c r="P279" s="34" t="s">
        <v>48</v>
      </c>
      <c r="Q279" s="33" t="n">
        <f>5778</f>
        <v>5778.0</v>
      </c>
      <c r="R279" s="34" t="s">
        <v>49</v>
      </c>
      <c r="S279" s="35" t="n">
        <f>5525.14</f>
        <v>5525.14</v>
      </c>
      <c r="T279" s="32" t="n">
        <f>87885</f>
        <v>87885.0</v>
      </c>
      <c r="U279" s="32" t="str">
        <f>"－"</f>
        <v>－</v>
      </c>
      <c r="V279" s="32" t="n">
        <f>485904383</f>
        <v>4.85904383E8</v>
      </c>
      <c r="W279" s="32" t="str">
        <f>"－"</f>
        <v>－</v>
      </c>
      <c r="X279" s="36" t="n">
        <f>21</f>
        <v>21.0</v>
      </c>
    </row>
    <row r="280">
      <c r="A280" s="27" t="s">
        <v>42</v>
      </c>
      <c r="B280" s="27" t="s">
        <v>886</v>
      </c>
      <c r="C280" s="27" t="s">
        <v>887</v>
      </c>
      <c r="D280" s="27" t="s">
        <v>888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2355.5</f>
        <v>2355.5</v>
      </c>
      <c r="L280" s="34" t="s">
        <v>69</v>
      </c>
      <c r="M280" s="33" t="n">
        <f>2369</f>
        <v>2369.0</v>
      </c>
      <c r="N280" s="34" t="s">
        <v>60</v>
      </c>
      <c r="O280" s="33" t="n">
        <f>2317.5</f>
        <v>2317.5</v>
      </c>
      <c r="P280" s="34" t="s">
        <v>198</v>
      </c>
      <c r="Q280" s="33" t="n">
        <f>2369</f>
        <v>2369.0</v>
      </c>
      <c r="R280" s="34" t="s">
        <v>60</v>
      </c>
      <c r="S280" s="35" t="n">
        <f>2362.67</f>
        <v>2362.67</v>
      </c>
      <c r="T280" s="32" t="n">
        <f>300</f>
        <v>300.0</v>
      </c>
      <c r="U280" s="32" t="str">
        <f>"－"</f>
        <v>－</v>
      </c>
      <c r="V280" s="32" t="n">
        <f>706185</f>
        <v>706185.0</v>
      </c>
      <c r="W280" s="32" t="str">
        <f>"－"</f>
        <v>－</v>
      </c>
      <c r="X280" s="36" t="n">
        <f>3</f>
        <v>3.0</v>
      </c>
    </row>
    <row r="281">
      <c r="A281" s="27" t="s">
        <v>42</v>
      </c>
      <c r="B281" s="27" t="s">
        <v>889</v>
      </c>
      <c r="C281" s="27" t="s">
        <v>890</v>
      </c>
      <c r="D281" s="27" t="s">
        <v>891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2862.5</f>
        <v>2862.5</v>
      </c>
      <c r="L281" s="34" t="s">
        <v>69</v>
      </c>
      <c r="M281" s="33" t="n">
        <f>2955</f>
        <v>2955.0</v>
      </c>
      <c r="N281" s="34" t="s">
        <v>49</v>
      </c>
      <c r="O281" s="33" t="n">
        <f>2830</f>
        <v>2830.0</v>
      </c>
      <c r="P281" s="34" t="s">
        <v>50</v>
      </c>
      <c r="Q281" s="33" t="n">
        <f>2955</f>
        <v>2955.0</v>
      </c>
      <c r="R281" s="34" t="s">
        <v>49</v>
      </c>
      <c r="S281" s="35" t="n">
        <f>2876.91</f>
        <v>2876.91</v>
      </c>
      <c r="T281" s="32" t="n">
        <f>887040</f>
        <v>887040.0</v>
      </c>
      <c r="U281" s="32" t="n">
        <f>796400</f>
        <v>796400.0</v>
      </c>
      <c r="V281" s="32" t="n">
        <f>2553472360</f>
        <v>2.55347236E9</v>
      </c>
      <c r="W281" s="32" t="n">
        <f>2294016820</f>
        <v>2.29401682E9</v>
      </c>
      <c r="X281" s="36" t="n">
        <f>11</f>
        <v>11.0</v>
      </c>
    </row>
    <row r="282">
      <c r="A282" s="27" t="s">
        <v>42</v>
      </c>
      <c r="B282" s="27" t="s">
        <v>892</v>
      </c>
      <c r="C282" s="27" t="s">
        <v>893</v>
      </c>
      <c r="D282" s="27" t="s">
        <v>894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38030</f>
        <v>38030.0</v>
      </c>
      <c r="L282" s="34" t="s">
        <v>48</v>
      </c>
      <c r="M282" s="33" t="n">
        <f>41290</f>
        <v>41290.0</v>
      </c>
      <c r="N282" s="34" t="s">
        <v>49</v>
      </c>
      <c r="O282" s="33" t="n">
        <f>37760</f>
        <v>37760.0</v>
      </c>
      <c r="P282" s="34" t="s">
        <v>48</v>
      </c>
      <c r="Q282" s="33" t="n">
        <f>40860</f>
        <v>40860.0</v>
      </c>
      <c r="R282" s="34" t="s">
        <v>49</v>
      </c>
      <c r="S282" s="35" t="n">
        <f>38834.5</f>
        <v>38834.5</v>
      </c>
      <c r="T282" s="32" t="n">
        <f>84041</f>
        <v>84041.0</v>
      </c>
      <c r="U282" s="32" t="n">
        <f>49871</f>
        <v>49871.0</v>
      </c>
      <c r="V282" s="32" t="n">
        <f>3329004246</f>
        <v>3.329004246E9</v>
      </c>
      <c r="W282" s="32" t="n">
        <f>1986726906</f>
        <v>1.986726906E9</v>
      </c>
      <c r="X282" s="36" t="n">
        <f>20</f>
        <v>20.0</v>
      </c>
    </row>
    <row r="283">
      <c r="A283" s="27" t="s">
        <v>42</v>
      </c>
      <c r="B283" s="27" t="s">
        <v>895</v>
      </c>
      <c r="C283" s="27" t="s">
        <v>896</v>
      </c>
      <c r="D283" s="27" t="s">
        <v>897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25860</f>
        <v>25860.0</v>
      </c>
      <c r="L283" s="34" t="s">
        <v>69</v>
      </c>
      <c r="M283" s="33" t="n">
        <f>26560</f>
        <v>26560.0</v>
      </c>
      <c r="N283" s="34" t="s">
        <v>49</v>
      </c>
      <c r="O283" s="33" t="n">
        <f>25610</f>
        <v>25610.0</v>
      </c>
      <c r="P283" s="34" t="s">
        <v>64</v>
      </c>
      <c r="Q283" s="33" t="n">
        <f>26560</f>
        <v>26560.0</v>
      </c>
      <c r="R283" s="34" t="s">
        <v>49</v>
      </c>
      <c r="S283" s="35" t="n">
        <f>25881.25</f>
        <v>25881.25</v>
      </c>
      <c r="T283" s="32" t="n">
        <f>7560</f>
        <v>7560.0</v>
      </c>
      <c r="U283" s="32" t="str">
        <f>"－"</f>
        <v>－</v>
      </c>
      <c r="V283" s="32" t="n">
        <f>194880220</f>
        <v>1.9488022E8</v>
      </c>
      <c r="W283" s="32" t="str">
        <f>"－"</f>
        <v>－</v>
      </c>
      <c r="X283" s="36" t="n">
        <f>12</f>
        <v>12.0</v>
      </c>
    </row>
    <row r="284">
      <c r="A284" s="27" t="s">
        <v>42</v>
      </c>
      <c r="B284" s="27" t="s">
        <v>898</v>
      </c>
      <c r="C284" s="27" t="s">
        <v>899</v>
      </c>
      <c r="D284" s="27" t="s">
        <v>900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1064.5</f>
        <v>1064.5</v>
      </c>
      <c r="L284" s="34" t="s">
        <v>48</v>
      </c>
      <c r="M284" s="33" t="n">
        <f>1101.5</f>
        <v>1101.5</v>
      </c>
      <c r="N284" s="34" t="s">
        <v>198</v>
      </c>
      <c r="O284" s="33" t="n">
        <f>1064.5</f>
        <v>1064.5</v>
      </c>
      <c r="P284" s="34" t="s">
        <v>48</v>
      </c>
      <c r="Q284" s="33" t="n">
        <f>1096.5</f>
        <v>1096.5</v>
      </c>
      <c r="R284" s="34" t="s">
        <v>49</v>
      </c>
      <c r="S284" s="35" t="n">
        <f>1082.91</f>
        <v>1082.91</v>
      </c>
      <c r="T284" s="32" t="n">
        <f>768880</f>
        <v>768880.0</v>
      </c>
      <c r="U284" s="32" t="n">
        <f>620000</f>
        <v>620000.0</v>
      </c>
      <c r="V284" s="32" t="n">
        <f>835080045</f>
        <v>8.35080045E8</v>
      </c>
      <c r="W284" s="32" t="n">
        <f>672445525</f>
        <v>6.72445525E8</v>
      </c>
      <c r="X284" s="36" t="n">
        <f>16</f>
        <v>16.0</v>
      </c>
    </row>
    <row r="285">
      <c r="A285" s="27" t="s">
        <v>42</v>
      </c>
      <c r="B285" s="27" t="s">
        <v>901</v>
      </c>
      <c r="C285" s="27" t="s">
        <v>902</v>
      </c>
      <c r="D285" s="27" t="s">
        <v>903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1046</f>
        <v>1046.0</v>
      </c>
      <c r="L285" s="34" t="s">
        <v>48</v>
      </c>
      <c r="M285" s="33" t="n">
        <f>1076</f>
        <v>1076.0</v>
      </c>
      <c r="N285" s="34" t="s">
        <v>198</v>
      </c>
      <c r="O285" s="33" t="n">
        <f>1041</f>
        <v>1041.0</v>
      </c>
      <c r="P285" s="34" t="s">
        <v>220</v>
      </c>
      <c r="Q285" s="33" t="n">
        <f>1068</f>
        <v>1068.0</v>
      </c>
      <c r="R285" s="34" t="s">
        <v>49</v>
      </c>
      <c r="S285" s="35" t="n">
        <f>1061.33</f>
        <v>1061.33</v>
      </c>
      <c r="T285" s="32" t="n">
        <f>862006</f>
        <v>862006.0</v>
      </c>
      <c r="U285" s="32" t="n">
        <f>475070</f>
        <v>475070.0</v>
      </c>
      <c r="V285" s="32" t="n">
        <f>912285325</f>
        <v>9.12285325E8</v>
      </c>
      <c r="W285" s="32" t="n">
        <f>505825693</f>
        <v>5.05825693E8</v>
      </c>
      <c r="X285" s="36" t="n">
        <f>21</f>
        <v>21.0</v>
      </c>
    </row>
    <row r="286">
      <c r="A286" s="27" t="s">
        <v>42</v>
      </c>
      <c r="B286" s="27" t="s">
        <v>904</v>
      </c>
      <c r="C286" s="27" t="s">
        <v>905</v>
      </c>
      <c r="D286" s="27" t="s">
        <v>906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1624</f>
        <v>1624.0</v>
      </c>
      <c r="L286" s="34" t="s">
        <v>48</v>
      </c>
      <c r="M286" s="33" t="n">
        <f>1638</f>
        <v>1638.0</v>
      </c>
      <c r="N286" s="34" t="s">
        <v>49</v>
      </c>
      <c r="O286" s="33" t="n">
        <f>1589</f>
        <v>1589.0</v>
      </c>
      <c r="P286" s="34" t="s">
        <v>152</v>
      </c>
      <c r="Q286" s="33" t="n">
        <f>1630</f>
        <v>1630.0</v>
      </c>
      <c r="R286" s="34" t="s">
        <v>49</v>
      </c>
      <c r="S286" s="35" t="n">
        <f>1609.24</f>
        <v>1609.24</v>
      </c>
      <c r="T286" s="32" t="n">
        <f>228557</f>
        <v>228557.0</v>
      </c>
      <c r="U286" s="32" t="n">
        <f>87238</f>
        <v>87238.0</v>
      </c>
      <c r="V286" s="32" t="n">
        <f>368318090</f>
        <v>3.6831809E8</v>
      </c>
      <c r="W286" s="32" t="n">
        <f>140616279</f>
        <v>1.40616279E8</v>
      </c>
      <c r="X286" s="36" t="n">
        <f>21</f>
        <v>21.0</v>
      </c>
    </row>
    <row r="287">
      <c r="A287" s="27" t="s">
        <v>42</v>
      </c>
      <c r="B287" s="27" t="s">
        <v>907</v>
      </c>
      <c r="C287" s="27" t="s">
        <v>908</v>
      </c>
      <c r="D287" s="27" t="s">
        <v>909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13550</f>
        <v>13550.0</v>
      </c>
      <c r="L287" s="34" t="s">
        <v>48</v>
      </c>
      <c r="M287" s="33" t="n">
        <f>13850</f>
        <v>13850.0</v>
      </c>
      <c r="N287" s="34" t="s">
        <v>151</v>
      </c>
      <c r="O287" s="33" t="n">
        <f>13175</f>
        <v>13175.0</v>
      </c>
      <c r="P287" s="34" t="s">
        <v>202</v>
      </c>
      <c r="Q287" s="33" t="n">
        <f>13700</f>
        <v>13700.0</v>
      </c>
      <c r="R287" s="34" t="s">
        <v>49</v>
      </c>
      <c r="S287" s="35" t="n">
        <f>13476.67</f>
        <v>13476.67</v>
      </c>
      <c r="T287" s="32" t="n">
        <f>1048</f>
        <v>1048.0</v>
      </c>
      <c r="U287" s="32" t="str">
        <f>"－"</f>
        <v>－</v>
      </c>
      <c r="V287" s="32" t="n">
        <f>14104195</f>
        <v>1.4104195E7</v>
      </c>
      <c r="W287" s="32" t="str">
        <f>"－"</f>
        <v>－</v>
      </c>
      <c r="X287" s="36" t="n">
        <f>21</f>
        <v>21.0</v>
      </c>
    </row>
    <row r="288">
      <c r="A288" s="27" t="s">
        <v>42</v>
      </c>
      <c r="B288" s="27" t="s">
        <v>910</v>
      </c>
      <c r="C288" s="27" t="s">
        <v>911</v>
      </c>
      <c r="D288" s="27" t="s">
        <v>912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1884</f>
        <v>1884.0</v>
      </c>
      <c r="L288" s="34" t="s">
        <v>48</v>
      </c>
      <c r="M288" s="33" t="n">
        <f>1934</f>
        <v>1934.0</v>
      </c>
      <c r="N288" s="34" t="s">
        <v>60</v>
      </c>
      <c r="O288" s="33" t="n">
        <f>1865</f>
        <v>1865.0</v>
      </c>
      <c r="P288" s="34" t="s">
        <v>152</v>
      </c>
      <c r="Q288" s="33" t="n">
        <f>1930</f>
        <v>1930.0</v>
      </c>
      <c r="R288" s="34" t="s">
        <v>49</v>
      </c>
      <c r="S288" s="35" t="n">
        <f>1903.38</f>
        <v>1903.38</v>
      </c>
      <c r="T288" s="32" t="n">
        <f>499071</f>
        <v>499071.0</v>
      </c>
      <c r="U288" s="32" t="n">
        <f>454710</f>
        <v>454710.0</v>
      </c>
      <c r="V288" s="32" t="n">
        <f>941003504</f>
        <v>9.41003504E8</v>
      </c>
      <c r="W288" s="32" t="n">
        <f>857201518</f>
        <v>8.57201518E8</v>
      </c>
      <c r="X288" s="36" t="n">
        <f>21</f>
        <v>21.0</v>
      </c>
    </row>
    <row r="289">
      <c r="A289" s="27" t="s">
        <v>42</v>
      </c>
      <c r="B289" s="27" t="s">
        <v>913</v>
      </c>
      <c r="C289" s="27" t="s">
        <v>914</v>
      </c>
      <c r="D289" s="27" t="s">
        <v>915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1554</f>
        <v>1554.0</v>
      </c>
      <c r="L289" s="34" t="s">
        <v>48</v>
      </c>
      <c r="M289" s="33" t="n">
        <f>1630</f>
        <v>1630.0</v>
      </c>
      <c r="N289" s="34" t="s">
        <v>60</v>
      </c>
      <c r="O289" s="33" t="n">
        <f>1515</f>
        <v>1515.0</v>
      </c>
      <c r="P289" s="34" t="s">
        <v>48</v>
      </c>
      <c r="Q289" s="33" t="n">
        <f>1620.5</f>
        <v>1620.5</v>
      </c>
      <c r="R289" s="34" t="s">
        <v>49</v>
      </c>
      <c r="S289" s="35" t="n">
        <f>1583.5</f>
        <v>1583.5</v>
      </c>
      <c r="T289" s="32" t="n">
        <f>205030</f>
        <v>205030.0</v>
      </c>
      <c r="U289" s="32" t="n">
        <f>9380</f>
        <v>9380.0</v>
      </c>
      <c r="V289" s="32" t="n">
        <f>324273465</f>
        <v>3.24273465E8</v>
      </c>
      <c r="W289" s="32" t="n">
        <f>14934440</f>
        <v>1.493444E7</v>
      </c>
      <c r="X289" s="36" t="n">
        <f>21</f>
        <v>21.0</v>
      </c>
    </row>
    <row r="290">
      <c r="A290" s="27" t="s">
        <v>42</v>
      </c>
      <c r="B290" s="27" t="s">
        <v>916</v>
      </c>
      <c r="C290" s="27" t="s">
        <v>917</v>
      </c>
      <c r="D290" s="27" t="s">
        <v>918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782.6</f>
        <v>782.6</v>
      </c>
      <c r="L290" s="34" t="s">
        <v>48</v>
      </c>
      <c r="M290" s="33" t="n">
        <f>790</f>
        <v>790.0</v>
      </c>
      <c r="N290" s="34" t="s">
        <v>69</v>
      </c>
      <c r="O290" s="33" t="n">
        <f>775.5</f>
        <v>775.5</v>
      </c>
      <c r="P290" s="34" t="s">
        <v>220</v>
      </c>
      <c r="Q290" s="33" t="n">
        <f>784.1</f>
        <v>784.1</v>
      </c>
      <c r="R290" s="34" t="s">
        <v>49</v>
      </c>
      <c r="S290" s="35" t="n">
        <f>780.52</f>
        <v>780.52</v>
      </c>
      <c r="T290" s="32" t="n">
        <f>100290</f>
        <v>100290.0</v>
      </c>
      <c r="U290" s="32" t="n">
        <f>20</f>
        <v>20.0</v>
      </c>
      <c r="V290" s="32" t="n">
        <f>78187347</f>
        <v>7.8187347E7</v>
      </c>
      <c r="W290" s="32" t="n">
        <f>15682</f>
        <v>15682.0</v>
      </c>
      <c r="X290" s="36" t="n">
        <f>21</f>
        <v>21.0</v>
      </c>
    </row>
    <row r="291">
      <c r="A291" s="27" t="s">
        <v>42</v>
      </c>
      <c r="B291" s="27" t="s">
        <v>919</v>
      </c>
      <c r="C291" s="27" t="s">
        <v>920</v>
      </c>
      <c r="D291" s="27" t="s">
        <v>921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1793.5</f>
        <v>1793.5</v>
      </c>
      <c r="L291" s="34" t="s">
        <v>48</v>
      </c>
      <c r="M291" s="33" t="n">
        <f>1859</f>
        <v>1859.0</v>
      </c>
      <c r="N291" s="34" t="s">
        <v>102</v>
      </c>
      <c r="O291" s="33" t="n">
        <f>1790</f>
        <v>1790.0</v>
      </c>
      <c r="P291" s="34" t="s">
        <v>69</v>
      </c>
      <c r="Q291" s="33" t="n">
        <f>1835</f>
        <v>1835.0</v>
      </c>
      <c r="R291" s="34" t="s">
        <v>49</v>
      </c>
      <c r="S291" s="35" t="n">
        <f>1830.07</f>
        <v>1830.07</v>
      </c>
      <c r="T291" s="32" t="n">
        <f>955870</f>
        <v>955870.0</v>
      </c>
      <c r="U291" s="32" t="n">
        <f>900280</f>
        <v>900280.0</v>
      </c>
      <c r="V291" s="32" t="n">
        <f>1736542415</f>
        <v>1.736542415E9</v>
      </c>
      <c r="W291" s="32" t="n">
        <f>1634901255</f>
        <v>1.634901255E9</v>
      </c>
      <c r="X291" s="36" t="n">
        <f>21</f>
        <v>21.0</v>
      </c>
    </row>
    <row r="292">
      <c r="A292" s="27" t="s">
        <v>42</v>
      </c>
      <c r="B292" s="27" t="s">
        <v>922</v>
      </c>
      <c r="C292" s="27" t="s">
        <v>923</v>
      </c>
      <c r="D292" s="27" t="s">
        <v>924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1793.5</f>
        <v>1793.5</v>
      </c>
      <c r="L292" s="34" t="s">
        <v>48</v>
      </c>
      <c r="M292" s="33" t="n">
        <f>1864</f>
        <v>1864.0</v>
      </c>
      <c r="N292" s="34" t="s">
        <v>49</v>
      </c>
      <c r="O292" s="33" t="n">
        <f>1783</f>
        <v>1783.0</v>
      </c>
      <c r="P292" s="34" t="s">
        <v>69</v>
      </c>
      <c r="Q292" s="33" t="n">
        <f>1841</f>
        <v>1841.0</v>
      </c>
      <c r="R292" s="34" t="s">
        <v>49</v>
      </c>
      <c r="S292" s="35" t="n">
        <f>1827.6</f>
        <v>1827.6</v>
      </c>
      <c r="T292" s="32" t="n">
        <f>2945050</f>
        <v>2945050.0</v>
      </c>
      <c r="U292" s="32" t="n">
        <f>2437980</f>
        <v>2437980.0</v>
      </c>
      <c r="V292" s="32" t="n">
        <f>5351185799</f>
        <v>5.351185799E9</v>
      </c>
      <c r="W292" s="32" t="n">
        <f>4424828259</f>
        <v>4.424828259E9</v>
      </c>
      <c r="X292" s="36" t="n">
        <f>21</f>
        <v>21.0</v>
      </c>
    </row>
    <row r="293">
      <c r="A293" s="27" t="s">
        <v>42</v>
      </c>
      <c r="B293" s="27" t="s">
        <v>925</v>
      </c>
      <c r="C293" s="27" t="s">
        <v>926</v>
      </c>
      <c r="D293" s="27" t="s">
        <v>927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2804.5</f>
        <v>2804.5</v>
      </c>
      <c r="L293" s="34" t="s">
        <v>48</v>
      </c>
      <c r="M293" s="33" t="n">
        <f>2896</f>
        <v>2896.0</v>
      </c>
      <c r="N293" s="34" t="s">
        <v>49</v>
      </c>
      <c r="O293" s="33" t="n">
        <f>2772</f>
        <v>2772.0</v>
      </c>
      <c r="P293" s="34" t="s">
        <v>64</v>
      </c>
      <c r="Q293" s="33" t="n">
        <f>2878.5</f>
        <v>2878.5</v>
      </c>
      <c r="R293" s="34" t="s">
        <v>49</v>
      </c>
      <c r="S293" s="35" t="n">
        <f>2812.29</f>
        <v>2812.29</v>
      </c>
      <c r="T293" s="32" t="n">
        <f>699870</f>
        <v>699870.0</v>
      </c>
      <c r="U293" s="32" t="n">
        <f>310000</f>
        <v>310000.0</v>
      </c>
      <c r="V293" s="32" t="n">
        <f>1977909535</f>
        <v>1.977909535E9</v>
      </c>
      <c r="W293" s="32" t="n">
        <f>876644800</f>
        <v>8.766448E8</v>
      </c>
      <c r="X293" s="36" t="n">
        <f>21</f>
        <v>21.0</v>
      </c>
    </row>
    <row r="294">
      <c r="A294" s="27" t="s">
        <v>42</v>
      </c>
      <c r="B294" s="27" t="s">
        <v>928</v>
      </c>
      <c r="C294" s="27" t="s">
        <v>929</v>
      </c>
      <c r="D294" s="27" t="s">
        <v>930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24415</f>
        <v>24415.0</v>
      </c>
      <c r="L294" s="34" t="s">
        <v>48</v>
      </c>
      <c r="M294" s="33" t="n">
        <f>25710</f>
        <v>25710.0</v>
      </c>
      <c r="N294" s="34" t="s">
        <v>49</v>
      </c>
      <c r="O294" s="33" t="n">
        <f>24255</f>
        <v>24255.0</v>
      </c>
      <c r="P294" s="34" t="s">
        <v>48</v>
      </c>
      <c r="Q294" s="33" t="n">
        <f>25620</f>
        <v>25620.0</v>
      </c>
      <c r="R294" s="34" t="s">
        <v>49</v>
      </c>
      <c r="S294" s="35" t="n">
        <f>24935</f>
        <v>24935.0</v>
      </c>
      <c r="T294" s="32" t="n">
        <f>393440</f>
        <v>393440.0</v>
      </c>
      <c r="U294" s="32" t="n">
        <f>7899</f>
        <v>7899.0</v>
      </c>
      <c r="V294" s="32" t="n">
        <f>9801019039</f>
        <v>9.801019039E9</v>
      </c>
      <c r="W294" s="32" t="n">
        <f>200195179</f>
        <v>2.00195179E8</v>
      </c>
      <c r="X294" s="36" t="n">
        <f>21</f>
        <v>21.0</v>
      </c>
    </row>
    <row r="295">
      <c r="A295" s="27" t="s">
        <v>42</v>
      </c>
      <c r="B295" s="27" t="s">
        <v>931</v>
      </c>
      <c r="C295" s="27" t="s">
        <v>932</v>
      </c>
      <c r="D295" s="27" t="s">
        <v>933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20925</f>
        <v>20925.0</v>
      </c>
      <c r="L295" s="34" t="s">
        <v>48</v>
      </c>
      <c r="M295" s="33" t="n">
        <f>21700</f>
        <v>21700.0</v>
      </c>
      <c r="N295" s="34" t="s">
        <v>49</v>
      </c>
      <c r="O295" s="33" t="n">
        <f>20755</f>
        <v>20755.0</v>
      </c>
      <c r="P295" s="34" t="s">
        <v>48</v>
      </c>
      <c r="Q295" s="33" t="n">
        <f>21640</f>
        <v>21640.0</v>
      </c>
      <c r="R295" s="34" t="s">
        <v>49</v>
      </c>
      <c r="S295" s="35" t="n">
        <f>21161.67</f>
        <v>21161.67</v>
      </c>
      <c r="T295" s="32" t="n">
        <f>220125</f>
        <v>220125.0</v>
      </c>
      <c r="U295" s="32" t="n">
        <f>245</f>
        <v>245.0</v>
      </c>
      <c r="V295" s="32" t="n">
        <f>4664447285</f>
        <v>4.664447285E9</v>
      </c>
      <c r="W295" s="32" t="n">
        <f>5204975</f>
        <v>5204975.0</v>
      </c>
      <c r="X295" s="36" t="n">
        <f>21</f>
        <v>21.0</v>
      </c>
    </row>
    <row r="296">
      <c r="A296" s="27" t="s">
        <v>42</v>
      </c>
      <c r="B296" s="27" t="s">
        <v>934</v>
      </c>
      <c r="C296" s="27" t="s">
        <v>935</v>
      </c>
      <c r="D296" s="27" t="s">
        <v>936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37170</f>
        <v>37170.0</v>
      </c>
      <c r="L296" s="34" t="s">
        <v>48</v>
      </c>
      <c r="M296" s="33" t="n">
        <f>37400</f>
        <v>37400.0</v>
      </c>
      <c r="N296" s="34" t="s">
        <v>49</v>
      </c>
      <c r="O296" s="33" t="n">
        <f>36700</f>
        <v>36700.0</v>
      </c>
      <c r="P296" s="34" t="s">
        <v>64</v>
      </c>
      <c r="Q296" s="33" t="n">
        <f>37400</f>
        <v>37400.0</v>
      </c>
      <c r="R296" s="34" t="s">
        <v>49</v>
      </c>
      <c r="S296" s="35" t="n">
        <f>37112.86</f>
        <v>37112.86</v>
      </c>
      <c r="T296" s="32" t="n">
        <f>120</f>
        <v>120.0</v>
      </c>
      <c r="U296" s="32" t="str">
        <f>"－"</f>
        <v>－</v>
      </c>
      <c r="V296" s="32" t="n">
        <f>4452910</f>
        <v>4452910.0</v>
      </c>
      <c r="W296" s="32" t="str">
        <f>"－"</f>
        <v>－</v>
      </c>
      <c r="X296" s="36" t="n">
        <f>7</f>
        <v>7.0</v>
      </c>
    </row>
    <row r="297">
      <c r="A297" s="27" t="s">
        <v>42</v>
      </c>
      <c r="B297" s="27" t="s">
        <v>937</v>
      </c>
      <c r="C297" s="27" t="s">
        <v>938</v>
      </c>
      <c r="D297" s="27" t="s">
        <v>939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2221</f>
        <v>2221.0</v>
      </c>
      <c r="L297" s="34" t="s">
        <v>48</v>
      </c>
      <c r="M297" s="33" t="n">
        <f>2254</f>
        <v>2254.0</v>
      </c>
      <c r="N297" s="34" t="s">
        <v>64</v>
      </c>
      <c r="O297" s="33" t="n">
        <f>2211</f>
        <v>2211.0</v>
      </c>
      <c r="P297" s="34" t="s">
        <v>48</v>
      </c>
      <c r="Q297" s="33" t="n">
        <f>2229</f>
        <v>2229.0</v>
      </c>
      <c r="R297" s="34" t="s">
        <v>49</v>
      </c>
      <c r="S297" s="35" t="n">
        <f>2227.62</f>
        <v>2227.62</v>
      </c>
      <c r="T297" s="32" t="n">
        <f>528660</f>
        <v>528660.0</v>
      </c>
      <c r="U297" s="32" t="n">
        <f>245723</f>
        <v>245723.0</v>
      </c>
      <c r="V297" s="32" t="n">
        <f>1178897933</f>
        <v>1.178897933E9</v>
      </c>
      <c r="W297" s="32" t="n">
        <f>548008442</f>
        <v>5.48008442E8</v>
      </c>
      <c r="X297" s="36" t="n">
        <f>21</f>
        <v>21.0</v>
      </c>
    </row>
    <row r="298">
      <c r="A298" s="27" t="s">
        <v>42</v>
      </c>
      <c r="B298" s="27" t="s">
        <v>940</v>
      </c>
      <c r="C298" s="27" t="s">
        <v>941</v>
      </c>
      <c r="D298" s="27" t="s">
        <v>942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3080</f>
        <v>3080.0</v>
      </c>
      <c r="L298" s="34" t="s">
        <v>48</v>
      </c>
      <c r="M298" s="33" t="n">
        <f>3210</f>
        <v>3210.0</v>
      </c>
      <c r="N298" s="34" t="s">
        <v>49</v>
      </c>
      <c r="O298" s="33" t="n">
        <f>3039</f>
        <v>3039.0</v>
      </c>
      <c r="P298" s="34" t="s">
        <v>64</v>
      </c>
      <c r="Q298" s="33" t="n">
        <f>3210</f>
        <v>3210.0</v>
      </c>
      <c r="R298" s="34" t="s">
        <v>49</v>
      </c>
      <c r="S298" s="35" t="n">
        <f>3103.71</f>
        <v>3103.71</v>
      </c>
      <c r="T298" s="32" t="n">
        <f>900181</f>
        <v>900181.0</v>
      </c>
      <c r="U298" s="32" t="n">
        <f>597050</f>
        <v>597050.0</v>
      </c>
      <c r="V298" s="32" t="n">
        <f>2814895922</f>
        <v>2.814895922E9</v>
      </c>
      <c r="W298" s="32" t="n">
        <f>1874383379</f>
        <v>1.874383379E9</v>
      </c>
      <c r="X298" s="36" t="n">
        <f>21</f>
        <v>21.0</v>
      </c>
    </row>
    <row r="299">
      <c r="A299" s="27" t="s">
        <v>42</v>
      </c>
      <c r="B299" s="27" t="s">
        <v>943</v>
      </c>
      <c r="C299" s="27" t="s">
        <v>944</v>
      </c>
      <c r="D299" s="27" t="s">
        <v>945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325.5</f>
        <v>325.5</v>
      </c>
      <c r="L299" s="34" t="s">
        <v>48</v>
      </c>
      <c r="M299" s="33" t="n">
        <f>342.2</f>
        <v>342.2</v>
      </c>
      <c r="N299" s="34" t="s">
        <v>49</v>
      </c>
      <c r="O299" s="33" t="n">
        <f>324.4</f>
        <v>324.4</v>
      </c>
      <c r="P299" s="34" t="s">
        <v>48</v>
      </c>
      <c r="Q299" s="33" t="n">
        <f>342</f>
        <v>342.0</v>
      </c>
      <c r="R299" s="34" t="s">
        <v>49</v>
      </c>
      <c r="S299" s="35" t="n">
        <f>331.92</f>
        <v>331.92</v>
      </c>
      <c r="T299" s="32" t="n">
        <f>21130830</f>
        <v>2.113083E7</v>
      </c>
      <c r="U299" s="32" t="n">
        <f>7158770</f>
        <v>7158770.0</v>
      </c>
      <c r="V299" s="32" t="n">
        <f>7082866073</f>
        <v>7.082866073E9</v>
      </c>
      <c r="W299" s="32" t="n">
        <f>2420332362</f>
        <v>2.420332362E9</v>
      </c>
      <c r="X299" s="36" t="n">
        <f>21</f>
        <v>21.0</v>
      </c>
    </row>
    <row r="300">
      <c r="A300" s="27" t="s">
        <v>42</v>
      </c>
      <c r="B300" s="27" t="s">
        <v>946</v>
      </c>
      <c r="C300" s="27" t="s">
        <v>947</v>
      </c>
      <c r="D300" s="27" t="s">
        <v>948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2737</f>
        <v>2737.0</v>
      </c>
      <c r="L300" s="34" t="s">
        <v>48</v>
      </c>
      <c r="M300" s="33" t="n">
        <f>2792</f>
        <v>2792.0</v>
      </c>
      <c r="N300" s="34" t="s">
        <v>49</v>
      </c>
      <c r="O300" s="33" t="n">
        <f>2695</f>
        <v>2695.0</v>
      </c>
      <c r="P300" s="34" t="s">
        <v>64</v>
      </c>
      <c r="Q300" s="33" t="n">
        <f>2787</f>
        <v>2787.0</v>
      </c>
      <c r="R300" s="34" t="s">
        <v>49</v>
      </c>
      <c r="S300" s="35" t="n">
        <f>2735.95</f>
        <v>2735.95</v>
      </c>
      <c r="T300" s="32" t="n">
        <f>468249</f>
        <v>468249.0</v>
      </c>
      <c r="U300" s="32" t="n">
        <f>108360</f>
        <v>108360.0</v>
      </c>
      <c r="V300" s="32" t="n">
        <f>1285481963</f>
        <v>1.285481963E9</v>
      </c>
      <c r="W300" s="32" t="n">
        <f>295388025</f>
        <v>2.95388025E8</v>
      </c>
      <c r="X300" s="36" t="n">
        <f>21</f>
        <v>21.0</v>
      </c>
    </row>
    <row r="301">
      <c r="A301" s="27" t="s">
        <v>42</v>
      </c>
      <c r="B301" s="27" t="s">
        <v>949</v>
      </c>
      <c r="C301" s="27" t="s">
        <v>950</v>
      </c>
      <c r="D301" s="27" t="s">
        <v>951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843</f>
        <v>843.0</v>
      </c>
      <c r="L301" s="34" t="s">
        <v>48</v>
      </c>
      <c r="M301" s="33" t="n">
        <f>868</f>
        <v>868.0</v>
      </c>
      <c r="N301" s="34" t="s">
        <v>49</v>
      </c>
      <c r="O301" s="33" t="n">
        <f>839</f>
        <v>839.0</v>
      </c>
      <c r="P301" s="34" t="s">
        <v>48</v>
      </c>
      <c r="Q301" s="33" t="n">
        <f>858</f>
        <v>858.0</v>
      </c>
      <c r="R301" s="34" t="s">
        <v>49</v>
      </c>
      <c r="S301" s="35" t="n">
        <f>854.57</f>
        <v>854.57</v>
      </c>
      <c r="T301" s="32" t="n">
        <f>871411</f>
        <v>871411.0</v>
      </c>
      <c r="U301" s="32" t="n">
        <f>540000</f>
        <v>540000.0</v>
      </c>
      <c r="V301" s="32" t="n">
        <f>741948655</f>
        <v>7.41948655E8</v>
      </c>
      <c r="W301" s="32" t="n">
        <f>457030433</f>
        <v>4.57030433E8</v>
      </c>
      <c r="X301" s="36" t="n">
        <f>21</f>
        <v>21.0</v>
      </c>
    </row>
    <row r="302">
      <c r="A302" s="27" t="s">
        <v>42</v>
      </c>
      <c r="B302" s="27" t="s">
        <v>952</v>
      </c>
      <c r="C302" s="27" t="s">
        <v>953</v>
      </c>
      <c r="D302" s="27" t="s">
        <v>954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983</f>
        <v>983.0</v>
      </c>
      <c r="L302" s="34" t="s">
        <v>48</v>
      </c>
      <c r="M302" s="33" t="n">
        <f>1020</f>
        <v>1020.0</v>
      </c>
      <c r="N302" s="34" t="s">
        <v>64</v>
      </c>
      <c r="O302" s="33" t="n">
        <f>980</f>
        <v>980.0</v>
      </c>
      <c r="P302" s="34" t="s">
        <v>69</v>
      </c>
      <c r="Q302" s="33" t="n">
        <f>1008</f>
        <v>1008.0</v>
      </c>
      <c r="R302" s="34" t="s">
        <v>49</v>
      </c>
      <c r="S302" s="35" t="n">
        <f>1001.14</f>
        <v>1001.14</v>
      </c>
      <c r="T302" s="32" t="n">
        <f>179912</f>
        <v>179912.0</v>
      </c>
      <c r="U302" s="32" t="n">
        <f>146690</f>
        <v>146690.0</v>
      </c>
      <c r="V302" s="32" t="n">
        <f>181056033</f>
        <v>1.81056033E8</v>
      </c>
      <c r="W302" s="32" t="n">
        <f>148066221</f>
        <v>1.48066221E8</v>
      </c>
      <c r="X302" s="36" t="n">
        <f>21</f>
        <v>21.0</v>
      </c>
    </row>
    <row r="303">
      <c r="A303" s="27" t="s">
        <v>42</v>
      </c>
      <c r="B303" s="27" t="s">
        <v>955</v>
      </c>
      <c r="C303" s="27" t="s">
        <v>956</v>
      </c>
      <c r="D303" s="27" t="s">
        <v>957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372.5</f>
        <v>372.5</v>
      </c>
      <c r="L303" s="34" t="s">
        <v>48</v>
      </c>
      <c r="M303" s="33" t="n">
        <f>385</f>
        <v>385.0</v>
      </c>
      <c r="N303" s="34" t="s">
        <v>49</v>
      </c>
      <c r="O303" s="33" t="n">
        <f>363.5</f>
        <v>363.5</v>
      </c>
      <c r="P303" s="34" t="s">
        <v>64</v>
      </c>
      <c r="Q303" s="33" t="n">
        <f>384.9</f>
        <v>384.9</v>
      </c>
      <c r="R303" s="34" t="s">
        <v>49</v>
      </c>
      <c r="S303" s="35" t="n">
        <f>373.03</f>
        <v>373.03</v>
      </c>
      <c r="T303" s="32" t="n">
        <f>11660</f>
        <v>11660.0</v>
      </c>
      <c r="U303" s="32" t="str">
        <f>"－"</f>
        <v>－</v>
      </c>
      <c r="V303" s="32" t="n">
        <f>4348146</f>
        <v>4348146.0</v>
      </c>
      <c r="W303" s="32" t="str">
        <f>"－"</f>
        <v>－</v>
      </c>
      <c r="X303" s="36" t="n">
        <f>15</f>
        <v>15.0</v>
      </c>
    </row>
    <row r="304">
      <c r="A304" s="27" t="s">
        <v>42</v>
      </c>
      <c r="B304" s="27" t="s">
        <v>958</v>
      </c>
      <c r="C304" s="27" t="s">
        <v>959</v>
      </c>
      <c r="D304" s="27" t="s">
        <v>960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5260</f>
        <v>5260.0</v>
      </c>
      <c r="L304" s="34" t="s">
        <v>48</v>
      </c>
      <c r="M304" s="33" t="n">
        <f>5626</f>
        <v>5626.0</v>
      </c>
      <c r="N304" s="34" t="s">
        <v>49</v>
      </c>
      <c r="O304" s="33" t="n">
        <f>5210</f>
        <v>5210.0</v>
      </c>
      <c r="P304" s="34" t="s">
        <v>48</v>
      </c>
      <c r="Q304" s="33" t="n">
        <f>5612</f>
        <v>5612.0</v>
      </c>
      <c r="R304" s="34" t="s">
        <v>49</v>
      </c>
      <c r="S304" s="35" t="n">
        <f>5417.19</f>
        <v>5417.19</v>
      </c>
      <c r="T304" s="32" t="n">
        <f>569571</f>
        <v>569571.0</v>
      </c>
      <c r="U304" s="32" t="n">
        <f>94505</f>
        <v>94505.0</v>
      </c>
      <c r="V304" s="32" t="n">
        <f>3095158279</f>
        <v>3.095158279E9</v>
      </c>
      <c r="W304" s="32" t="n">
        <f>509777995</f>
        <v>5.09777995E8</v>
      </c>
      <c r="X304" s="36" t="n">
        <f>21</f>
        <v>21.0</v>
      </c>
    </row>
    <row r="305">
      <c r="A305" s="27" t="s">
        <v>42</v>
      </c>
      <c r="B305" s="27" t="s">
        <v>961</v>
      </c>
      <c r="C305" s="27" t="s">
        <v>962</v>
      </c>
      <c r="D305" s="27" t="s">
        <v>963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3235</f>
        <v>3235.0</v>
      </c>
      <c r="L305" s="34" t="s">
        <v>48</v>
      </c>
      <c r="M305" s="33" t="n">
        <f>3445</f>
        <v>3445.0</v>
      </c>
      <c r="N305" s="34" t="s">
        <v>49</v>
      </c>
      <c r="O305" s="33" t="n">
        <f>3220</f>
        <v>3220.0</v>
      </c>
      <c r="P305" s="34" t="s">
        <v>48</v>
      </c>
      <c r="Q305" s="33" t="n">
        <f>3445</f>
        <v>3445.0</v>
      </c>
      <c r="R305" s="34" t="s">
        <v>49</v>
      </c>
      <c r="S305" s="35" t="n">
        <f>3318.29</f>
        <v>3318.29</v>
      </c>
      <c r="T305" s="32" t="n">
        <f>3158296</f>
        <v>3158296.0</v>
      </c>
      <c r="U305" s="32" t="n">
        <f>2275200</f>
        <v>2275200.0</v>
      </c>
      <c r="V305" s="32" t="n">
        <f>10574405949</f>
        <v>1.0574405949E10</v>
      </c>
      <c r="W305" s="32" t="n">
        <f>7636713358</f>
        <v>7.636713358E9</v>
      </c>
      <c r="X305" s="36" t="n">
        <f>21</f>
        <v>21.0</v>
      </c>
    </row>
    <row r="306">
      <c r="A306" s="27" t="s">
        <v>42</v>
      </c>
      <c r="B306" s="27" t="s">
        <v>964</v>
      </c>
      <c r="C306" s="27" t="s">
        <v>965</v>
      </c>
      <c r="D306" s="27" t="s">
        <v>966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2167</f>
        <v>2167.0</v>
      </c>
      <c r="L306" s="34" t="s">
        <v>48</v>
      </c>
      <c r="M306" s="33" t="n">
        <f>2314</f>
        <v>2314.0</v>
      </c>
      <c r="N306" s="34" t="s">
        <v>49</v>
      </c>
      <c r="O306" s="33" t="n">
        <f>2167</f>
        <v>2167.0</v>
      </c>
      <c r="P306" s="34" t="s">
        <v>48</v>
      </c>
      <c r="Q306" s="33" t="n">
        <f>2291</f>
        <v>2291.0</v>
      </c>
      <c r="R306" s="34" t="s">
        <v>49</v>
      </c>
      <c r="S306" s="35" t="n">
        <f>2208.7</f>
        <v>2208.7</v>
      </c>
      <c r="T306" s="32" t="n">
        <f>3050</f>
        <v>3050.0</v>
      </c>
      <c r="U306" s="32" t="str">
        <f>"－"</f>
        <v>－</v>
      </c>
      <c r="V306" s="32" t="n">
        <f>6742572</f>
        <v>6742572.0</v>
      </c>
      <c r="W306" s="32" t="str">
        <f>"－"</f>
        <v>－</v>
      </c>
      <c r="X306" s="36" t="n">
        <f>20</f>
        <v>20.0</v>
      </c>
    </row>
    <row r="307">
      <c r="A307" s="27" t="s">
        <v>42</v>
      </c>
      <c r="B307" s="27" t="s">
        <v>967</v>
      </c>
      <c r="C307" s="27" t="s">
        <v>968</v>
      </c>
      <c r="D307" s="27" t="s">
        <v>969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1997</f>
        <v>1997.0</v>
      </c>
      <c r="L307" s="34" t="s">
        <v>48</v>
      </c>
      <c r="M307" s="33" t="n">
        <f>2099</f>
        <v>2099.0</v>
      </c>
      <c r="N307" s="34" t="s">
        <v>82</v>
      </c>
      <c r="O307" s="33" t="n">
        <f>1996</f>
        <v>1996.0</v>
      </c>
      <c r="P307" s="34" t="s">
        <v>48</v>
      </c>
      <c r="Q307" s="33" t="n">
        <f>2090</f>
        <v>2090.0</v>
      </c>
      <c r="R307" s="34" t="s">
        <v>49</v>
      </c>
      <c r="S307" s="35" t="n">
        <f>2059.48</f>
        <v>2059.48</v>
      </c>
      <c r="T307" s="32" t="n">
        <f>28133</f>
        <v>28133.0</v>
      </c>
      <c r="U307" s="32" t="str">
        <f>"－"</f>
        <v>－</v>
      </c>
      <c r="V307" s="32" t="n">
        <f>57551984</f>
        <v>5.7551984E7</v>
      </c>
      <c r="W307" s="32" t="str">
        <f>"－"</f>
        <v>－</v>
      </c>
      <c r="X307" s="36" t="n">
        <f>21</f>
        <v>21.0</v>
      </c>
    </row>
    <row r="308">
      <c r="A308" s="27" t="s">
        <v>42</v>
      </c>
      <c r="B308" s="27" t="s">
        <v>970</v>
      </c>
      <c r="C308" s="27" t="s">
        <v>971</v>
      </c>
      <c r="D308" s="27" t="s">
        <v>972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331.9</f>
        <v>331.9</v>
      </c>
      <c r="L308" s="34" t="s">
        <v>48</v>
      </c>
      <c r="M308" s="33" t="n">
        <f>340.7</f>
        <v>340.7</v>
      </c>
      <c r="N308" s="34" t="s">
        <v>64</v>
      </c>
      <c r="O308" s="33" t="n">
        <f>328.5</f>
        <v>328.5</v>
      </c>
      <c r="P308" s="34" t="s">
        <v>69</v>
      </c>
      <c r="Q308" s="33" t="n">
        <f>334.1</f>
        <v>334.1</v>
      </c>
      <c r="R308" s="34" t="s">
        <v>49</v>
      </c>
      <c r="S308" s="35" t="n">
        <f>333.96</f>
        <v>333.96</v>
      </c>
      <c r="T308" s="32" t="n">
        <f>2608840</f>
        <v>2608840.0</v>
      </c>
      <c r="U308" s="32" t="n">
        <f>1792340</f>
        <v>1792340.0</v>
      </c>
      <c r="V308" s="32" t="n">
        <f>873258164</f>
        <v>8.73258164E8</v>
      </c>
      <c r="W308" s="32" t="n">
        <f>600061808</f>
        <v>6.00061808E8</v>
      </c>
      <c r="X308" s="36" t="n">
        <f>21</f>
        <v>21.0</v>
      </c>
    </row>
    <row r="309">
      <c r="A309" s="27" t="s">
        <v>42</v>
      </c>
      <c r="B309" s="27" t="s">
        <v>973</v>
      </c>
      <c r="C309" s="27" t="s">
        <v>974</v>
      </c>
      <c r="D309" s="27" t="s">
        <v>975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1082</f>
        <v>1082.0</v>
      </c>
      <c r="L309" s="34" t="s">
        <v>48</v>
      </c>
      <c r="M309" s="33" t="n">
        <f>1110</f>
        <v>1110.0</v>
      </c>
      <c r="N309" s="34" t="s">
        <v>151</v>
      </c>
      <c r="O309" s="33" t="n">
        <f>1075</f>
        <v>1075.0</v>
      </c>
      <c r="P309" s="34" t="s">
        <v>202</v>
      </c>
      <c r="Q309" s="33" t="n">
        <f>1102</f>
        <v>1102.0</v>
      </c>
      <c r="R309" s="34" t="s">
        <v>49</v>
      </c>
      <c r="S309" s="35" t="n">
        <f>1090.62</f>
        <v>1090.62</v>
      </c>
      <c r="T309" s="32" t="n">
        <f>11008563</f>
        <v>1.1008563E7</v>
      </c>
      <c r="U309" s="32" t="n">
        <f>13338</f>
        <v>13338.0</v>
      </c>
      <c r="V309" s="32" t="n">
        <f>12027320779</f>
        <v>1.2027320779E10</v>
      </c>
      <c r="W309" s="32" t="n">
        <f>14457267</f>
        <v>1.4457267E7</v>
      </c>
      <c r="X309" s="36" t="n">
        <f>21</f>
        <v>21.0</v>
      </c>
    </row>
    <row r="310">
      <c r="A310" s="27" t="s">
        <v>42</v>
      </c>
      <c r="B310" s="27" t="s">
        <v>976</v>
      </c>
      <c r="C310" s="27" t="s">
        <v>977</v>
      </c>
      <c r="D310" s="27" t="s">
        <v>978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1695</f>
        <v>1695.0</v>
      </c>
      <c r="L310" s="34" t="s">
        <v>48</v>
      </c>
      <c r="M310" s="33" t="n">
        <f>1726</f>
        <v>1726.0</v>
      </c>
      <c r="N310" s="34" t="s">
        <v>49</v>
      </c>
      <c r="O310" s="33" t="n">
        <f>1689</f>
        <v>1689.0</v>
      </c>
      <c r="P310" s="34" t="s">
        <v>69</v>
      </c>
      <c r="Q310" s="33" t="n">
        <f>1724</f>
        <v>1724.0</v>
      </c>
      <c r="R310" s="34" t="s">
        <v>49</v>
      </c>
      <c r="S310" s="35" t="n">
        <f>1708.1</f>
        <v>1708.1</v>
      </c>
      <c r="T310" s="32" t="n">
        <f>22772</f>
        <v>22772.0</v>
      </c>
      <c r="U310" s="32" t="str">
        <f>"－"</f>
        <v>－</v>
      </c>
      <c r="V310" s="32" t="n">
        <f>38891947</f>
        <v>3.8891947E7</v>
      </c>
      <c r="W310" s="32" t="str">
        <f>"－"</f>
        <v>－</v>
      </c>
      <c r="X310" s="36" t="n">
        <f>21</f>
        <v>21.0</v>
      </c>
    </row>
    <row r="311">
      <c r="A311" s="27" t="s">
        <v>42</v>
      </c>
      <c r="B311" s="27" t="s">
        <v>979</v>
      </c>
      <c r="C311" s="27" t="s">
        <v>980</v>
      </c>
      <c r="D311" s="27" t="s">
        <v>981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2060</f>
        <v>2060.0</v>
      </c>
      <c r="L311" s="34" t="s">
        <v>48</v>
      </c>
      <c r="M311" s="33" t="n">
        <f>2060</f>
        <v>2060.0</v>
      </c>
      <c r="N311" s="34" t="s">
        <v>48</v>
      </c>
      <c r="O311" s="33" t="n">
        <f>2033</f>
        <v>2033.0</v>
      </c>
      <c r="P311" s="34" t="s">
        <v>86</v>
      </c>
      <c r="Q311" s="33" t="n">
        <f>2045</f>
        <v>2045.0</v>
      </c>
      <c r="R311" s="34" t="s">
        <v>49</v>
      </c>
      <c r="S311" s="35" t="n">
        <f>2044.5</f>
        <v>2044.5</v>
      </c>
      <c r="T311" s="32" t="n">
        <f>2595167</f>
        <v>2595167.0</v>
      </c>
      <c r="U311" s="32" t="n">
        <f>2589000</f>
        <v>2589000.0</v>
      </c>
      <c r="V311" s="32" t="n">
        <f>5305265096</f>
        <v>5.305265096E9</v>
      </c>
      <c r="W311" s="32" t="n">
        <f>5292692700</f>
        <v>5.2926927E9</v>
      </c>
      <c r="X311" s="36" t="n">
        <f>20</f>
        <v>20.0</v>
      </c>
    </row>
    <row r="312">
      <c r="A312" s="27" t="s">
        <v>42</v>
      </c>
      <c r="B312" s="27" t="s">
        <v>982</v>
      </c>
      <c r="C312" s="27" t="s">
        <v>983</v>
      </c>
      <c r="D312" s="27" t="s">
        <v>984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3781</f>
        <v>3781.0</v>
      </c>
      <c r="L312" s="34" t="s">
        <v>48</v>
      </c>
      <c r="M312" s="33" t="n">
        <f>4106</f>
        <v>4106.0</v>
      </c>
      <c r="N312" s="34" t="s">
        <v>49</v>
      </c>
      <c r="O312" s="33" t="n">
        <f>3750</f>
        <v>3750.0</v>
      </c>
      <c r="P312" s="34" t="s">
        <v>48</v>
      </c>
      <c r="Q312" s="33" t="n">
        <f>4072</f>
        <v>4072.0</v>
      </c>
      <c r="R312" s="34" t="s">
        <v>49</v>
      </c>
      <c r="S312" s="35" t="n">
        <f>3861.33</f>
        <v>3861.33</v>
      </c>
      <c r="T312" s="32" t="n">
        <f>459467</f>
        <v>459467.0</v>
      </c>
      <c r="U312" s="32" t="n">
        <f>218715</f>
        <v>218715.0</v>
      </c>
      <c r="V312" s="32" t="n">
        <f>1769786210</f>
        <v>1.76978621E9</v>
      </c>
      <c r="W312" s="32" t="n">
        <f>833937402</f>
        <v>8.33937402E8</v>
      </c>
      <c r="X312" s="36" t="n">
        <f>21</f>
        <v>21.0</v>
      </c>
    </row>
    <row r="313">
      <c r="A313" s="27" t="s">
        <v>42</v>
      </c>
      <c r="B313" s="27" t="s">
        <v>985</v>
      </c>
      <c r="C313" s="27" t="s">
        <v>986</v>
      </c>
      <c r="D313" s="27" t="s">
        <v>987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2792</f>
        <v>2792.0</v>
      </c>
      <c r="L313" s="34" t="s">
        <v>48</v>
      </c>
      <c r="M313" s="33" t="n">
        <f>2878</f>
        <v>2878.0</v>
      </c>
      <c r="N313" s="34" t="s">
        <v>49</v>
      </c>
      <c r="O313" s="33" t="n">
        <f>2749</f>
        <v>2749.0</v>
      </c>
      <c r="P313" s="34" t="s">
        <v>50</v>
      </c>
      <c r="Q313" s="33" t="n">
        <f>2858</f>
        <v>2858.0</v>
      </c>
      <c r="R313" s="34" t="s">
        <v>49</v>
      </c>
      <c r="S313" s="35" t="n">
        <f>2790.95</f>
        <v>2790.95</v>
      </c>
      <c r="T313" s="32" t="n">
        <f>451111</f>
        <v>451111.0</v>
      </c>
      <c r="U313" s="32" t="n">
        <f>332700</f>
        <v>332700.0</v>
      </c>
      <c r="V313" s="32" t="n">
        <f>1256642531</f>
        <v>1.256642531E9</v>
      </c>
      <c r="W313" s="32" t="n">
        <f>924577725</f>
        <v>9.24577725E8</v>
      </c>
      <c r="X313" s="36" t="n">
        <f>21</f>
        <v>21.0</v>
      </c>
    </row>
    <row r="314">
      <c r="A314" s="27" t="s">
        <v>42</v>
      </c>
      <c r="B314" s="27" t="s">
        <v>988</v>
      </c>
      <c r="C314" s="27" t="s">
        <v>989</v>
      </c>
      <c r="D314" s="27" t="s">
        <v>990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2699</f>
        <v>2699.0</v>
      </c>
      <c r="L314" s="34" t="s">
        <v>48</v>
      </c>
      <c r="M314" s="33" t="n">
        <f>2905</f>
        <v>2905.0</v>
      </c>
      <c r="N314" s="34" t="s">
        <v>49</v>
      </c>
      <c r="O314" s="33" t="n">
        <f>2671</f>
        <v>2671.0</v>
      </c>
      <c r="P314" s="34" t="s">
        <v>48</v>
      </c>
      <c r="Q314" s="33" t="n">
        <f>2884</f>
        <v>2884.0</v>
      </c>
      <c r="R314" s="34" t="s">
        <v>49</v>
      </c>
      <c r="S314" s="35" t="n">
        <f>2755.81</f>
        <v>2755.81</v>
      </c>
      <c r="T314" s="32" t="n">
        <f>39878</f>
        <v>39878.0</v>
      </c>
      <c r="U314" s="32" t="str">
        <f>"－"</f>
        <v>－</v>
      </c>
      <c r="V314" s="32" t="n">
        <f>110949277</f>
        <v>1.10949277E8</v>
      </c>
      <c r="W314" s="32" t="str">
        <f>"－"</f>
        <v>－</v>
      </c>
      <c r="X314" s="36" t="n">
        <f>21</f>
        <v>21.0</v>
      </c>
    </row>
    <row r="315">
      <c r="A315" s="27" t="s">
        <v>42</v>
      </c>
      <c r="B315" s="27" t="s">
        <v>991</v>
      </c>
      <c r="C315" s="27" t="s">
        <v>992</v>
      </c>
      <c r="D315" s="27" t="s">
        <v>993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1543</f>
        <v>1543.0</v>
      </c>
      <c r="L315" s="34" t="s">
        <v>48</v>
      </c>
      <c r="M315" s="33" t="n">
        <f>1598</f>
        <v>1598.0</v>
      </c>
      <c r="N315" s="34" t="s">
        <v>68</v>
      </c>
      <c r="O315" s="33" t="n">
        <f>1490</f>
        <v>1490.0</v>
      </c>
      <c r="P315" s="34" t="s">
        <v>269</v>
      </c>
      <c r="Q315" s="33" t="n">
        <f>1550</f>
        <v>1550.0</v>
      </c>
      <c r="R315" s="34" t="s">
        <v>49</v>
      </c>
      <c r="S315" s="35" t="n">
        <f>1566.14</f>
        <v>1566.14</v>
      </c>
      <c r="T315" s="32" t="n">
        <f>65142</f>
        <v>65142.0</v>
      </c>
      <c r="U315" s="32" t="str">
        <f>"－"</f>
        <v>－</v>
      </c>
      <c r="V315" s="32" t="n">
        <f>102571933</f>
        <v>1.02571933E8</v>
      </c>
      <c r="W315" s="32" t="str">
        <f>"－"</f>
        <v>－</v>
      </c>
      <c r="X315" s="36" t="n">
        <f>21</f>
        <v>21.0</v>
      </c>
    </row>
    <row r="316">
      <c r="A316" s="27" t="s">
        <v>42</v>
      </c>
      <c r="B316" s="27" t="s">
        <v>994</v>
      </c>
      <c r="C316" s="27" t="s">
        <v>995</v>
      </c>
      <c r="D316" s="27" t="s">
        <v>996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1900</f>
        <v>1900.0</v>
      </c>
      <c r="L316" s="34" t="s">
        <v>48</v>
      </c>
      <c r="M316" s="33" t="n">
        <f>1980</f>
        <v>1980.0</v>
      </c>
      <c r="N316" s="34" t="s">
        <v>220</v>
      </c>
      <c r="O316" s="33" t="n">
        <f>1854</f>
        <v>1854.0</v>
      </c>
      <c r="P316" s="34" t="s">
        <v>48</v>
      </c>
      <c r="Q316" s="33" t="n">
        <f>1957</f>
        <v>1957.0</v>
      </c>
      <c r="R316" s="34" t="s">
        <v>49</v>
      </c>
      <c r="S316" s="35" t="n">
        <f>1916.81</f>
        <v>1916.81</v>
      </c>
      <c r="T316" s="32" t="n">
        <f>118963</f>
        <v>118963.0</v>
      </c>
      <c r="U316" s="32" t="str">
        <f>"－"</f>
        <v>－</v>
      </c>
      <c r="V316" s="32" t="n">
        <f>229156070</f>
        <v>2.2915607E8</v>
      </c>
      <c r="W316" s="32" t="str">
        <f>"－"</f>
        <v>－</v>
      </c>
      <c r="X316" s="36" t="n">
        <f>21</f>
        <v>21.0</v>
      </c>
    </row>
    <row r="317">
      <c r="A317" s="27" t="s">
        <v>42</v>
      </c>
      <c r="B317" s="27" t="s">
        <v>997</v>
      </c>
      <c r="C317" s="27" t="s">
        <v>998</v>
      </c>
      <c r="D317" s="27" t="s">
        <v>999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2804</f>
        <v>2804.0</v>
      </c>
      <c r="L317" s="34" t="s">
        <v>48</v>
      </c>
      <c r="M317" s="33" t="n">
        <f>2929</f>
        <v>2929.0</v>
      </c>
      <c r="N317" s="34" t="s">
        <v>60</v>
      </c>
      <c r="O317" s="33" t="n">
        <f>2713</f>
        <v>2713.0</v>
      </c>
      <c r="P317" s="34" t="s">
        <v>48</v>
      </c>
      <c r="Q317" s="33" t="n">
        <f>2855</f>
        <v>2855.0</v>
      </c>
      <c r="R317" s="34" t="s">
        <v>49</v>
      </c>
      <c r="S317" s="35" t="n">
        <f>2831.71</f>
        <v>2831.71</v>
      </c>
      <c r="T317" s="32" t="n">
        <f>59546</f>
        <v>59546.0</v>
      </c>
      <c r="U317" s="32" t="str">
        <f>"－"</f>
        <v>－</v>
      </c>
      <c r="V317" s="32" t="n">
        <f>167300790</f>
        <v>1.6730079E8</v>
      </c>
      <c r="W317" s="32" t="str">
        <f>"－"</f>
        <v>－</v>
      </c>
      <c r="X317" s="36" t="n">
        <f>21</f>
        <v>21.0</v>
      </c>
    </row>
    <row r="318">
      <c r="A318" s="27" t="s">
        <v>42</v>
      </c>
      <c r="B318" s="27" t="s">
        <v>1000</v>
      </c>
      <c r="C318" s="27" t="s">
        <v>1001</v>
      </c>
      <c r="D318" s="27" t="s">
        <v>1002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12995</f>
        <v>12995.0</v>
      </c>
      <c r="L318" s="34" t="s">
        <v>48</v>
      </c>
      <c r="M318" s="33" t="n">
        <f>13490</f>
        <v>13490.0</v>
      </c>
      <c r="N318" s="34" t="s">
        <v>49</v>
      </c>
      <c r="O318" s="33" t="n">
        <f>12850</f>
        <v>12850.0</v>
      </c>
      <c r="P318" s="34" t="s">
        <v>48</v>
      </c>
      <c r="Q318" s="33" t="n">
        <f>13490</f>
        <v>13490.0</v>
      </c>
      <c r="R318" s="34" t="s">
        <v>49</v>
      </c>
      <c r="S318" s="35" t="n">
        <f>13080.95</f>
        <v>13080.95</v>
      </c>
      <c r="T318" s="32" t="n">
        <f>94765</f>
        <v>94765.0</v>
      </c>
      <c r="U318" s="32" t="n">
        <f>32040</f>
        <v>32040.0</v>
      </c>
      <c r="V318" s="32" t="n">
        <f>1239874625</f>
        <v>1.239874625E9</v>
      </c>
      <c r="W318" s="32" t="n">
        <f>417637500</f>
        <v>4.176375E8</v>
      </c>
      <c r="X318" s="36" t="n">
        <f>21</f>
        <v>21.0</v>
      </c>
    </row>
    <row r="319">
      <c r="A319" s="27" t="s">
        <v>42</v>
      </c>
      <c r="B319" s="27" t="s">
        <v>1003</v>
      </c>
      <c r="C319" s="27" t="s">
        <v>1004</v>
      </c>
      <c r="D319" s="27" t="s">
        <v>1005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21945</f>
        <v>21945.0</v>
      </c>
      <c r="L319" s="34" t="s">
        <v>48</v>
      </c>
      <c r="M319" s="33" t="n">
        <f>23430</f>
        <v>23430.0</v>
      </c>
      <c r="N319" s="34" t="s">
        <v>49</v>
      </c>
      <c r="O319" s="33" t="n">
        <f>21755</f>
        <v>21755.0</v>
      </c>
      <c r="P319" s="34" t="s">
        <v>48</v>
      </c>
      <c r="Q319" s="33" t="n">
        <f>23345</f>
        <v>23345.0</v>
      </c>
      <c r="R319" s="34" t="s">
        <v>49</v>
      </c>
      <c r="S319" s="35" t="n">
        <f>22580.95</f>
        <v>22580.95</v>
      </c>
      <c r="T319" s="32" t="n">
        <f>210844</f>
        <v>210844.0</v>
      </c>
      <c r="U319" s="32" t="n">
        <f>10089</f>
        <v>10089.0</v>
      </c>
      <c r="V319" s="32" t="n">
        <f>4755519135</f>
        <v>4.755519135E9</v>
      </c>
      <c r="W319" s="32" t="n">
        <f>231120335</f>
        <v>2.31120335E8</v>
      </c>
      <c r="X319" s="36" t="n">
        <f>21</f>
        <v>21.0</v>
      </c>
    </row>
    <row r="320">
      <c r="A320" s="27" t="s">
        <v>42</v>
      </c>
      <c r="B320" s="27" t="s">
        <v>1006</v>
      </c>
      <c r="C320" s="27" t="s">
        <v>1007</v>
      </c>
      <c r="D320" s="27" t="s">
        <v>1008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13550</f>
        <v>13550.0</v>
      </c>
      <c r="L320" s="34" t="s">
        <v>48</v>
      </c>
      <c r="M320" s="33" t="n">
        <f>14350</f>
        <v>14350.0</v>
      </c>
      <c r="N320" s="34" t="s">
        <v>49</v>
      </c>
      <c r="O320" s="33" t="n">
        <f>13450</f>
        <v>13450.0</v>
      </c>
      <c r="P320" s="34" t="s">
        <v>48</v>
      </c>
      <c r="Q320" s="33" t="n">
        <f>14320</f>
        <v>14320.0</v>
      </c>
      <c r="R320" s="34" t="s">
        <v>49</v>
      </c>
      <c r="S320" s="35" t="n">
        <f>13825.71</f>
        <v>13825.71</v>
      </c>
      <c r="T320" s="32" t="n">
        <f>118865</f>
        <v>118865.0</v>
      </c>
      <c r="U320" s="32" t="n">
        <f>21570</f>
        <v>21570.0</v>
      </c>
      <c r="V320" s="32" t="n">
        <f>1650283037</f>
        <v>1.650283037E9</v>
      </c>
      <c r="W320" s="32" t="n">
        <f>300573462</f>
        <v>3.00573462E8</v>
      </c>
      <c r="X320" s="36" t="n">
        <f>21</f>
        <v>21.0</v>
      </c>
    </row>
    <row r="321">
      <c r="A321" s="27" t="s">
        <v>42</v>
      </c>
      <c r="B321" s="27" t="s">
        <v>1009</v>
      </c>
      <c r="C321" s="27" t="s">
        <v>1010</v>
      </c>
      <c r="D321" s="27" t="s">
        <v>1011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390.7</f>
        <v>390.7</v>
      </c>
      <c r="L321" s="34" t="s">
        <v>48</v>
      </c>
      <c r="M321" s="33" t="n">
        <f>413.6</f>
        <v>413.6</v>
      </c>
      <c r="N321" s="34" t="s">
        <v>49</v>
      </c>
      <c r="O321" s="33" t="n">
        <f>388.1</f>
        <v>388.1</v>
      </c>
      <c r="P321" s="34" t="s">
        <v>48</v>
      </c>
      <c r="Q321" s="33" t="n">
        <f>412.2</f>
        <v>412.2</v>
      </c>
      <c r="R321" s="34" t="s">
        <v>49</v>
      </c>
      <c r="S321" s="35" t="n">
        <f>401</f>
        <v>401.0</v>
      </c>
      <c r="T321" s="32" t="n">
        <f>4079000</f>
        <v>4079000.0</v>
      </c>
      <c r="U321" s="32" t="n">
        <f>25490</f>
        <v>25490.0</v>
      </c>
      <c r="V321" s="32" t="n">
        <f>1638984897</f>
        <v>1.638984897E9</v>
      </c>
      <c r="W321" s="32" t="n">
        <f>10168166</f>
        <v>1.0168166E7</v>
      </c>
      <c r="X321" s="36" t="n">
        <f>21</f>
        <v>21.0</v>
      </c>
    </row>
    <row r="322">
      <c r="A322" s="27" t="s">
        <v>42</v>
      </c>
      <c r="B322" s="27" t="s">
        <v>1012</v>
      </c>
      <c r="C322" s="27" t="s">
        <v>1013</v>
      </c>
      <c r="D322" s="27" t="s">
        <v>1014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2538</f>
        <v>2538.0</v>
      </c>
      <c r="L322" s="34" t="s">
        <v>48</v>
      </c>
      <c r="M322" s="33" t="n">
        <f>2667</f>
        <v>2667.0</v>
      </c>
      <c r="N322" s="34" t="s">
        <v>49</v>
      </c>
      <c r="O322" s="33" t="n">
        <f>2525.5</f>
        <v>2525.5</v>
      </c>
      <c r="P322" s="34" t="s">
        <v>48</v>
      </c>
      <c r="Q322" s="33" t="n">
        <f>2667</f>
        <v>2667.0</v>
      </c>
      <c r="R322" s="34" t="s">
        <v>49</v>
      </c>
      <c r="S322" s="35" t="n">
        <f>2584.9</f>
        <v>2584.9</v>
      </c>
      <c r="T322" s="32" t="n">
        <f>1081300</f>
        <v>1081300.0</v>
      </c>
      <c r="U322" s="32" t="n">
        <f>740000</f>
        <v>740000.0</v>
      </c>
      <c r="V322" s="32" t="n">
        <f>2817983265</f>
        <v>2.817983265E9</v>
      </c>
      <c r="W322" s="32" t="n">
        <f>1930056900</f>
        <v>1.9300569E9</v>
      </c>
      <c r="X322" s="36" t="n">
        <f>21</f>
        <v>21.0</v>
      </c>
    </row>
    <row r="323">
      <c r="A323" s="27" t="s">
        <v>42</v>
      </c>
      <c r="B323" s="27" t="s">
        <v>1015</v>
      </c>
      <c r="C323" s="27" t="s">
        <v>1016</v>
      </c>
      <c r="D323" s="27" t="s">
        <v>1017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3947</f>
        <v>3947.0</v>
      </c>
      <c r="L323" s="34" t="s">
        <v>48</v>
      </c>
      <c r="M323" s="33" t="n">
        <f>4172</f>
        <v>4172.0</v>
      </c>
      <c r="N323" s="34" t="s">
        <v>49</v>
      </c>
      <c r="O323" s="33" t="n">
        <f>3907</f>
        <v>3907.0</v>
      </c>
      <c r="P323" s="34" t="s">
        <v>48</v>
      </c>
      <c r="Q323" s="33" t="n">
        <f>4159</f>
        <v>4159.0</v>
      </c>
      <c r="R323" s="34" t="s">
        <v>49</v>
      </c>
      <c r="S323" s="35" t="n">
        <f>4040.57</f>
        <v>4040.57</v>
      </c>
      <c r="T323" s="32" t="n">
        <f>21570</f>
        <v>21570.0</v>
      </c>
      <c r="U323" s="32" t="str">
        <f>"－"</f>
        <v>－</v>
      </c>
      <c r="V323" s="32" t="n">
        <f>87039660</f>
        <v>8.703966E7</v>
      </c>
      <c r="W323" s="32" t="str">
        <f>"－"</f>
        <v>－</v>
      </c>
      <c r="X323" s="36" t="n">
        <f>21</f>
        <v>21.0</v>
      </c>
    </row>
    <row r="324">
      <c r="A324" s="27" t="s">
        <v>42</v>
      </c>
      <c r="B324" s="27" t="s">
        <v>1018</v>
      </c>
      <c r="C324" s="27" t="s">
        <v>1019</v>
      </c>
      <c r="D324" s="27" t="s">
        <v>1020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3393</f>
        <v>3393.0</v>
      </c>
      <c r="L324" s="34" t="s">
        <v>48</v>
      </c>
      <c r="M324" s="33" t="n">
        <f>3498</f>
        <v>3498.0</v>
      </c>
      <c r="N324" s="34" t="s">
        <v>49</v>
      </c>
      <c r="O324" s="33" t="n">
        <f>3297</f>
        <v>3297.0</v>
      </c>
      <c r="P324" s="34" t="s">
        <v>64</v>
      </c>
      <c r="Q324" s="33" t="n">
        <f>3464</f>
        <v>3464.0</v>
      </c>
      <c r="R324" s="34" t="s">
        <v>49</v>
      </c>
      <c r="S324" s="35" t="n">
        <f>3358.95</f>
        <v>3358.95</v>
      </c>
      <c r="T324" s="32" t="n">
        <f>7809</f>
        <v>7809.0</v>
      </c>
      <c r="U324" s="32" t="str">
        <f>"－"</f>
        <v>－</v>
      </c>
      <c r="V324" s="32" t="n">
        <f>26080487</f>
        <v>2.6080487E7</v>
      </c>
      <c r="W324" s="32" t="str">
        <f>"－"</f>
        <v>－</v>
      </c>
      <c r="X324" s="36" t="n">
        <f>21</f>
        <v>21.0</v>
      </c>
    </row>
    <row r="325">
      <c r="A325" s="27" t="s">
        <v>42</v>
      </c>
      <c r="B325" s="27" t="s">
        <v>1021</v>
      </c>
      <c r="C325" s="27" t="s">
        <v>1022</v>
      </c>
      <c r="D325" s="27" t="s">
        <v>1023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1423</f>
        <v>1423.0</v>
      </c>
      <c r="L325" s="34" t="s">
        <v>48</v>
      </c>
      <c r="M325" s="33" t="n">
        <f>1495</f>
        <v>1495.0</v>
      </c>
      <c r="N325" s="34" t="s">
        <v>49</v>
      </c>
      <c r="O325" s="33" t="n">
        <f>1382</f>
        <v>1382.0</v>
      </c>
      <c r="P325" s="34" t="s">
        <v>207</v>
      </c>
      <c r="Q325" s="33" t="n">
        <f>1495</f>
        <v>1495.0</v>
      </c>
      <c r="R325" s="34" t="s">
        <v>49</v>
      </c>
      <c r="S325" s="35" t="n">
        <f>1414.95</f>
        <v>1414.95</v>
      </c>
      <c r="T325" s="32" t="n">
        <f>94945</f>
        <v>94945.0</v>
      </c>
      <c r="U325" s="32" t="n">
        <f>10</f>
        <v>10.0</v>
      </c>
      <c r="V325" s="32" t="n">
        <f>135967681</f>
        <v>1.35967681E8</v>
      </c>
      <c r="W325" s="32" t="n">
        <f>13919</f>
        <v>13919.0</v>
      </c>
      <c r="X325" s="36" t="n">
        <f>21</f>
        <v>21.0</v>
      </c>
    </row>
    <row r="326">
      <c r="A326" s="27" t="s">
        <v>42</v>
      </c>
      <c r="B326" s="27" t="s">
        <v>1024</v>
      </c>
      <c r="C326" s="27" t="s">
        <v>1025</v>
      </c>
      <c r="D326" s="27" t="s">
        <v>1026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2067</f>
        <v>2067.0</v>
      </c>
      <c r="L326" s="34" t="s">
        <v>48</v>
      </c>
      <c r="M326" s="33" t="n">
        <f>2178</f>
        <v>2178.0</v>
      </c>
      <c r="N326" s="34" t="s">
        <v>49</v>
      </c>
      <c r="O326" s="33" t="n">
        <f>2045</f>
        <v>2045.0</v>
      </c>
      <c r="P326" s="34" t="s">
        <v>304</v>
      </c>
      <c r="Q326" s="33" t="n">
        <f>2160</f>
        <v>2160.0</v>
      </c>
      <c r="R326" s="34" t="s">
        <v>49</v>
      </c>
      <c r="S326" s="35" t="n">
        <f>2090.1</f>
        <v>2090.1</v>
      </c>
      <c r="T326" s="32" t="n">
        <f>108183</f>
        <v>108183.0</v>
      </c>
      <c r="U326" s="32" t="n">
        <f>900</f>
        <v>900.0</v>
      </c>
      <c r="V326" s="32" t="n">
        <f>226623568</f>
        <v>2.26623568E8</v>
      </c>
      <c r="W326" s="32" t="n">
        <f>1904340</f>
        <v>1904340.0</v>
      </c>
      <c r="X326" s="36" t="n">
        <f>21</f>
        <v>21.0</v>
      </c>
    </row>
    <row r="327">
      <c r="A327" s="27" t="s">
        <v>42</v>
      </c>
      <c r="B327" s="27" t="s">
        <v>1027</v>
      </c>
      <c r="C327" s="27" t="s">
        <v>1028</v>
      </c>
      <c r="D327" s="27" t="s">
        <v>1029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1604</f>
        <v>1604.0</v>
      </c>
      <c r="L327" s="34" t="s">
        <v>48</v>
      </c>
      <c r="M327" s="33" t="n">
        <f>1651</f>
        <v>1651.0</v>
      </c>
      <c r="N327" s="34" t="s">
        <v>294</v>
      </c>
      <c r="O327" s="33" t="n">
        <f>1559</f>
        <v>1559.0</v>
      </c>
      <c r="P327" s="34" t="s">
        <v>151</v>
      </c>
      <c r="Q327" s="33" t="n">
        <f>1589</f>
        <v>1589.0</v>
      </c>
      <c r="R327" s="34" t="s">
        <v>49</v>
      </c>
      <c r="S327" s="35" t="n">
        <f>1604.57</f>
        <v>1604.57</v>
      </c>
      <c r="T327" s="32" t="n">
        <f>39052</f>
        <v>39052.0</v>
      </c>
      <c r="U327" s="32" t="str">
        <f>"－"</f>
        <v>－</v>
      </c>
      <c r="V327" s="32" t="n">
        <f>62160784</f>
        <v>6.2160784E7</v>
      </c>
      <c r="W327" s="32" t="str">
        <f>"－"</f>
        <v>－</v>
      </c>
      <c r="X327" s="36" t="n">
        <f>21</f>
        <v>21.0</v>
      </c>
    </row>
    <row r="328">
      <c r="A328" s="27" t="s">
        <v>42</v>
      </c>
      <c r="B328" s="27" t="s">
        <v>1030</v>
      </c>
      <c r="C328" s="27" t="s">
        <v>1031</v>
      </c>
      <c r="D328" s="27" t="s">
        <v>1032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4285</f>
        <v>4285.0</v>
      </c>
      <c r="L328" s="34" t="s">
        <v>48</v>
      </c>
      <c r="M328" s="33" t="n">
        <f>4729</f>
        <v>4729.0</v>
      </c>
      <c r="N328" s="34" t="s">
        <v>49</v>
      </c>
      <c r="O328" s="33" t="n">
        <f>4245</f>
        <v>4245.0</v>
      </c>
      <c r="P328" s="34" t="s">
        <v>48</v>
      </c>
      <c r="Q328" s="33" t="n">
        <f>4692</f>
        <v>4692.0</v>
      </c>
      <c r="R328" s="34" t="s">
        <v>49</v>
      </c>
      <c r="S328" s="35" t="n">
        <f>4458.33</f>
        <v>4458.33</v>
      </c>
      <c r="T328" s="32" t="n">
        <f>399715</f>
        <v>399715.0</v>
      </c>
      <c r="U328" s="32" t="n">
        <f>80640</f>
        <v>80640.0</v>
      </c>
      <c r="V328" s="32" t="n">
        <f>1813643684</f>
        <v>1.813643684E9</v>
      </c>
      <c r="W328" s="32" t="n">
        <f>374341580</f>
        <v>3.7434158E8</v>
      </c>
      <c r="X328" s="36" t="n">
        <f>21</f>
        <v>21.0</v>
      </c>
    </row>
    <row r="329">
      <c r="A329" s="27" t="s">
        <v>42</v>
      </c>
      <c r="B329" s="27" t="s">
        <v>1033</v>
      </c>
      <c r="C329" s="27" t="s">
        <v>1034</v>
      </c>
      <c r="D329" s="27" t="s">
        <v>1035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3358</f>
        <v>3358.0</v>
      </c>
      <c r="L329" s="34" t="s">
        <v>48</v>
      </c>
      <c r="M329" s="33" t="n">
        <f>3400</f>
        <v>3400.0</v>
      </c>
      <c r="N329" s="34" t="s">
        <v>48</v>
      </c>
      <c r="O329" s="33" t="n">
        <f>3234</f>
        <v>3234.0</v>
      </c>
      <c r="P329" s="34" t="s">
        <v>64</v>
      </c>
      <c r="Q329" s="33" t="n">
        <f>3348</f>
        <v>3348.0</v>
      </c>
      <c r="R329" s="34" t="s">
        <v>49</v>
      </c>
      <c r="S329" s="35" t="n">
        <f>3328.95</f>
        <v>3328.95</v>
      </c>
      <c r="T329" s="32" t="n">
        <f>460943</f>
        <v>460943.0</v>
      </c>
      <c r="U329" s="32" t="n">
        <f>312902</f>
        <v>312902.0</v>
      </c>
      <c r="V329" s="32" t="n">
        <f>1535806761</f>
        <v>1.535806761E9</v>
      </c>
      <c r="W329" s="32" t="n">
        <f>1041118554</f>
        <v>1.041118554E9</v>
      </c>
      <c r="X329" s="36" t="n">
        <f>21</f>
        <v>21.0</v>
      </c>
    </row>
    <row r="330">
      <c r="A330" s="27" t="s">
        <v>42</v>
      </c>
      <c r="B330" s="27" t="s">
        <v>1036</v>
      </c>
      <c r="C330" s="27" t="s">
        <v>1037</v>
      </c>
      <c r="D330" s="27" t="s">
        <v>1038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37160</f>
        <v>37160.0</v>
      </c>
      <c r="L330" s="34" t="s">
        <v>48</v>
      </c>
      <c r="M330" s="33" t="n">
        <f>38330</f>
        <v>38330.0</v>
      </c>
      <c r="N330" s="34" t="s">
        <v>49</v>
      </c>
      <c r="O330" s="33" t="n">
        <f>36880</f>
        <v>36880.0</v>
      </c>
      <c r="P330" s="34" t="s">
        <v>50</v>
      </c>
      <c r="Q330" s="33" t="n">
        <f>38330</f>
        <v>38330.0</v>
      </c>
      <c r="R330" s="34" t="s">
        <v>49</v>
      </c>
      <c r="S330" s="35" t="n">
        <f>37345.63</f>
        <v>37345.63</v>
      </c>
      <c r="T330" s="32" t="n">
        <f>48</f>
        <v>48.0</v>
      </c>
      <c r="U330" s="32" t="str">
        <f>"－"</f>
        <v>－</v>
      </c>
      <c r="V330" s="32" t="n">
        <f>1794630</f>
        <v>1794630.0</v>
      </c>
      <c r="W330" s="32" t="str">
        <f>"－"</f>
        <v>－</v>
      </c>
      <c r="X330" s="36" t="n">
        <f>16</f>
        <v>16.0</v>
      </c>
    </row>
    <row r="331">
      <c r="A331" s="27" t="s">
        <v>42</v>
      </c>
      <c r="B331" s="27" t="s">
        <v>1039</v>
      </c>
      <c r="C331" s="27" t="s">
        <v>1040</v>
      </c>
      <c r="D331" s="27" t="s">
        <v>1041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2848</f>
        <v>2848.0</v>
      </c>
      <c r="L331" s="34" t="s">
        <v>304</v>
      </c>
      <c r="M331" s="33" t="n">
        <f>2990</f>
        <v>2990.0</v>
      </c>
      <c r="N331" s="34" t="s">
        <v>49</v>
      </c>
      <c r="O331" s="33" t="n">
        <f>2845</f>
        <v>2845.0</v>
      </c>
      <c r="P331" s="34" t="s">
        <v>64</v>
      </c>
      <c r="Q331" s="33" t="n">
        <f>2983</f>
        <v>2983.0</v>
      </c>
      <c r="R331" s="34" t="s">
        <v>49</v>
      </c>
      <c r="S331" s="35" t="n">
        <f>2891.5</f>
        <v>2891.5</v>
      </c>
      <c r="T331" s="32" t="n">
        <f>1050</f>
        <v>1050.0</v>
      </c>
      <c r="U331" s="32" t="n">
        <f>1</f>
        <v>1.0</v>
      </c>
      <c r="V331" s="32" t="n">
        <f>3028803</f>
        <v>3028803.0</v>
      </c>
      <c r="W331" s="32" t="n">
        <f>2863</f>
        <v>2863.0</v>
      </c>
      <c r="X331" s="36" t="n">
        <f>10</f>
        <v>10.0</v>
      </c>
    </row>
    <row r="332">
      <c r="A332" s="27" t="s">
        <v>42</v>
      </c>
      <c r="B332" s="27" t="s">
        <v>1042</v>
      </c>
      <c r="C332" s="27" t="s">
        <v>1043</v>
      </c>
      <c r="D332" s="27" t="s">
        <v>1044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1623</f>
        <v>1623.0</v>
      </c>
      <c r="L332" s="34" t="s">
        <v>48</v>
      </c>
      <c r="M332" s="33" t="n">
        <f>2016</f>
        <v>2016.0</v>
      </c>
      <c r="N332" s="34" t="s">
        <v>49</v>
      </c>
      <c r="O332" s="33" t="n">
        <f>1597</f>
        <v>1597.0</v>
      </c>
      <c r="P332" s="34" t="s">
        <v>48</v>
      </c>
      <c r="Q332" s="33" t="n">
        <f>1962</f>
        <v>1962.0</v>
      </c>
      <c r="R332" s="34" t="s">
        <v>49</v>
      </c>
      <c r="S332" s="35" t="n">
        <f>1765.81</f>
        <v>1765.81</v>
      </c>
      <c r="T332" s="32" t="n">
        <f>17965889</f>
        <v>1.7965889E7</v>
      </c>
      <c r="U332" s="32" t="n">
        <f>1363013</f>
        <v>1363013.0</v>
      </c>
      <c r="V332" s="32" t="n">
        <f>32441047012</f>
        <v>3.2441047012E10</v>
      </c>
      <c r="W332" s="32" t="n">
        <f>2497665821</f>
        <v>2.497665821E9</v>
      </c>
      <c r="X332" s="36" t="n">
        <f>21</f>
        <v>21.0</v>
      </c>
    </row>
    <row r="333">
      <c r="A333" s="27" t="s">
        <v>42</v>
      </c>
      <c r="B333" s="27" t="s">
        <v>1045</v>
      </c>
      <c r="C333" s="27" t="s">
        <v>1046</v>
      </c>
      <c r="D333" s="27" t="s">
        <v>1047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2580</f>
        <v>2580.0</v>
      </c>
      <c r="L333" s="34" t="s">
        <v>48</v>
      </c>
      <c r="M333" s="33" t="n">
        <f>2709</f>
        <v>2709.0</v>
      </c>
      <c r="N333" s="34" t="s">
        <v>49</v>
      </c>
      <c r="O333" s="33" t="n">
        <f>2535</f>
        <v>2535.0</v>
      </c>
      <c r="P333" s="34" t="s">
        <v>220</v>
      </c>
      <c r="Q333" s="33" t="n">
        <f>2686</f>
        <v>2686.0</v>
      </c>
      <c r="R333" s="34" t="s">
        <v>49</v>
      </c>
      <c r="S333" s="35" t="n">
        <f>2620.43</f>
        <v>2620.43</v>
      </c>
      <c r="T333" s="32" t="n">
        <f>15235</f>
        <v>15235.0</v>
      </c>
      <c r="U333" s="32" t="str">
        <f>"－"</f>
        <v>－</v>
      </c>
      <c r="V333" s="32" t="n">
        <f>39834174</f>
        <v>3.9834174E7</v>
      </c>
      <c r="W333" s="32" t="str">
        <f>"－"</f>
        <v>－</v>
      </c>
      <c r="X333" s="36" t="n">
        <f>21</f>
        <v>21.0</v>
      </c>
    </row>
    <row r="334">
      <c r="A334" s="27" t="s">
        <v>42</v>
      </c>
      <c r="B334" s="27" t="s">
        <v>1048</v>
      </c>
      <c r="C334" s="27" t="s">
        <v>1049</v>
      </c>
      <c r="D334" s="27" t="s">
        <v>1050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1657</f>
        <v>1657.0</v>
      </c>
      <c r="L334" s="34" t="s">
        <v>48</v>
      </c>
      <c r="M334" s="33" t="n">
        <f>1707</f>
        <v>1707.0</v>
      </c>
      <c r="N334" s="34" t="s">
        <v>49</v>
      </c>
      <c r="O334" s="33" t="n">
        <f>1618</f>
        <v>1618.0</v>
      </c>
      <c r="P334" s="34" t="s">
        <v>64</v>
      </c>
      <c r="Q334" s="33" t="n">
        <f>1667</f>
        <v>1667.0</v>
      </c>
      <c r="R334" s="34" t="s">
        <v>49</v>
      </c>
      <c r="S334" s="35" t="n">
        <f>1643.52</f>
        <v>1643.52</v>
      </c>
      <c r="T334" s="32" t="n">
        <f>42113</f>
        <v>42113.0</v>
      </c>
      <c r="U334" s="32" t="str">
        <f>"－"</f>
        <v>－</v>
      </c>
      <c r="V334" s="32" t="n">
        <f>70396436</f>
        <v>7.0396436E7</v>
      </c>
      <c r="W334" s="32" t="str">
        <f>"－"</f>
        <v>－</v>
      </c>
      <c r="X334" s="36" t="n">
        <f>21</f>
        <v>21.0</v>
      </c>
    </row>
    <row r="335">
      <c r="A335" s="27" t="s">
        <v>42</v>
      </c>
      <c r="B335" s="27" t="s">
        <v>1051</v>
      </c>
      <c r="C335" s="27" t="s">
        <v>1052</v>
      </c>
      <c r="D335" s="27" t="s">
        <v>1053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5342</f>
        <v>5342.0</v>
      </c>
      <c r="L335" s="34" t="s">
        <v>69</v>
      </c>
      <c r="M335" s="33" t="n">
        <f>5505</f>
        <v>5505.0</v>
      </c>
      <c r="N335" s="34" t="s">
        <v>102</v>
      </c>
      <c r="O335" s="33" t="n">
        <f>5328</f>
        <v>5328.0</v>
      </c>
      <c r="P335" s="34" t="s">
        <v>152</v>
      </c>
      <c r="Q335" s="33" t="n">
        <f>5445</f>
        <v>5445.0</v>
      </c>
      <c r="R335" s="34" t="s">
        <v>151</v>
      </c>
      <c r="S335" s="35" t="n">
        <f>5381.2</f>
        <v>5381.2</v>
      </c>
      <c r="T335" s="32" t="n">
        <f>231130</f>
        <v>231130.0</v>
      </c>
      <c r="U335" s="32" t="n">
        <f>230020</f>
        <v>230020.0</v>
      </c>
      <c r="V335" s="32" t="n">
        <f>1236310400</f>
        <v>1.2363104E9</v>
      </c>
      <c r="W335" s="32" t="n">
        <f>1230320500</f>
        <v>1.2303205E9</v>
      </c>
      <c r="X335" s="36" t="n">
        <f>15</f>
        <v>15.0</v>
      </c>
    </row>
    <row r="336">
      <c r="A336" s="27" t="s">
        <v>42</v>
      </c>
      <c r="B336" s="27" t="s">
        <v>1054</v>
      </c>
      <c r="C336" s="27" t="s">
        <v>1055</v>
      </c>
      <c r="D336" s="27" t="s">
        <v>1056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3559</f>
        <v>3559.0</v>
      </c>
      <c r="L336" s="34" t="s">
        <v>48</v>
      </c>
      <c r="M336" s="33" t="n">
        <f>3568</f>
        <v>3568.0</v>
      </c>
      <c r="N336" s="34" t="s">
        <v>151</v>
      </c>
      <c r="O336" s="33" t="n">
        <f>3497</f>
        <v>3497.0</v>
      </c>
      <c r="P336" s="34" t="s">
        <v>202</v>
      </c>
      <c r="Q336" s="33" t="n">
        <f>3556</f>
        <v>3556.0</v>
      </c>
      <c r="R336" s="34" t="s">
        <v>49</v>
      </c>
      <c r="S336" s="35" t="n">
        <f>3537.33</f>
        <v>3537.33</v>
      </c>
      <c r="T336" s="32" t="n">
        <f>33970</f>
        <v>33970.0</v>
      </c>
      <c r="U336" s="32" t="n">
        <f>17030</f>
        <v>17030.0</v>
      </c>
      <c r="V336" s="32" t="n">
        <f>119958266</f>
        <v>1.19958266E8</v>
      </c>
      <c r="W336" s="32" t="n">
        <f>60011276</f>
        <v>6.0011276E7</v>
      </c>
      <c r="X336" s="36" t="n">
        <f>18</f>
        <v>18.0</v>
      </c>
    </row>
    <row r="337">
      <c r="A337" s="27" t="s">
        <v>42</v>
      </c>
      <c r="B337" s="27" t="s">
        <v>1057</v>
      </c>
      <c r="C337" s="27" t="s">
        <v>1058</v>
      </c>
      <c r="D337" s="27" t="s">
        <v>1059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598.4</f>
        <v>598.4</v>
      </c>
      <c r="L337" s="34" t="s">
        <v>69</v>
      </c>
      <c r="M337" s="33" t="n">
        <f>610</f>
        <v>610.0</v>
      </c>
      <c r="N337" s="34" t="s">
        <v>151</v>
      </c>
      <c r="O337" s="33" t="n">
        <f>594.5</f>
        <v>594.5</v>
      </c>
      <c r="P337" s="34" t="s">
        <v>269</v>
      </c>
      <c r="Q337" s="33" t="n">
        <f>607.5</f>
        <v>607.5</v>
      </c>
      <c r="R337" s="34" t="s">
        <v>49</v>
      </c>
      <c r="S337" s="35" t="n">
        <f>602.48</f>
        <v>602.48</v>
      </c>
      <c r="T337" s="32" t="n">
        <f>2140</f>
        <v>2140.0</v>
      </c>
      <c r="U337" s="32" t="n">
        <f>20</f>
        <v>20.0</v>
      </c>
      <c r="V337" s="32" t="n">
        <f>1290221</f>
        <v>1290221.0</v>
      </c>
      <c r="W337" s="32" t="n">
        <f>12049</f>
        <v>12049.0</v>
      </c>
      <c r="X337" s="36" t="n">
        <f>16</f>
        <v>16.0</v>
      </c>
    </row>
    <row r="338">
      <c r="A338" s="27" t="s">
        <v>42</v>
      </c>
      <c r="B338" s="27" t="s">
        <v>1060</v>
      </c>
      <c r="C338" s="27" t="s">
        <v>1061</v>
      </c>
      <c r="D338" s="27" t="s">
        <v>1062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8710</f>
        <v>8710.0</v>
      </c>
      <c r="L338" s="34" t="s">
        <v>48</v>
      </c>
      <c r="M338" s="33" t="n">
        <f>9073</f>
        <v>9073.0</v>
      </c>
      <c r="N338" s="34" t="s">
        <v>60</v>
      </c>
      <c r="O338" s="33" t="n">
        <f>8407</f>
        <v>8407.0</v>
      </c>
      <c r="P338" s="34" t="s">
        <v>269</v>
      </c>
      <c r="Q338" s="33" t="n">
        <f>8934</f>
        <v>8934.0</v>
      </c>
      <c r="R338" s="34" t="s">
        <v>49</v>
      </c>
      <c r="S338" s="35" t="n">
        <f>8670.57</f>
        <v>8670.57</v>
      </c>
      <c r="T338" s="32" t="n">
        <f>15400</f>
        <v>15400.0</v>
      </c>
      <c r="U338" s="32" t="str">
        <f>"－"</f>
        <v>－</v>
      </c>
      <c r="V338" s="32" t="n">
        <f>132253619</f>
        <v>1.32253619E8</v>
      </c>
      <c r="W338" s="32" t="str">
        <f>"－"</f>
        <v>－</v>
      </c>
      <c r="X338" s="36" t="n">
        <f>21</f>
        <v>21.0</v>
      </c>
    </row>
    <row r="339">
      <c r="A339" s="27" t="s">
        <v>42</v>
      </c>
      <c r="B339" s="27" t="s">
        <v>1063</v>
      </c>
      <c r="C339" s="27" t="s">
        <v>1064</v>
      </c>
      <c r="D339" s="27" t="s">
        <v>1065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878</f>
        <v>878.0</v>
      </c>
      <c r="L339" s="34" t="s">
        <v>48</v>
      </c>
      <c r="M339" s="33" t="n">
        <f>1080</f>
        <v>1080.0</v>
      </c>
      <c r="N339" s="34" t="s">
        <v>49</v>
      </c>
      <c r="O339" s="33" t="n">
        <f>859</f>
        <v>859.0</v>
      </c>
      <c r="P339" s="34" t="s">
        <v>69</v>
      </c>
      <c r="Q339" s="33" t="n">
        <f>1056</f>
        <v>1056.0</v>
      </c>
      <c r="R339" s="34" t="s">
        <v>49</v>
      </c>
      <c r="S339" s="35" t="n">
        <f>955</f>
        <v>955.0</v>
      </c>
      <c r="T339" s="32" t="n">
        <f>822315</f>
        <v>822315.0</v>
      </c>
      <c r="U339" s="32" t="str">
        <f>"－"</f>
        <v>－</v>
      </c>
      <c r="V339" s="32" t="n">
        <f>796021730</f>
        <v>7.9602173E8</v>
      </c>
      <c r="W339" s="32" t="str">
        <f>"－"</f>
        <v>－</v>
      </c>
      <c r="X339" s="36" t="n">
        <f>21</f>
        <v>21.0</v>
      </c>
    </row>
    <row r="340">
      <c r="A340" s="27" t="s">
        <v>42</v>
      </c>
      <c r="B340" s="27" t="s">
        <v>1066</v>
      </c>
      <c r="C340" s="27" t="s">
        <v>1067</v>
      </c>
      <c r="D340" s="27" t="s">
        <v>1068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3092</f>
        <v>3092.0</v>
      </c>
      <c r="L340" s="34" t="s">
        <v>48</v>
      </c>
      <c r="M340" s="33" t="n">
        <f>3164</f>
        <v>3164.0</v>
      </c>
      <c r="N340" s="34" t="s">
        <v>304</v>
      </c>
      <c r="O340" s="33" t="n">
        <f>3018</f>
        <v>3018.0</v>
      </c>
      <c r="P340" s="34" t="s">
        <v>50</v>
      </c>
      <c r="Q340" s="33" t="n">
        <f>3095</f>
        <v>3095.0</v>
      </c>
      <c r="R340" s="34" t="s">
        <v>49</v>
      </c>
      <c r="S340" s="35" t="n">
        <f>3110.81</f>
        <v>3110.81</v>
      </c>
      <c r="T340" s="32" t="n">
        <f>33988</f>
        <v>33988.0</v>
      </c>
      <c r="U340" s="32" t="str">
        <f>"－"</f>
        <v>－</v>
      </c>
      <c r="V340" s="32" t="n">
        <f>105550576</f>
        <v>1.05550576E8</v>
      </c>
      <c r="W340" s="32" t="str">
        <f>"－"</f>
        <v>－</v>
      </c>
      <c r="X340" s="36" t="n">
        <f>21</f>
        <v>21.0</v>
      </c>
    </row>
    <row r="341">
      <c r="A341" s="27" t="s">
        <v>42</v>
      </c>
      <c r="B341" s="27" t="s">
        <v>1069</v>
      </c>
      <c r="C341" s="27" t="s">
        <v>1070</v>
      </c>
      <c r="D341" s="27" t="s">
        <v>1071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2518</f>
        <v>2518.0</v>
      </c>
      <c r="L341" s="34" t="s">
        <v>48</v>
      </c>
      <c r="M341" s="33" t="n">
        <f>2644</f>
        <v>2644.0</v>
      </c>
      <c r="N341" s="34" t="s">
        <v>49</v>
      </c>
      <c r="O341" s="33" t="n">
        <f>2494</f>
        <v>2494.0</v>
      </c>
      <c r="P341" s="34" t="s">
        <v>152</v>
      </c>
      <c r="Q341" s="33" t="n">
        <f>2644</f>
        <v>2644.0</v>
      </c>
      <c r="R341" s="34" t="s">
        <v>49</v>
      </c>
      <c r="S341" s="35" t="n">
        <f>2563.71</f>
        <v>2563.71</v>
      </c>
      <c r="T341" s="32" t="n">
        <f>261949</f>
        <v>261949.0</v>
      </c>
      <c r="U341" s="32" t="n">
        <f>3</f>
        <v>3.0</v>
      </c>
      <c r="V341" s="32" t="n">
        <f>672611375</f>
        <v>6.72611375E8</v>
      </c>
      <c r="W341" s="32" t="n">
        <f>7716</f>
        <v>7716.0</v>
      </c>
      <c r="X341" s="36" t="n">
        <f>21</f>
        <v>21.0</v>
      </c>
    </row>
    <row r="342">
      <c r="A342" s="27" t="s">
        <v>42</v>
      </c>
      <c r="B342" s="27" t="s">
        <v>1072</v>
      </c>
      <c r="C342" s="27" t="s">
        <v>1073</v>
      </c>
      <c r="D342" s="27" t="s">
        <v>1074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7980</f>
        <v>7980.0</v>
      </c>
      <c r="L342" s="34" t="s">
        <v>48</v>
      </c>
      <c r="M342" s="33" t="n">
        <f>8203</f>
        <v>8203.0</v>
      </c>
      <c r="N342" s="34" t="s">
        <v>64</v>
      </c>
      <c r="O342" s="33" t="n">
        <f>7908</f>
        <v>7908.0</v>
      </c>
      <c r="P342" s="34" t="s">
        <v>69</v>
      </c>
      <c r="Q342" s="33" t="n">
        <f>8087</f>
        <v>8087.0</v>
      </c>
      <c r="R342" s="34" t="s">
        <v>49</v>
      </c>
      <c r="S342" s="35" t="n">
        <f>8048.89</f>
        <v>8048.89</v>
      </c>
      <c r="T342" s="32" t="n">
        <f>417759</f>
        <v>417759.0</v>
      </c>
      <c r="U342" s="32" t="n">
        <f>417000</f>
        <v>417000.0</v>
      </c>
      <c r="V342" s="32" t="n">
        <f>3386577646</f>
        <v>3.386577646E9</v>
      </c>
      <c r="W342" s="32" t="n">
        <f>3380506850</f>
        <v>3.38050685E9</v>
      </c>
      <c r="X342" s="36" t="n">
        <f>19</f>
        <v>19.0</v>
      </c>
    </row>
    <row r="343">
      <c r="A343" s="27" t="s">
        <v>42</v>
      </c>
      <c r="B343" s="27" t="s">
        <v>1075</v>
      </c>
      <c r="C343" s="27" t="s">
        <v>1076</v>
      </c>
      <c r="D343" s="27" t="s">
        <v>1077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5274</f>
        <v>5274.0</v>
      </c>
      <c r="L343" s="34" t="s">
        <v>48</v>
      </c>
      <c r="M343" s="33" t="n">
        <f>5330</f>
        <v>5330.0</v>
      </c>
      <c r="N343" s="34" t="s">
        <v>151</v>
      </c>
      <c r="O343" s="33" t="n">
        <f>5230</f>
        <v>5230.0</v>
      </c>
      <c r="P343" s="34" t="s">
        <v>202</v>
      </c>
      <c r="Q343" s="33" t="n">
        <f>5310</f>
        <v>5310.0</v>
      </c>
      <c r="R343" s="34" t="s">
        <v>49</v>
      </c>
      <c r="S343" s="35" t="n">
        <f>5273.72</f>
        <v>5273.72</v>
      </c>
      <c r="T343" s="32" t="n">
        <f>908</f>
        <v>908.0</v>
      </c>
      <c r="U343" s="32" t="str">
        <f>"－"</f>
        <v>－</v>
      </c>
      <c r="V343" s="32" t="n">
        <f>4791124</f>
        <v>4791124.0</v>
      </c>
      <c r="W343" s="32" t="str">
        <f>"－"</f>
        <v>－</v>
      </c>
      <c r="X343" s="36" t="n">
        <f>18</f>
        <v>18.0</v>
      </c>
    </row>
    <row r="344">
      <c r="A344" s="27" t="s">
        <v>42</v>
      </c>
      <c r="B344" s="27" t="s">
        <v>1078</v>
      </c>
      <c r="C344" s="27" t="s">
        <v>1079</v>
      </c>
      <c r="D344" s="27" t="s">
        <v>1080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945</f>
        <v>945.0</v>
      </c>
      <c r="L344" s="34" t="s">
        <v>48</v>
      </c>
      <c r="M344" s="33" t="n">
        <f>1018</f>
        <v>1018.0</v>
      </c>
      <c r="N344" s="34" t="s">
        <v>49</v>
      </c>
      <c r="O344" s="33" t="n">
        <f>931</f>
        <v>931.0</v>
      </c>
      <c r="P344" s="34" t="s">
        <v>48</v>
      </c>
      <c r="Q344" s="33" t="n">
        <f>1011</f>
        <v>1011.0</v>
      </c>
      <c r="R344" s="34" t="s">
        <v>49</v>
      </c>
      <c r="S344" s="35" t="n">
        <f>983.81</f>
        <v>983.81</v>
      </c>
      <c r="T344" s="32" t="n">
        <f>501165</f>
        <v>501165.0</v>
      </c>
      <c r="U344" s="32" t="str">
        <f>"－"</f>
        <v>－</v>
      </c>
      <c r="V344" s="32" t="n">
        <f>490460429</f>
        <v>4.90460429E8</v>
      </c>
      <c r="W344" s="32" t="str">
        <f>"－"</f>
        <v>－</v>
      </c>
      <c r="X344" s="36" t="n">
        <f>21</f>
        <v>21.0</v>
      </c>
    </row>
    <row r="345">
      <c r="A345" s="27" t="s">
        <v>42</v>
      </c>
      <c r="B345" s="27" t="s">
        <v>1081</v>
      </c>
      <c r="C345" s="27" t="s">
        <v>1082</v>
      </c>
      <c r="D345" s="27" t="s">
        <v>1083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1765</f>
        <v>1765.0</v>
      </c>
      <c r="L345" s="34" t="s">
        <v>48</v>
      </c>
      <c r="M345" s="33" t="n">
        <f>1891</f>
        <v>1891.0</v>
      </c>
      <c r="N345" s="34" t="s">
        <v>49</v>
      </c>
      <c r="O345" s="33" t="n">
        <f>1750</f>
        <v>1750.0</v>
      </c>
      <c r="P345" s="34" t="s">
        <v>48</v>
      </c>
      <c r="Q345" s="33" t="n">
        <f>1885</f>
        <v>1885.0</v>
      </c>
      <c r="R345" s="34" t="s">
        <v>49</v>
      </c>
      <c r="S345" s="35" t="n">
        <f>1820.67</f>
        <v>1820.67</v>
      </c>
      <c r="T345" s="32" t="n">
        <f>3082364</f>
        <v>3082364.0</v>
      </c>
      <c r="U345" s="32" t="n">
        <f>170942</f>
        <v>170942.0</v>
      </c>
      <c r="V345" s="32" t="n">
        <f>5586852077</f>
        <v>5.586852077E9</v>
      </c>
      <c r="W345" s="32" t="n">
        <f>306538884</f>
        <v>3.06538884E8</v>
      </c>
      <c r="X345" s="36" t="n">
        <f>21</f>
        <v>21.0</v>
      </c>
    </row>
    <row r="346">
      <c r="A346" s="27" t="s">
        <v>42</v>
      </c>
      <c r="B346" s="27" t="s">
        <v>1084</v>
      </c>
      <c r="C346" s="27" t="s">
        <v>1085</v>
      </c>
      <c r="D346" s="27" t="s">
        <v>1086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1269</f>
        <v>1269.0</v>
      </c>
      <c r="L346" s="34" t="s">
        <v>48</v>
      </c>
      <c r="M346" s="33" t="n">
        <f>1351</f>
        <v>1351.0</v>
      </c>
      <c r="N346" s="34" t="s">
        <v>49</v>
      </c>
      <c r="O346" s="33" t="n">
        <f>1251</f>
        <v>1251.0</v>
      </c>
      <c r="P346" s="34" t="s">
        <v>48</v>
      </c>
      <c r="Q346" s="33" t="n">
        <f>1350</f>
        <v>1350.0</v>
      </c>
      <c r="R346" s="34" t="s">
        <v>49</v>
      </c>
      <c r="S346" s="35" t="n">
        <f>1300.24</f>
        <v>1300.24</v>
      </c>
      <c r="T346" s="32" t="n">
        <f>2887909</f>
        <v>2887909.0</v>
      </c>
      <c r="U346" s="32" t="n">
        <f>947882</f>
        <v>947882.0</v>
      </c>
      <c r="V346" s="32" t="n">
        <f>3743576971</f>
        <v>3.743576971E9</v>
      </c>
      <c r="W346" s="32" t="n">
        <f>1217433078</f>
        <v>1.217433078E9</v>
      </c>
      <c r="X346" s="36" t="n">
        <f>21</f>
        <v>21.0</v>
      </c>
    </row>
    <row r="347">
      <c r="A347" s="27" t="s">
        <v>42</v>
      </c>
      <c r="B347" s="27" t="s">
        <v>1087</v>
      </c>
      <c r="C347" s="27" t="s">
        <v>1088</v>
      </c>
      <c r="D347" s="27" t="s">
        <v>1089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16755</f>
        <v>16755.0</v>
      </c>
      <c r="L347" s="34" t="s">
        <v>48</v>
      </c>
      <c r="M347" s="33" t="n">
        <f>16840</f>
        <v>16840.0</v>
      </c>
      <c r="N347" s="34" t="s">
        <v>48</v>
      </c>
      <c r="O347" s="33" t="n">
        <f>15740</f>
        <v>15740.0</v>
      </c>
      <c r="P347" s="34" t="s">
        <v>49</v>
      </c>
      <c r="Q347" s="33" t="n">
        <f>15750</f>
        <v>15750.0</v>
      </c>
      <c r="R347" s="34" t="s">
        <v>49</v>
      </c>
      <c r="S347" s="35" t="n">
        <f>16333.81</f>
        <v>16333.81</v>
      </c>
      <c r="T347" s="32" t="n">
        <f>136115</f>
        <v>136115.0</v>
      </c>
      <c r="U347" s="32" t="n">
        <f>7</f>
        <v>7.0</v>
      </c>
      <c r="V347" s="32" t="n">
        <f>2233632920</f>
        <v>2.23363292E9</v>
      </c>
      <c r="W347" s="32" t="n">
        <f>114630</f>
        <v>114630.0</v>
      </c>
      <c r="X347" s="36" t="n">
        <f>21</f>
        <v>21.0</v>
      </c>
    </row>
    <row r="348">
      <c r="A348" s="27" t="s">
        <v>42</v>
      </c>
      <c r="B348" s="27" t="s">
        <v>1090</v>
      </c>
      <c r="C348" s="27" t="s">
        <v>1091</v>
      </c>
      <c r="D348" s="27" t="s">
        <v>1092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4019</f>
        <v>4019.0</v>
      </c>
      <c r="L348" s="34" t="s">
        <v>48</v>
      </c>
      <c r="M348" s="33" t="n">
        <f>4080</f>
        <v>4080.0</v>
      </c>
      <c r="N348" s="34" t="s">
        <v>151</v>
      </c>
      <c r="O348" s="33" t="n">
        <f>4002</f>
        <v>4002.0</v>
      </c>
      <c r="P348" s="34" t="s">
        <v>69</v>
      </c>
      <c r="Q348" s="33" t="n">
        <f>4051</f>
        <v>4051.0</v>
      </c>
      <c r="R348" s="34" t="s">
        <v>49</v>
      </c>
      <c r="S348" s="35" t="n">
        <f>4031.44</f>
        <v>4031.44</v>
      </c>
      <c r="T348" s="32" t="n">
        <f>566801</f>
        <v>566801.0</v>
      </c>
      <c r="U348" s="32" t="n">
        <f>546360</f>
        <v>546360.0</v>
      </c>
      <c r="V348" s="32" t="n">
        <f>2290323654</f>
        <v>2.290323654E9</v>
      </c>
      <c r="W348" s="32" t="n">
        <f>2208162440</f>
        <v>2.20816244E9</v>
      </c>
      <c r="X348" s="36" t="n">
        <f>16</f>
        <v>16.0</v>
      </c>
    </row>
    <row r="349">
      <c r="A349" s="27" t="s">
        <v>42</v>
      </c>
      <c r="B349" s="27" t="s">
        <v>1093</v>
      </c>
      <c r="C349" s="27" t="s">
        <v>1094</v>
      </c>
      <c r="D349" s="27" t="s">
        <v>1095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4878</f>
        <v>4878.0</v>
      </c>
      <c r="L349" s="34" t="s">
        <v>48</v>
      </c>
      <c r="M349" s="33" t="n">
        <f>5047</f>
        <v>5047.0</v>
      </c>
      <c r="N349" s="34" t="s">
        <v>151</v>
      </c>
      <c r="O349" s="33" t="n">
        <f>4844</f>
        <v>4844.0</v>
      </c>
      <c r="P349" s="34" t="s">
        <v>69</v>
      </c>
      <c r="Q349" s="33" t="n">
        <f>4999</f>
        <v>4999.0</v>
      </c>
      <c r="R349" s="34" t="s">
        <v>49</v>
      </c>
      <c r="S349" s="35" t="n">
        <f>4953.24</f>
        <v>4953.24</v>
      </c>
      <c r="T349" s="32" t="n">
        <f>38207</f>
        <v>38207.0</v>
      </c>
      <c r="U349" s="32" t="str">
        <f>"－"</f>
        <v>－</v>
      </c>
      <c r="V349" s="32" t="n">
        <f>188845813</f>
        <v>1.88845813E8</v>
      </c>
      <c r="W349" s="32" t="str">
        <f>"－"</f>
        <v>－</v>
      </c>
      <c r="X349" s="36" t="n">
        <f>21</f>
        <v>21.0</v>
      </c>
    </row>
    <row r="350">
      <c r="A350" s="27" t="s">
        <v>42</v>
      </c>
      <c r="B350" s="27" t="s">
        <v>1096</v>
      </c>
      <c r="C350" s="27" t="s">
        <v>1097</v>
      </c>
      <c r="D350" s="27" t="s">
        <v>1098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2670</f>
        <v>2670.0</v>
      </c>
      <c r="L350" s="34" t="s">
        <v>48</v>
      </c>
      <c r="M350" s="33" t="n">
        <f>2829</f>
        <v>2829.0</v>
      </c>
      <c r="N350" s="34" t="s">
        <v>49</v>
      </c>
      <c r="O350" s="33" t="n">
        <f>2645</f>
        <v>2645.0</v>
      </c>
      <c r="P350" s="34" t="s">
        <v>48</v>
      </c>
      <c r="Q350" s="33" t="n">
        <f>2828</f>
        <v>2828.0</v>
      </c>
      <c r="R350" s="34" t="s">
        <v>49</v>
      </c>
      <c r="S350" s="35" t="n">
        <f>2726.67</f>
        <v>2726.67</v>
      </c>
      <c r="T350" s="32" t="n">
        <f>2331140</f>
        <v>2331140.0</v>
      </c>
      <c r="U350" s="32" t="n">
        <f>1050090</f>
        <v>1050090.0</v>
      </c>
      <c r="V350" s="32" t="n">
        <f>6453638060</f>
        <v>6.45363806E9</v>
      </c>
      <c r="W350" s="32" t="n">
        <f>2969010805</f>
        <v>2.969010805E9</v>
      </c>
      <c r="X350" s="36" t="n">
        <f>21</f>
        <v>21.0</v>
      </c>
    </row>
    <row r="351">
      <c r="A351" s="27" t="s">
        <v>42</v>
      </c>
      <c r="B351" s="27" t="s">
        <v>1099</v>
      </c>
      <c r="C351" s="27" t="s">
        <v>1100</v>
      </c>
      <c r="D351" s="27" t="s">
        <v>1101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2118</f>
        <v>2118.0</v>
      </c>
      <c r="L351" s="34" t="s">
        <v>48</v>
      </c>
      <c r="M351" s="33" t="n">
        <f>2216</f>
        <v>2216.0</v>
      </c>
      <c r="N351" s="34" t="s">
        <v>49</v>
      </c>
      <c r="O351" s="33" t="n">
        <f>2112.5</f>
        <v>2112.5</v>
      </c>
      <c r="P351" s="34" t="s">
        <v>64</v>
      </c>
      <c r="Q351" s="33" t="n">
        <f>2214.5</f>
        <v>2214.5</v>
      </c>
      <c r="R351" s="34" t="s">
        <v>49</v>
      </c>
      <c r="S351" s="35" t="n">
        <f>2142.95</f>
        <v>2142.95</v>
      </c>
      <c r="T351" s="32" t="n">
        <f>2138240</f>
        <v>2138240.0</v>
      </c>
      <c r="U351" s="32" t="n">
        <f>1269000</f>
        <v>1269000.0</v>
      </c>
      <c r="V351" s="32" t="n">
        <f>4612374799</f>
        <v>4.612374799E9</v>
      </c>
      <c r="W351" s="32" t="n">
        <f>2736944739</f>
        <v>2.736944739E9</v>
      </c>
      <c r="X351" s="36" t="n">
        <f>21</f>
        <v>21.0</v>
      </c>
    </row>
    <row r="352">
      <c r="A352" s="27" t="s">
        <v>42</v>
      </c>
      <c r="B352" s="27" t="s">
        <v>1102</v>
      </c>
      <c r="C352" s="27" t="s">
        <v>1103</v>
      </c>
      <c r="D352" s="27" t="s">
        <v>1104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1968</f>
        <v>1968.0</v>
      </c>
      <c r="L352" s="34" t="s">
        <v>48</v>
      </c>
      <c r="M352" s="33" t="n">
        <f>2057</f>
        <v>2057.0</v>
      </c>
      <c r="N352" s="34" t="s">
        <v>49</v>
      </c>
      <c r="O352" s="33" t="n">
        <f>1919</f>
        <v>1919.0</v>
      </c>
      <c r="P352" s="34" t="s">
        <v>152</v>
      </c>
      <c r="Q352" s="33" t="n">
        <f>2057</f>
        <v>2057.0</v>
      </c>
      <c r="R352" s="34" t="s">
        <v>49</v>
      </c>
      <c r="S352" s="35" t="n">
        <f>1970.62</f>
        <v>1970.62</v>
      </c>
      <c r="T352" s="32" t="n">
        <f>3374</f>
        <v>3374.0</v>
      </c>
      <c r="U352" s="32" t="str">
        <f>"－"</f>
        <v>－</v>
      </c>
      <c r="V352" s="32" t="n">
        <f>6612084</f>
        <v>6612084.0</v>
      </c>
      <c r="W352" s="32" t="str">
        <f>"－"</f>
        <v>－</v>
      </c>
      <c r="X352" s="36" t="n">
        <f>21</f>
        <v>21.0</v>
      </c>
    </row>
    <row r="353">
      <c r="A353" s="27" t="s">
        <v>42</v>
      </c>
      <c r="B353" s="27" t="s">
        <v>1105</v>
      </c>
      <c r="C353" s="27" t="s">
        <v>1106</v>
      </c>
      <c r="D353" s="27" t="s">
        <v>1107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2120</f>
        <v>2120.0</v>
      </c>
      <c r="L353" s="34" t="s">
        <v>48</v>
      </c>
      <c r="M353" s="33" t="n">
        <f>2197</f>
        <v>2197.0</v>
      </c>
      <c r="N353" s="34" t="s">
        <v>49</v>
      </c>
      <c r="O353" s="33" t="n">
        <f>2105</f>
        <v>2105.0</v>
      </c>
      <c r="P353" s="34" t="s">
        <v>64</v>
      </c>
      <c r="Q353" s="33" t="n">
        <f>2192</f>
        <v>2192.0</v>
      </c>
      <c r="R353" s="34" t="s">
        <v>49</v>
      </c>
      <c r="S353" s="35" t="n">
        <f>2124.75</f>
        <v>2124.75</v>
      </c>
      <c r="T353" s="32" t="n">
        <f>3918</f>
        <v>3918.0</v>
      </c>
      <c r="U353" s="32" t="str">
        <f>"－"</f>
        <v>－</v>
      </c>
      <c r="V353" s="32" t="n">
        <f>8296838</f>
        <v>8296838.0</v>
      </c>
      <c r="W353" s="32" t="str">
        <f>"－"</f>
        <v>－</v>
      </c>
      <c r="X353" s="36" t="n">
        <f>20</f>
        <v>20.0</v>
      </c>
    </row>
    <row r="354">
      <c r="A354" s="27" t="s">
        <v>42</v>
      </c>
      <c r="B354" s="27" t="s">
        <v>1108</v>
      </c>
      <c r="C354" s="27" t="s">
        <v>1109</v>
      </c>
      <c r="D354" s="27" t="s">
        <v>1110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4548</f>
        <v>4548.0</v>
      </c>
      <c r="L354" s="34" t="s">
        <v>48</v>
      </c>
      <c r="M354" s="33" t="n">
        <f>4646</f>
        <v>4646.0</v>
      </c>
      <c r="N354" s="34" t="s">
        <v>49</v>
      </c>
      <c r="O354" s="33" t="n">
        <f>4435</f>
        <v>4435.0</v>
      </c>
      <c r="P354" s="34" t="s">
        <v>64</v>
      </c>
      <c r="Q354" s="33" t="n">
        <f>4630</f>
        <v>4630.0</v>
      </c>
      <c r="R354" s="34" t="s">
        <v>49</v>
      </c>
      <c r="S354" s="35" t="n">
        <f>4525.19</f>
        <v>4525.19</v>
      </c>
      <c r="T354" s="32" t="n">
        <f>58937</f>
        <v>58937.0</v>
      </c>
      <c r="U354" s="32" t="n">
        <f>2</f>
        <v>2.0</v>
      </c>
      <c r="V354" s="32" t="n">
        <f>263952059</f>
        <v>2.63952059E8</v>
      </c>
      <c r="W354" s="32" t="n">
        <f>8974</f>
        <v>8974.0</v>
      </c>
      <c r="X354" s="36" t="n">
        <f>21</f>
        <v>21.0</v>
      </c>
    </row>
    <row r="355">
      <c r="A355" s="27" t="s">
        <v>42</v>
      </c>
      <c r="B355" s="27" t="s">
        <v>1111</v>
      </c>
      <c r="C355" s="27" t="s">
        <v>1112</v>
      </c>
      <c r="D355" s="27" t="s">
        <v>1113</v>
      </c>
      <c r="E355" s="28" t="s">
        <v>1114</v>
      </c>
      <c r="F355" s="29" t="s">
        <v>1115</v>
      </c>
      <c r="G355" s="30" t="s">
        <v>1116</v>
      </c>
      <c r="H355" s="31" t="s">
        <v>1117</v>
      </c>
      <c r="I355" s="31"/>
      <c r="J355" s="32" t="n">
        <v>10.0</v>
      </c>
      <c r="K355" s="33" t="n">
        <f>1990.5</f>
        <v>1990.5</v>
      </c>
      <c r="L355" s="34" t="s">
        <v>48</v>
      </c>
      <c r="M355" s="33" t="n">
        <f>2005</f>
        <v>2005.0</v>
      </c>
      <c r="N355" s="34" t="s">
        <v>206</v>
      </c>
      <c r="O355" s="33" t="n">
        <f>1913.5</f>
        <v>1913.5</v>
      </c>
      <c r="P355" s="34" t="s">
        <v>48</v>
      </c>
      <c r="Q355" s="33" t="n">
        <f>1985</f>
        <v>1985.0</v>
      </c>
      <c r="R355" s="34" t="s">
        <v>304</v>
      </c>
      <c r="S355" s="35" t="n">
        <f>1972.6</f>
        <v>1972.6</v>
      </c>
      <c r="T355" s="32" t="n">
        <f>24340</f>
        <v>24340.0</v>
      </c>
      <c r="U355" s="32" t="str">
        <f>"－"</f>
        <v>－</v>
      </c>
      <c r="V355" s="32" t="n">
        <f>48437470</f>
        <v>4.843747E7</v>
      </c>
      <c r="W355" s="32" t="str">
        <f>"－"</f>
        <v>－</v>
      </c>
      <c r="X355" s="36" t="n">
        <f>5</f>
        <v>5.0</v>
      </c>
    </row>
    <row r="356">
      <c r="A356" s="27" t="s">
        <v>42</v>
      </c>
      <c r="B356" s="27" t="s">
        <v>1118</v>
      </c>
      <c r="C356" s="27" t="s">
        <v>1119</v>
      </c>
      <c r="D356" s="27" t="s">
        <v>1120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288.2</f>
        <v>288.2</v>
      </c>
      <c r="L356" s="34" t="s">
        <v>48</v>
      </c>
      <c r="M356" s="33" t="n">
        <f>295</f>
        <v>295.0</v>
      </c>
      <c r="N356" s="34" t="s">
        <v>49</v>
      </c>
      <c r="O356" s="33" t="n">
        <f>278.6</f>
        <v>278.6</v>
      </c>
      <c r="P356" s="34" t="s">
        <v>64</v>
      </c>
      <c r="Q356" s="33" t="n">
        <f>294.1</f>
        <v>294.1</v>
      </c>
      <c r="R356" s="34" t="s">
        <v>49</v>
      </c>
      <c r="S356" s="35" t="n">
        <f>284.69</f>
        <v>284.69</v>
      </c>
      <c r="T356" s="32" t="n">
        <f>190220</f>
        <v>190220.0</v>
      </c>
      <c r="U356" s="32" t="n">
        <f>10</f>
        <v>10.0</v>
      </c>
      <c r="V356" s="32" t="n">
        <f>54404293</f>
        <v>5.4404293E7</v>
      </c>
      <c r="W356" s="32" t="n">
        <f>2941</f>
        <v>2941.0</v>
      </c>
      <c r="X356" s="36" t="n">
        <f>19</f>
        <v>19.0</v>
      </c>
    </row>
    <row r="357">
      <c r="A357" s="27" t="s">
        <v>42</v>
      </c>
      <c r="B357" s="27" t="s">
        <v>1121</v>
      </c>
      <c r="C357" s="27" t="s">
        <v>1122</v>
      </c>
      <c r="D357" s="27" t="s">
        <v>1123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170.8</f>
        <v>170.8</v>
      </c>
      <c r="L357" s="34" t="s">
        <v>48</v>
      </c>
      <c r="M357" s="33" t="n">
        <f>177</f>
        <v>177.0</v>
      </c>
      <c r="N357" s="34" t="s">
        <v>151</v>
      </c>
      <c r="O357" s="33" t="n">
        <f>165</f>
        <v>165.0</v>
      </c>
      <c r="P357" s="34" t="s">
        <v>86</v>
      </c>
      <c r="Q357" s="33" t="n">
        <f>174.9</f>
        <v>174.9</v>
      </c>
      <c r="R357" s="34" t="s">
        <v>49</v>
      </c>
      <c r="S357" s="35" t="n">
        <f>173.36</f>
        <v>173.36</v>
      </c>
      <c r="T357" s="32" t="n">
        <f>583160</f>
        <v>583160.0</v>
      </c>
      <c r="U357" s="32" t="n">
        <f>32900</f>
        <v>32900.0</v>
      </c>
      <c r="V357" s="32" t="n">
        <f>102003572</f>
        <v>1.02003572E8</v>
      </c>
      <c r="W357" s="32" t="n">
        <f>5724510</f>
        <v>5724510.0</v>
      </c>
      <c r="X357" s="36" t="n">
        <f>21</f>
        <v>21.0</v>
      </c>
    </row>
    <row r="358">
      <c r="A358" s="27" t="s">
        <v>42</v>
      </c>
      <c r="B358" s="27" t="s">
        <v>1124</v>
      </c>
      <c r="C358" s="27" t="s">
        <v>1125</v>
      </c>
      <c r="D358" s="27" t="s">
        <v>1126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640.1</f>
        <v>640.1</v>
      </c>
      <c r="L358" s="34" t="s">
        <v>69</v>
      </c>
      <c r="M358" s="33" t="n">
        <f>663.1</f>
        <v>663.1</v>
      </c>
      <c r="N358" s="34" t="s">
        <v>60</v>
      </c>
      <c r="O358" s="33" t="n">
        <f>640.1</f>
        <v>640.1</v>
      </c>
      <c r="P358" s="34" t="s">
        <v>69</v>
      </c>
      <c r="Q358" s="33" t="n">
        <f>650</f>
        <v>650.0</v>
      </c>
      <c r="R358" s="34" t="s">
        <v>49</v>
      </c>
      <c r="S358" s="35" t="n">
        <f>658.81</f>
        <v>658.81</v>
      </c>
      <c r="T358" s="32" t="n">
        <f>560</f>
        <v>560.0</v>
      </c>
      <c r="U358" s="32" t="str">
        <f>"－"</f>
        <v>－</v>
      </c>
      <c r="V358" s="32" t="n">
        <f>368416</f>
        <v>368416.0</v>
      </c>
      <c r="W358" s="32" t="str">
        <f>"－"</f>
        <v>－</v>
      </c>
      <c r="X358" s="36" t="n">
        <f>11</f>
        <v>11.0</v>
      </c>
    </row>
    <row r="359">
      <c r="A359" s="27" t="s">
        <v>42</v>
      </c>
      <c r="B359" s="27" t="s">
        <v>1127</v>
      </c>
      <c r="C359" s="27" t="s">
        <v>1128</v>
      </c>
      <c r="D359" s="27" t="s">
        <v>1129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1577</f>
        <v>1577.0</v>
      </c>
      <c r="L359" s="34" t="s">
        <v>48</v>
      </c>
      <c r="M359" s="33" t="n">
        <f>1709</f>
        <v>1709.0</v>
      </c>
      <c r="N359" s="34" t="s">
        <v>49</v>
      </c>
      <c r="O359" s="33" t="n">
        <f>1552</f>
        <v>1552.0</v>
      </c>
      <c r="P359" s="34" t="s">
        <v>50</v>
      </c>
      <c r="Q359" s="33" t="n">
        <f>1689</f>
        <v>1689.0</v>
      </c>
      <c r="R359" s="34" t="s">
        <v>49</v>
      </c>
      <c r="S359" s="35" t="n">
        <f>1596.43</f>
        <v>1596.43</v>
      </c>
      <c r="T359" s="32" t="n">
        <f>140275</f>
        <v>140275.0</v>
      </c>
      <c r="U359" s="32" t="n">
        <f>80</f>
        <v>80.0</v>
      </c>
      <c r="V359" s="32" t="n">
        <f>223406048</f>
        <v>2.23406048E8</v>
      </c>
      <c r="W359" s="32" t="n">
        <f>124720</f>
        <v>124720.0</v>
      </c>
      <c r="X359" s="36" t="n">
        <f>21</f>
        <v>21.0</v>
      </c>
    </row>
    <row r="360">
      <c r="A360" s="27" t="s">
        <v>42</v>
      </c>
      <c r="B360" s="27" t="s">
        <v>1130</v>
      </c>
      <c r="C360" s="27" t="s">
        <v>1131</v>
      </c>
      <c r="D360" s="27" t="s">
        <v>1132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913</f>
        <v>913.0</v>
      </c>
      <c r="L360" s="34" t="s">
        <v>48</v>
      </c>
      <c r="M360" s="33" t="n">
        <f>943</f>
        <v>943.0</v>
      </c>
      <c r="N360" s="34" t="s">
        <v>49</v>
      </c>
      <c r="O360" s="33" t="n">
        <f>913</f>
        <v>913.0</v>
      </c>
      <c r="P360" s="34" t="s">
        <v>48</v>
      </c>
      <c r="Q360" s="33" t="n">
        <f>928</f>
        <v>928.0</v>
      </c>
      <c r="R360" s="34" t="s">
        <v>49</v>
      </c>
      <c r="S360" s="35" t="n">
        <f>927.86</f>
        <v>927.86</v>
      </c>
      <c r="T360" s="32" t="n">
        <f>588539</f>
        <v>588539.0</v>
      </c>
      <c r="U360" s="32" t="n">
        <f>1</f>
        <v>1.0</v>
      </c>
      <c r="V360" s="32" t="n">
        <f>549133561</f>
        <v>5.49133561E8</v>
      </c>
      <c r="W360" s="32" t="n">
        <f>928</f>
        <v>928.0</v>
      </c>
      <c r="X360" s="36" t="n">
        <f>21</f>
        <v>21.0</v>
      </c>
    </row>
    <row r="361">
      <c r="A361" s="27" t="s">
        <v>42</v>
      </c>
      <c r="B361" s="27" t="s">
        <v>1133</v>
      </c>
      <c r="C361" s="27" t="s">
        <v>1134</v>
      </c>
      <c r="D361" s="27" t="s">
        <v>1135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684.4</f>
        <v>684.4</v>
      </c>
      <c r="L361" s="34" t="s">
        <v>48</v>
      </c>
      <c r="M361" s="33" t="n">
        <f>689</f>
        <v>689.0</v>
      </c>
      <c r="N361" s="34" t="s">
        <v>151</v>
      </c>
      <c r="O361" s="33" t="n">
        <f>679</f>
        <v>679.0</v>
      </c>
      <c r="P361" s="34" t="s">
        <v>723</v>
      </c>
      <c r="Q361" s="33" t="n">
        <f>688.6</f>
        <v>688.6</v>
      </c>
      <c r="R361" s="34" t="s">
        <v>49</v>
      </c>
      <c r="S361" s="35" t="n">
        <f>683.72</f>
        <v>683.72</v>
      </c>
      <c r="T361" s="32" t="n">
        <f>3707910</f>
        <v>3707910.0</v>
      </c>
      <c r="U361" s="32" t="n">
        <f>2940000</f>
        <v>2940000.0</v>
      </c>
      <c r="V361" s="32" t="n">
        <f>2523147060</f>
        <v>2.52314706E9</v>
      </c>
      <c r="W361" s="32" t="n">
        <f>1998171000</f>
        <v>1.998171E9</v>
      </c>
      <c r="X361" s="36" t="n">
        <f>21</f>
        <v>21.0</v>
      </c>
    </row>
    <row r="362">
      <c r="A362" s="27" t="s">
        <v>42</v>
      </c>
      <c r="B362" s="27" t="s">
        <v>1136</v>
      </c>
      <c r="C362" s="27" t="s">
        <v>1137</v>
      </c>
      <c r="D362" s="27" t="s">
        <v>1138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663.9</f>
        <v>663.9</v>
      </c>
      <c r="L362" s="34" t="s">
        <v>48</v>
      </c>
      <c r="M362" s="33" t="n">
        <f>670</f>
        <v>670.0</v>
      </c>
      <c r="N362" s="34" t="s">
        <v>294</v>
      </c>
      <c r="O362" s="33" t="n">
        <f>660</f>
        <v>660.0</v>
      </c>
      <c r="P362" s="34" t="s">
        <v>304</v>
      </c>
      <c r="Q362" s="33" t="n">
        <f>660</f>
        <v>660.0</v>
      </c>
      <c r="R362" s="34" t="s">
        <v>49</v>
      </c>
      <c r="S362" s="35" t="n">
        <f>663.22</f>
        <v>663.22</v>
      </c>
      <c r="T362" s="32" t="n">
        <f>7671600</f>
        <v>7671600.0</v>
      </c>
      <c r="U362" s="32" t="n">
        <f>7184730</f>
        <v>7184730.0</v>
      </c>
      <c r="V362" s="32" t="n">
        <f>5093666052</f>
        <v>5.093666052E9</v>
      </c>
      <c r="W362" s="32" t="n">
        <f>4769633255</f>
        <v>4.769633255E9</v>
      </c>
      <c r="X362" s="36" t="n">
        <f>21</f>
        <v>21.0</v>
      </c>
    </row>
    <row r="363">
      <c r="A363" s="27" t="s">
        <v>42</v>
      </c>
      <c r="B363" s="27" t="s">
        <v>1139</v>
      </c>
      <c r="C363" s="27" t="s">
        <v>1140</v>
      </c>
      <c r="D363" s="27" t="s">
        <v>1141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1197</f>
        <v>1197.0</v>
      </c>
      <c r="L363" s="34" t="s">
        <v>48</v>
      </c>
      <c r="M363" s="33" t="n">
        <f>1217</f>
        <v>1217.0</v>
      </c>
      <c r="N363" s="34" t="s">
        <v>49</v>
      </c>
      <c r="O363" s="33" t="n">
        <f>1167</f>
        <v>1167.0</v>
      </c>
      <c r="P363" s="34" t="s">
        <v>50</v>
      </c>
      <c r="Q363" s="33" t="n">
        <f>1201</f>
        <v>1201.0</v>
      </c>
      <c r="R363" s="34" t="s">
        <v>49</v>
      </c>
      <c r="S363" s="35" t="n">
        <f>1186.57</f>
        <v>1186.57</v>
      </c>
      <c r="T363" s="32" t="n">
        <f>7008</f>
        <v>7008.0</v>
      </c>
      <c r="U363" s="32" t="str">
        <f>"－"</f>
        <v>－</v>
      </c>
      <c r="V363" s="32" t="n">
        <f>8369178</f>
        <v>8369178.0</v>
      </c>
      <c r="W363" s="32" t="str">
        <f>"－"</f>
        <v>－</v>
      </c>
      <c r="X363" s="36" t="n">
        <f>21</f>
        <v>21.0</v>
      </c>
    </row>
    <row r="364">
      <c r="A364" s="27" t="s">
        <v>42</v>
      </c>
      <c r="B364" s="27" t="s">
        <v>1142</v>
      </c>
      <c r="C364" s="27" t="s">
        <v>1143</v>
      </c>
      <c r="D364" s="27" t="s">
        <v>1144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10.0</v>
      </c>
      <c r="K364" s="33" t="n">
        <f>2783</f>
        <v>2783.0</v>
      </c>
      <c r="L364" s="34" t="s">
        <v>48</v>
      </c>
      <c r="M364" s="33" t="n">
        <f>2815.5</f>
        <v>2815.5</v>
      </c>
      <c r="N364" s="34" t="s">
        <v>206</v>
      </c>
      <c r="O364" s="33" t="n">
        <f>2636.5</f>
        <v>2636.5</v>
      </c>
      <c r="P364" s="34" t="s">
        <v>64</v>
      </c>
      <c r="Q364" s="33" t="n">
        <f>2719</f>
        <v>2719.0</v>
      </c>
      <c r="R364" s="34" t="s">
        <v>49</v>
      </c>
      <c r="S364" s="35" t="n">
        <f>2719.33</f>
        <v>2719.33</v>
      </c>
      <c r="T364" s="32" t="n">
        <f>303290</f>
        <v>303290.0</v>
      </c>
      <c r="U364" s="32" t="n">
        <f>16080</f>
        <v>16080.0</v>
      </c>
      <c r="V364" s="32" t="n">
        <f>821019265</f>
        <v>8.21019265E8</v>
      </c>
      <c r="W364" s="32" t="n">
        <f>43299445</f>
        <v>4.3299445E7</v>
      </c>
      <c r="X364" s="36" t="n">
        <f>21</f>
        <v>21.0</v>
      </c>
    </row>
    <row r="365">
      <c r="A365" s="27" t="s">
        <v>42</v>
      </c>
      <c r="B365" s="27" t="s">
        <v>1145</v>
      </c>
      <c r="C365" s="27" t="s">
        <v>1146</v>
      </c>
      <c r="D365" s="27" t="s">
        <v>1147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10.0</v>
      </c>
      <c r="K365" s="33" t="n">
        <f>3214</f>
        <v>3214.0</v>
      </c>
      <c r="L365" s="34" t="s">
        <v>48</v>
      </c>
      <c r="M365" s="33" t="n">
        <f>3274</f>
        <v>3274.0</v>
      </c>
      <c r="N365" s="34" t="s">
        <v>152</v>
      </c>
      <c r="O365" s="33" t="n">
        <f>3020</f>
        <v>3020.0</v>
      </c>
      <c r="P365" s="34" t="s">
        <v>207</v>
      </c>
      <c r="Q365" s="33" t="n">
        <f>3160</f>
        <v>3160.0</v>
      </c>
      <c r="R365" s="34" t="s">
        <v>49</v>
      </c>
      <c r="S365" s="35" t="n">
        <f>3118.76</f>
        <v>3118.76</v>
      </c>
      <c r="T365" s="32" t="n">
        <f>2916850</f>
        <v>2916850.0</v>
      </c>
      <c r="U365" s="32" t="n">
        <f>10</f>
        <v>10.0</v>
      </c>
      <c r="V365" s="32" t="n">
        <f>8989409770</f>
        <v>8.98940977E9</v>
      </c>
      <c r="W365" s="32" t="n">
        <f>31050</f>
        <v>31050.0</v>
      </c>
      <c r="X365" s="36" t="n">
        <f>21</f>
        <v>21.0</v>
      </c>
    </row>
    <row r="366">
      <c r="A366" s="27" t="s">
        <v>42</v>
      </c>
      <c r="B366" s="27" t="s">
        <v>1148</v>
      </c>
      <c r="C366" s="27" t="s">
        <v>1149</v>
      </c>
      <c r="D366" s="27" t="s">
        <v>1150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5356</f>
        <v>5356.0</v>
      </c>
      <c r="L366" s="34" t="s">
        <v>69</v>
      </c>
      <c r="M366" s="33" t="n">
        <f>5529</f>
        <v>5529.0</v>
      </c>
      <c r="N366" s="34" t="s">
        <v>60</v>
      </c>
      <c r="O366" s="33" t="n">
        <f>5345</f>
        <v>5345.0</v>
      </c>
      <c r="P366" s="34" t="s">
        <v>304</v>
      </c>
      <c r="Q366" s="33" t="n">
        <f>5515</f>
        <v>5515.0</v>
      </c>
      <c r="R366" s="34" t="s">
        <v>49</v>
      </c>
      <c r="S366" s="35" t="n">
        <f>5439.18</f>
        <v>5439.18</v>
      </c>
      <c r="T366" s="32" t="n">
        <f>281901</f>
        <v>281901.0</v>
      </c>
      <c r="U366" s="32" t="n">
        <f>280500</f>
        <v>280500.0</v>
      </c>
      <c r="V366" s="32" t="n">
        <f>1519138526</f>
        <v>1.519138526E9</v>
      </c>
      <c r="W366" s="32" t="n">
        <f>1511499720</f>
        <v>1.51149972E9</v>
      </c>
      <c r="X366" s="36" t="n">
        <f>17</f>
        <v>17.0</v>
      </c>
    </row>
    <row r="367">
      <c r="A367" s="27" t="s">
        <v>42</v>
      </c>
      <c r="B367" s="27" t="s">
        <v>1151</v>
      </c>
      <c r="C367" s="27" t="s">
        <v>1152</v>
      </c>
      <c r="D367" s="27" t="s">
        <v>1153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4135</f>
        <v>4135.0</v>
      </c>
      <c r="L367" s="34" t="s">
        <v>48</v>
      </c>
      <c r="M367" s="33" t="n">
        <f>4135</f>
        <v>4135.0</v>
      </c>
      <c r="N367" s="34" t="s">
        <v>48</v>
      </c>
      <c r="O367" s="33" t="n">
        <f>4121</f>
        <v>4121.0</v>
      </c>
      <c r="P367" s="34" t="s">
        <v>202</v>
      </c>
      <c r="Q367" s="33" t="n">
        <f>4126</f>
        <v>4126.0</v>
      </c>
      <c r="R367" s="34" t="s">
        <v>151</v>
      </c>
      <c r="S367" s="35" t="n">
        <f>4124.83</f>
        <v>4124.83</v>
      </c>
      <c r="T367" s="32" t="n">
        <f>194</f>
        <v>194.0</v>
      </c>
      <c r="U367" s="32" t="str">
        <f>"－"</f>
        <v>－</v>
      </c>
      <c r="V367" s="32" t="n">
        <f>800430</f>
        <v>800430.0</v>
      </c>
      <c r="W367" s="32" t="str">
        <f>"－"</f>
        <v>－</v>
      </c>
      <c r="X367" s="36" t="n">
        <f>6</f>
        <v>6.0</v>
      </c>
    </row>
    <row r="368">
      <c r="A368" s="27" t="s">
        <v>42</v>
      </c>
      <c r="B368" s="27" t="s">
        <v>1154</v>
      </c>
      <c r="C368" s="27" t="s">
        <v>1155</v>
      </c>
      <c r="D368" s="27" t="s">
        <v>1156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10.0</v>
      </c>
      <c r="K368" s="33" t="n">
        <f>1870</f>
        <v>1870.0</v>
      </c>
      <c r="L368" s="34" t="s">
        <v>69</v>
      </c>
      <c r="M368" s="33" t="n">
        <f>1870</f>
        <v>1870.0</v>
      </c>
      <c r="N368" s="34" t="s">
        <v>69</v>
      </c>
      <c r="O368" s="33" t="n">
        <f>1828</f>
        <v>1828.0</v>
      </c>
      <c r="P368" s="34" t="s">
        <v>152</v>
      </c>
      <c r="Q368" s="33" t="n">
        <f>1868</f>
        <v>1868.0</v>
      </c>
      <c r="R368" s="34" t="s">
        <v>269</v>
      </c>
      <c r="S368" s="35" t="n">
        <f>1864.8</f>
        <v>1864.8</v>
      </c>
      <c r="T368" s="32" t="n">
        <f>470</f>
        <v>470.0</v>
      </c>
      <c r="U368" s="32" t="str">
        <f>"－"</f>
        <v>－</v>
      </c>
      <c r="V368" s="32" t="n">
        <f>877315</f>
        <v>877315.0</v>
      </c>
      <c r="W368" s="32" t="str">
        <f>"－"</f>
        <v>－</v>
      </c>
      <c r="X368" s="36" t="n">
        <f>5</f>
        <v>5.0</v>
      </c>
    </row>
    <row r="369">
      <c r="A369" s="27" t="s">
        <v>42</v>
      </c>
      <c r="B369" s="27" t="s">
        <v>1157</v>
      </c>
      <c r="C369" s="27" t="s">
        <v>1158</v>
      </c>
      <c r="D369" s="27" t="s">
        <v>1159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1135</f>
        <v>1135.0</v>
      </c>
      <c r="L369" s="34" t="s">
        <v>48</v>
      </c>
      <c r="M369" s="33" t="n">
        <f>1196</f>
        <v>1196.0</v>
      </c>
      <c r="N369" s="34" t="s">
        <v>151</v>
      </c>
      <c r="O369" s="33" t="n">
        <f>1119</f>
        <v>1119.0</v>
      </c>
      <c r="P369" s="34" t="s">
        <v>48</v>
      </c>
      <c r="Q369" s="33" t="n">
        <f>1150</f>
        <v>1150.0</v>
      </c>
      <c r="R369" s="34" t="s">
        <v>49</v>
      </c>
      <c r="S369" s="35" t="n">
        <f>1150.57</f>
        <v>1150.57</v>
      </c>
      <c r="T369" s="32" t="n">
        <f>8256</f>
        <v>8256.0</v>
      </c>
      <c r="U369" s="32" t="str">
        <f>"－"</f>
        <v>－</v>
      </c>
      <c r="V369" s="32" t="n">
        <f>9445152</f>
        <v>9445152.0</v>
      </c>
      <c r="W369" s="32" t="str">
        <f>"－"</f>
        <v>－</v>
      </c>
      <c r="X369" s="36" t="n">
        <f>21</f>
        <v>21.0</v>
      </c>
    </row>
    <row r="370">
      <c r="A370" s="27" t="s">
        <v>42</v>
      </c>
      <c r="B370" s="27" t="s">
        <v>1160</v>
      </c>
      <c r="C370" s="27" t="s">
        <v>1161</v>
      </c>
      <c r="D370" s="27" t="s">
        <v>1162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1038</f>
        <v>1038.0</v>
      </c>
      <c r="L370" s="34" t="s">
        <v>48</v>
      </c>
      <c r="M370" s="33" t="n">
        <f>1073</f>
        <v>1073.0</v>
      </c>
      <c r="N370" s="34" t="s">
        <v>102</v>
      </c>
      <c r="O370" s="33" t="n">
        <f>1030</f>
        <v>1030.0</v>
      </c>
      <c r="P370" s="34" t="s">
        <v>48</v>
      </c>
      <c r="Q370" s="33" t="n">
        <f>1061</f>
        <v>1061.0</v>
      </c>
      <c r="R370" s="34" t="s">
        <v>49</v>
      </c>
      <c r="S370" s="35" t="n">
        <f>1051</f>
        <v>1051.0</v>
      </c>
      <c r="T370" s="32" t="n">
        <f>4486931</f>
        <v>4486931.0</v>
      </c>
      <c r="U370" s="32" t="n">
        <f>71</f>
        <v>71.0</v>
      </c>
      <c r="V370" s="32" t="n">
        <f>4714934717</f>
        <v>4.714934717E9</v>
      </c>
      <c r="W370" s="32" t="n">
        <f>75495</f>
        <v>75495.0</v>
      </c>
      <c r="X370" s="36" t="n">
        <f>21</f>
        <v>21.0</v>
      </c>
    </row>
    <row r="371">
      <c r="A371" s="27" t="s">
        <v>42</v>
      </c>
      <c r="B371" s="27" t="s">
        <v>1163</v>
      </c>
      <c r="C371" s="27" t="s">
        <v>1164</v>
      </c>
      <c r="D371" s="27" t="s">
        <v>1165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904</f>
        <v>904.0</v>
      </c>
      <c r="L371" s="34" t="s">
        <v>48</v>
      </c>
      <c r="M371" s="33" t="n">
        <f>920</f>
        <v>920.0</v>
      </c>
      <c r="N371" s="34" t="s">
        <v>64</v>
      </c>
      <c r="O371" s="33" t="n">
        <f>893</f>
        <v>893.0</v>
      </c>
      <c r="P371" s="34" t="s">
        <v>50</v>
      </c>
      <c r="Q371" s="33" t="n">
        <f>913</f>
        <v>913.0</v>
      </c>
      <c r="R371" s="34" t="s">
        <v>49</v>
      </c>
      <c r="S371" s="35" t="n">
        <f>908.67</f>
        <v>908.67</v>
      </c>
      <c r="T371" s="32" t="n">
        <f>1145967</f>
        <v>1145967.0</v>
      </c>
      <c r="U371" s="32" t="n">
        <f>4</f>
        <v>4.0</v>
      </c>
      <c r="V371" s="32" t="n">
        <f>1038178014</f>
        <v>1.038178014E9</v>
      </c>
      <c r="W371" s="32" t="n">
        <f>3656</f>
        <v>3656.0</v>
      </c>
      <c r="X371" s="36" t="n">
        <f>21</f>
        <v>21.0</v>
      </c>
    </row>
    <row r="372">
      <c r="A372" s="27" t="s">
        <v>42</v>
      </c>
      <c r="B372" s="27" t="s">
        <v>1166</v>
      </c>
      <c r="C372" s="27" t="s">
        <v>1167</v>
      </c>
      <c r="D372" s="27" t="s">
        <v>1168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1010</f>
        <v>1010.0</v>
      </c>
      <c r="L372" s="34" t="s">
        <v>48</v>
      </c>
      <c r="M372" s="33" t="n">
        <f>1064</f>
        <v>1064.0</v>
      </c>
      <c r="N372" s="34" t="s">
        <v>49</v>
      </c>
      <c r="O372" s="33" t="n">
        <f>975</f>
        <v>975.0</v>
      </c>
      <c r="P372" s="34" t="s">
        <v>48</v>
      </c>
      <c r="Q372" s="33" t="n">
        <f>1045</f>
        <v>1045.0</v>
      </c>
      <c r="R372" s="34" t="s">
        <v>49</v>
      </c>
      <c r="S372" s="35" t="n">
        <f>1022.38</f>
        <v>1022.38</v>
      </c>
      <c r="T372" s="32" t="n">
        <f>11693</f>
        <v>11693.0</v>
      </c>
      <c r="U372" s="32" t="str">
        <f>"－"</f>
        <v>－</v>
      </c>
      <c r="V372" s="32" t="n">
        <f>11782401</f>
        <v>1.1782401E7</v>
      </c>
      <c r="W372" s="32" t="str">
        <f>"－"</f>
        <v>－</v>
      </c>
      <c r="X372" s="36" t="n">
        <f>21</f>
        <v>21.0</v>
      </c>
    </row>
    <row r="373">
      <c r="A373" s="27" t="s">
        <v>42</v>
      </c>
      <c r="B373" s="27" t="s">
        <v>1169</v>
      </c>
      <c r="C373" s="27" t="s">
        <v>1170</v>
      </c>
      <c r="D373" s="27" t="s">
        <v>1171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957</f>
        <v>957.0</v>
      </c>
      <c r="L373" s="34" t="s">
        <v>48</v>
      </c>
      <c r="M373" s="33" t="n">
        <f>985</f>
        <v>985.0</v>
      </c>
      <c r="N373" s="34" t="s">
        <v>102</v>
      </c>
      <c r="O373" s="33" t="n">
        <f>950</f>
        <v>950.0</v>
      </c>
      <c r="P373" s="34" t="s">
        <v>48</v>
      </c>
      <c r="Q373" s="33" t="n">
        <f>974</f>
        <v>974.0</v>
      </c>
      <c r="R373" s="34" t="s">
        <v>49</v>
      </c>
      <c r="S373" s="35" t="n">
        <f>968.05</f>
        <v>968.05</v>
      </c>
      <c r="T373" s="32" t="n">
        <f>854739</f>
        <v>854739.0</v>
      </c>
      <c r="U373" s="32" t="n">
        <f>70</f>
        <v>70.0</v>
      </c>
      <c r="V373" s="32" t="n">
        <f>827956717</f>
        <v>8.27956717E8</v>
      </c>
      <c r="W373" s="32" t="n">
        <f>66962</f>
        <v>66962.0</v>
      </c>
      <c r="X373" s="36" t="n">
        <f>21</f>
        <v>21.0</v>
      </c>
    </row>
    <row r="374">
      <c r="A374" s="27" t="s">
        <v>42</v>
      </c>
      <c r="B374" s="27" t="s">
        <v>1172</v>
      </c>
      <c r="C374" s="27" t="s">
        <v>1173</v>
      </c>
      <c r="D374" s="27" t="s">
        <v>1174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44440</f>
        <v>44440.0</v>
      </c>
      <c r="L374" s="34" t="s">
        <v>48</v>
      </c>
      <c r="M374" s="33" t="n">
        <f>50240</f>
        <v>50240.0</v>
      </c>
      <c r="N374" s="34" t="s">
        <v>49</v>
      </c>
      <c r="O374" s="33" t="n">
        <f>44010</f>
        <v>44010.0</v>
      </c>
      <c r="P374" s="34" t="s">
        <v>48</v>
      </c>
      <c r="Q374" s="33" t="n">
        <f>50240</f>
        <v>50240.0</v>
      </c>
      <c r="R374" s="34" t="s">
        <v>49</v>
      </c>
      <c r="S374" s="35" t="n">
        <f>46710.48</f>
        <v>46710.48</v>
      </c>
      <c r="T374" s="32" t="n">
        <f>315828</f>
        <v>315828.0</v>
      </c>
      <c r="U374" s="32" t="n">
        <f>463</f>
        <v>463.0</v>
      </c>
      <c r="V374" s="32" t="n">
        <f>14782874135</f>
        <v>1.4782874135E10</v>
      </c>
      <c r="W374" s="32" t="n">
        <f>21558935</f>
        <v>2.1558935E7</v>
      </c>
      <c r="X374" s="36" t="n">
        <f>21</f>
        <v>21.0</v>
      </c>
    </row>
    <row r="375">
      <c r="A375" s="27" t="s">
        <v>42</v>
      </c>
      <c r="B375" s="27" t="s">
        <v>1175</v>
      </c>
      <c r="C375" s="27" t="s">
        <v>1176</v>
      </c>
      <c r="D375" s="27" t="s">
        <v>1177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15090</f>
        <v>15090.0</v>
      </c>
      <c r="L375" s="34" t="s">
        <v>48</v>
      </c>
      <c r="M375" s="33" t="n">
        <f>15235</f>
        <v>15235.0</v>
      </c>
      <c r="N375" s="34" t="s">
        <v>48</v>
      </c>
      <c r="O375" s="33" t="n">
        <f>13285</f>
        <v>13285.0</v>
      </c>
      <c r="P375" s="34" t="s">
        <v>49</v>
      </c>
      <c r="Q375" s="33" t="n">
        <f>13290</f>
        <v>13290.0</v>
      </c>
      <c r="R375" s="34" t="s">
        <v>49</v>
      </c>
      <c r="S375" s="35" t="n">
        <f>14349.29</f>
        <v>14349.29</v>
      </c>
      <c r="T375" s="32" t="n">
        <f>748903</f>
        <v>748903.0</v>
      </c>
      <c r="U375" s="32" t="n">
        <f>131358</f>
        <v>131358.0</v>
      </c>
      <c r="V375" s="32" t="n">
        <f>10620372123</f>
        <v>1.0620372123E10</v>
      </c>
      <c r="W375" s="32" t="n">
        <f>1777267543</f>
        <v>1.777267543E9</v>
      </c>
      <c r="X375" s="36" t="n">
        <f>21</f>
        <v>21.0</v>
      </c>
    </row>
    <row r="376">
      <c r="A376" s="27" t="s">
        <v>42</v>
      </c>
      <c r="B376" s="27" t="s">
        <v>1178</v>
      </c>
      <c r="C376" s="27" t="s">
        <v>1179</v>
      </c>
      <c r="D376" s="27" t="s">
        <v>1180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2081</f>
        <v>2081.0</v>
      </c>
      <c r="L376" s="34" t="s">
        <v>48</v>
      </c>
      <c r="M376" s="33" t="n">
        <f>2150</f>
        <v>2150.0</v>
      </c>
      <c r="N376" s="34" t="s">
        <v>49</v>
      </c>
      <c r="O376" s="33" t="n">
        <f>2033</f>
        <v>2033.0</v>
      </c>
      <c r="P376" s="34" t="s">
        <v>64</v>
      </c>
      <c r="Q376" s="33" t="n">
        <f>2136</f>
        <v>2136.0</v>
      </c>
      <c r="R376" s="34" t="s">
        <v>49</v>
      </c>
      <c r="S376" s="35" t="n">
        <f>2071.42</f>
        <v>2071.42</v>
      </c>
      <c r="T376" s="32" t="n">
        <f>709</f>
        <v>709.0</v>
      </c>
      <c r="U376" s="32" t="str">
        <f>"－"</f>
        <v>－</v>
      </c>
      <c r="V376" s="32" t="n">
        <f>1473074</f>
        <v>1473074.0</v>
      </c>
      <c r="W376" s="32" t="str">
        <f>"－"</f>
        <v>－</v>
      </c>
      <c r="X376" s="36" t="n">
        <f>19</f>
        <v>19.0</v>
      </c>
    </row>
    <row r="377">
      <c r="A377" s="27" t="s">
        <v>42</v>
      </c>
      <c r="B377" s="27" t="s">
        <v>1181</v>
      </c>
      <c r="C377" s="27" t="s">
        <v>1182</v>
      </c>
      <c r="D377" s="27" t="s">
        <v>1183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8750</f>
        <v>8750.0</v>
      </c>
      <c r="L377" s="34" t="s">
        <v>48</v>
      </c>
      <c r="M377" s="33" t="n">
        <f>9120</f>
        <v>9120.0</v>
      </c>
      <c r="N377" s="34" t="s">
        <v>49</v>
      </c>
      <c r="O377" s="33" t="n">
        <f>8500</f>
        <v>8500.0</v>
      </c>
      <c r="P377" s="34" t="s">
        <v>102</v>
      </c>
      <c r="Q377" s="33" t="n">
        <f>9110</f>
        <v>9110.0</v>
      </c>
      <c r="R377" s="34" t="s">
        <v>49</v>
      </c>
      <c r="S377" s="35" t="n">
        <f>8839.67</f>
        <v>8839.67</v>
      </c>
      <c r="T377" s="32" t="n">
        <f>13512</f>
        <v>13512.0</v>
      </c>
      <c r="U377" s="32" t="n">
        <f>5</f>
        <v>5.0</v>
      </c>
      <c r="V377" s="32" t="n">
        <f>117359102</f>
        <v>1.17359102E8</v>
      </c>
      <c r="W377" s="32" t="n">
        <f>43739</f>
        <v>43739.0</v>
      </c>
      <c r="X377" s="36" t="n">
        <f>21</f>
        <v>21.0</v>
      </c>
    </row>
    <row r="378">
      <c r="A378" s="27" t="s">
        <v>42</v>
      </c>
      <c r="B378" s="27" t="s">
        <v>1184</v>
      </c>
      <c r="C378" s="27" t="s">
        <v>1185</v>
      </c>
      <c r="D378" s="27" t="s">
        <v>1186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115700</f>
        <v>115700.0</v>
      </c>
      <c r="L378" s="34" t="s">
        <v>48</v>
      </c>
      <c r="M378" s="33" t="n">
        <f>123700</f>
        <v>123700.0</v>
      </c>
      <c r="N378" s="34" t="s">
        <v>49</v>
      </c>
      <c r="O378" s="33" t="n">
        <f>114100</f>
        <v>114100.0</v>
      </c>
      <c r="P378" s="34" t="s">
        <v>206</v>
      </c>
      <c r="Q378" s="33" t="n">
        <f>122500</f>
        <v>122500.0</v>
      </c>
      <c r="R378" s="34" t="s">
        <v>49</v>
      </c>
      <c r="S378" s="35" t="n">
        <f>118666.67</f>
        <v>118666.67</v>
      </c>
      <c r="T378" s="32" t="n">
        <f>16633</f>
        <v>16633.0</v>
      </c>
      <c r="U378" s="32" t="n">
        <f>2638</f>
        <v>2638.0</v>
      </c>
      <c r="V378" s="32" t="n">
        <f>1976377350</f>
        <v>1.97637735E9</v>
      </c>
      <c r="W378" s="32" t="n">
        <f>313391450</f>
        <v>3.1339145E8</v>
      </c>
      <c r="X378" s="36" t="n">
        <f>21</f>
        <v>21.0</v>
      </c>
    </row>
    <row r="379">
      <c r="A379" s="27" t="s">
        <v>42</v>
      </c>
      <c r="B379" s="27" t="s">
        <v>1187</v>
      </c>
      <c r="C379" s="27" t="s">
        <v>1188</v>
      </c>
      <c r="D379" s="27" t="s">
        <v>1189</v>
      </c>
      <c r="E379" s="28" t="s">
        <v>46</v>
      </c>
      <c r="F379" s="29" t="s">
        <v>46</v>
      </c>
      <c r="G379" s="30" t="s">
        <v>46</v>
      </c>
      <c r="H379" s="31"/>
      <c r="I379" s="31" t="s">
        <v>416</v>
      </c>
      <c r="J379" s="32" t="n">
        <v>1.0</v>
      </c>
      <c r="K379" s="33" t="n">
        <f>88400</f>
        <v>88400.0</v>
      </c>
      <c r="L379" s="34" t="s">
        <v>48</v>
      </c>
      <c r="M379" s="33" t="n">
        <f>93800</f>
        <v>93800.0</v>
      </c>
      <c r="N379" s="34" t="s">
        <v>49</v>
      </c>
      <c r="O379" s="33" t="n">
        <f>86200</f>
        <v>86200.0</v>
      </c>
      <c r="P379" s="34" t="s">
        <v>202</v>
      </c>
      <c r="Q379" s="33" t="n">
        <f>92000</f>
        <v>92000.0</v>
      </c>
      <c r="R379" s="34" t="s">
        <v>49</v>
      </c>
      <c r="S379" s="35" t="n">
        <f>89790.48</f>
        <v>89790.48</v>
      </c>
      <c r="T379" s="32" t="n">
        <f>32336</f>
        <v>32336.0</v>
      </c>
      <c r="U379" s="32" t="n">
        <f>9056</f>
        <v>9056.0</v>
      </c>
      <c r="V379" s="32" t="n">
        <f>2890718118</f>
        <v>2.890718118E9</v>
      </c>
      <c r="W379" s="32" t="n">
        <f>802402318</f>
        <v>8.02402318E8</v>
      </c>
      <c r="X379" s="36" t="n">
        <f>21</f>
        <v>21.0</v>
      </c>
    </row>
    <row r="380">
      <c r="A380" s="27" t="s">
        <v>42</v>
      </c>
      <c r="B380" s="27" t="s">
        <v>1190</v>
      </c>
      <c r="C380" s="27" t="s">
        <v>1191</v>
      </c>
      <c r="D380" s="27" t="s">
        <v>1192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110000</f>
        <v>110000.0</v>
      </c>
      <c r="L380" s="34" t="s">
        <v>48</v>
      </c>
      <c r="M380" s="33" t="n">
        <f>116400</f>
        <v>116400.0</v>
      </c>
      <c r="N380" s="34" t="s">
        <v>49</v>
      </c>
      <c r="O380" s="33" t="n">
        <f>109100</f>
        <v>109100.0</v>
      </c>
      <c r="P380" s="34" t="s">
        <v>48</v>
      </c>
      <c r="Q380" s="33" t="n">
        <f>114900</f>
        <v>114900.0</v>
      </c>
      <c r="R380" s="34" t="s">
        <v>49</v>
      </c>
      <c r="S380" s="35" t="n">
        <f>112942.86</f>
        <v>112942.86</v>
      </c>
      <c r="T380" s="32" t="n">
        <f>41668</f>
        <v>41668.0</v>
      </c>
      <c r="U380" s="32" t="n">
        <f>7344</f>
        <v>7344.0</v>
      </c>
      <c r="V380" s="32" t="n">
        <f>4706676257</f>
        <v>4.706676257E9</v>
      </c>
      <c r="W380" s="32" t="n">
        <f>831882157</f>
        <v>8.31882157E8</v>
      </c>
      <c r="X380" s="36" t="n">
        <f>21</f>
        <v>21.0</v>
      </c>
    </row>
    <row r="381">
      <c r="A381" s="27" t="s">
        <v>42</v>
      </c>
      <c r="B381" s="27" t="s">
        <v>1193</v>
      </c>
      <c r="C381" s="27" t="s">
        <v>1194</v>
      </c>
      <c r="D381" s="27" t="s">
        <v>1195</v>
      </c>
      <c r="E381" s="28" t="s">
        <v>46</v>
      </c>
      <c r="F381" s="29" t="s">
        <v>46</v>
      </c>
      <c r="G381" s="30" t="s">
        <v>46</v>
      </c>
      <c r="H381" s="31"/>
      <c r="I381" s="31" t="s">
        <v>416</v>
      </c>
      <c r="J381" s="32" t="n">
        <v>1.0</v>
      </c>
      <c r="K381" s="33" t="n">
        <f>107000</f>
        <v>107000.0</v>
      </c>
      <c r="L381" s="34" t="s">
        <v>48</v>
      </c>
      <c r="M381" s="33" t="n">
        <f>113400</f>
        <v>113400.0</v>
      </c>
      <c r="N381" s="34" t="s">
        <v>49</v>
      </c>
      <c r="O381" s="33" t="n">
        <f>106000</f>
        <v>106000.0</v>
      </c>
      <c r="P381" s="34" t="s">
        <v>69</v>
      </c>
      <c r="Q381" s="33" t="n">
        <f>111800</f>
        <v>111800.0</v>
      </c>
      <c r="R381" s="34" t="s">
        <v>49</v>
      </c>
      <c r="S381" s="35" t="n">
        <f>109504.76</f>
        <v>109504.76</v>
      </c>
      <c r="T381" s="32" t="n">
        <f>20832</f>
        <v>20832.0</v>
      </c>
      <c r="U381" s="32" t="n">
        <f>2170</f>
        <v>2170.0</v>
      </c>
      <c r="V381" s="32" t="n">
        <f>2288993524</f>
        <v>2.288993524E9</v>
      </c>
      <c r="W381" s="32" t="n">
        <f>237643024</f>
        <v>2.37643024E8</v>
      </c>
      <c r="X381" s="36" t="n">
        <f>21</f>
        <v>21.0</v>
      </c>
    </row>
    <row r="382">
      <c r="A382" s="27" t="s">
        <v>42</v>
      </c>
      <c r="B382" s="27" t="s">
        <v>1196</v>
      </c>
      <c r="C382" s="27" t="s">
        <v>1197</v>
      </c>
      <c r="D382" s="27" t="s">
        <v>1198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182.9</f>
        <v>182.9</v>
      </c>
      <c r="L382" s="34" t="s">
        <v>48</v>
      </c>
      <c r="M382" s="33" t="n">
        <f>194.5</f>
        <v>194.5</v>
      </c>
      <c r="N382" s="34" t="s">
        <v>49</v>
      </c>
      <c r="O382" s="33" t="n">
        <f>181.3</f>
        <v>181.3</v>
      </c>
      <c r="P382" s="34" t="s">
        <v>48</v>
      </c>
      <c r="Q382" s="33" t="n">
        <f>194</f>
        <v>194.0</v>
      </c>
      <c r="R382" s="34" t="s">
        <v>49</v>
      </c>
      <c r="S382" s="35" t="n">
        <f>187.63</f>
        <v>187.63</v>
      </c>
      <c r="T382" s="32" t="n">
        <f>5645440</f>
        <v>5645440.0</v>
      </c>
      <c r="U382" s="32" t="n">
        <f>50</f>
        <v>50.0</v>
      </c>
      <c r="V382" s="32" t="n">
        <f>1060716271</f>
        <v>1.060716271E9</v>
      </c>
      <c r="W382" s="32" t="n">
        <f>9225</f>
        <v>9225.0</v>
      </c>
      <c r="X382" s="36" t="n">
        <f>21</f>
        <v>21.0</v>
      </c>
    </row>
    <row r="383">
      <c r="A383" s="27" t="s">
        <v>42</v>
      </c>
      <c r="B383" s="27" t="s">
        <v>1199</v>
      </c>
      <c r="C383" s="27" t="s">
        <v>1200</v>
      </c>
      <c r="D383" s="27" t="s">
        <v>1201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10.0</v>
      </c>
      <c r="K383" s="33" t="n">
        <f>226.5</f>
        <v>226.5</v>
      </c>
      <c r="L383" s="34" t="s">
        <v>48</v>
      </c>
      <c r="M383" s="33" t="n">
        <f>236.9</f>
        <v>236.9</v>
      </c>
      <c r="N383" s="34" t="s">
        <v>86</v>
      </c>
      <c r="O383" s="33" t="n">
        <f>223.9</f>
        <v>223.9</v>
      </c>
      <c r="P383" s="34" t="s">
        <v>49</v>
      </c>
      <c r="Q383" s="33" t="n">
        <f>225</f>
        <v>225.0</v>
      </c>
      <c r="R383" s="34" t="s">
        <v>49</v>
      </c>
      <c r="S383" s="35" t="n">
        <f>230.05</f>
        <v>230.05</v>
      </c>
      <c r="T383" s="32" t="n">
        <f>24971520</f>
        <v>2.497152E7</v>
      </c>
      <c r="U383" s="32" t="n">
        <f>983520</f>
        <v>983520.0</v>
      </c>
      <c r="V383" s="32" t="n">
        <f>5753500144</f>
        <v>5.753500144E9</v>
      </c>
      <c r="W383" s="32" t="n">
        <f>226138195</f>
        <v>2.26138195E8</v>
      </c>
      <c r="X383" s="36" t="n">
        <f>21</f>
        <v>21.0</v>
      </c>
    </row>
    <row r="384">
      <c r="A384" s="27" t="s">
        <v>42</v>
      </c>
      <c r="B384" s="27" t="s">
        <v>1202</v>
      </c>
      <c r="C384" s="27" t="s">
        <v>1203</v>
      </c>
      <c r="D384" s="27" t="s">
        <v>1204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1010</f>
        <v>1010.0</v>
      </c>
      <c r="L384" s="34" t="s">
        <v>48</v>
      </c>
      <c r="M384" s="33" t="n">
        <f>1012</f>
        <v>1012.0</v>
      </c>
      <c r="N384" s="34" t="s">
        <v>206</v>
      </c>
      <c r="O384" s="33" t="n">
        <f>976</f>
        <v>976.0</v>
      </c>
      <c r="P384" s="34" t="s">
        <v>50</v>
      </c>
      <c r="Q384" s="33" t="n">
        <f>1001</f>
        <v>1001.0</v>
      </c>
      <c r="R384" s="34" t="s">
        <v>49</v>
      </c>
      <c r="S384" s="35" t="n">
        <f>993.57</f>
        <v>993.57</v>
      </c>
      <c r="T384" s="32" t="n">
        <f>571224</f>
        <v>571224.0</v>
      </c>
      <c r="U384" s="32" t="str">
        <f>"－"</f>
        <v>－</v>
      </c>
      <c r="V384" s="32" t="n">
        <f>568040857</f>
        <v>5.68040857E8</v>
      </c>
      <c r="W384" s="32" t="str">
        <f>"－"</f>
        <v>－</v>
      </c>
      <c r="X384" s="36" t="n">
        <f>21</f>
        <v>21.0</v>
      </c>
    </row>
    <row r="385">
      <c r="A385" s="27" t="s">
        <v>42</v>
      </c>
      <c r="B385" s="27" t="s">
        <v>1205</v>
      </c>
      <c r="C385" s="27" t="s">
        <v>1206</v>
      </c>
      <c r="D385" s="27" t="s">
        <v>1207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1836</f>
        <v>1836.0</v>
      </c>
      <c r="L385" s="34" t="s">
        <v>48</v>
      </c>
      <c r="M385" s="33" t="n">
        <f>2007</f>
        <v>2007.0</v>
      </c>
      <c r="N385" s="34" t="s">
        <v>49</v>
      </c>
      <c r="O385" s="33" t="n">
        <f>1817</f>
        <v>1817.0</v>
      </c>
      <c r="P385" s="34" t="s">
        <v>48</v>
      </c>
      <c r="Q385" s="33" t="n">
        <f>2006</f>
        <v>2006.0</v>
      </c>
      <c r="R385" s="34" t="s">
        <v>49</v>
      </c>
      <c r="S385" s="35" t="n">
        <f>1905.95</f>
        <v>1905.95</v>
      </c>
      <c r="T385" s="32" t="n">
        <f>7922504</f>
        <v>7922504.0</v>
      </c>
      <c r="U385" s="32" t="n">
        <f>1895</f>
        <v>1895.0</v>
      </c>
      <c r="V385" s="32" t="n">
        <f>15115643527</f>
        <v>1.5115643527E10</v>
      </c>
      <c r="W385" s="32" t="n">
        <f>3649402</f>
        <v>3649402.0</v>
      </c>
      <c r="X385" s="36" t="n">
        <f>21</f>
        <v>21.0</v>
      </c>
    </row>
    <row r="386">
      <c r="A386" s="27" t="s">
        <v>42</v>
      </c>
      <c r="B386" s="27" t="s">
        <v>1208</v>
      </c>
      <c r="C386" s="27" t="s">
        <v>1209</v>
      </c>
      <c r="D386" s="27" t="s">
        <v>1210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10.0</v>
      </c>
      <c r="K386" s="33" t="n">
        <f>1021.5</f>
        <v>1021.5</v>
      </c>
      <c r="L386" s="34" t="s">
        <v>48</v>
      </c>
      <c r="M386" s="33" t="n">
        <f>1082</f>
        <v>1082.0</v>
      </c>
      <c r="N386" s="34" t="s">
        <v>50</v>
      </c>
      <c r="O386" s="33" t="n">
        <f>897.1</f>
        <v>897.1</v>
      </c>
      <c r="P386" s="34" t="s">
        <v>49</v>
      </c>
      <c r="Q386" s="33" t="n">
        <f>898</f>
        <v>898.0</v>
      </c>
      <c r="R386" s="34" t="s">
        <v>49</v>
      </c>
      <c r="S386" s="35" t="n">
        <f>980.28</f>
        <v>980.28</v>
      </c>
      <c r="T386" s="32" t="n">
        <f>19727020</f>
        <v>1.972702E7</v>
      </c>
      <c r="U386" s="32" t="n">
        <f>1600</f>
        <v>1600.0</v>
      </c>
      <c r="V386" s="32" t="n">
        <f>19513404730</f>
        <v>1.951340473E10</v>
      </c>
      <c r="W386" s="32" t="n">
        <f>1612661</f>
        <v>1612661.0</v>
      </c>
      <c r="X386" s="36" t="n">
        <f>21</f>
        <v>21.0</v>
      </c>
    </row>
    <row r="387">
      <c r="A387" s="27" t="s">
        <v>42</v>
      </c>
      <c r="B387" s="27" t="s">
        <v>1211</v>
      </c>
      <c r="C387" s="27" t="s">
        <v>1212</v>
      </c>
      <c r="D387" s="27" t="s">
        <v>1213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115500</f>
        <v>115500.0</v>
      </c>
      <c r="L387" s="34" t="s">
        <v>48</v>
      </c>
      <c r="M387" s="33" t="n">
        <f>120100</f>
        <v>120100.0</v>
      </c>
      <c r="N387" s="34" t="s">
        <v>102</v>
      </c>
      <c r="O387" s="33" t="n">
        <f>114800</f>
        <v>114800.0</v>
      </c>
      <c r="P387" s="34" t="s">
        <v>152</v>
      </c>
      <c r="Q387" s="33" t="n">
        <f>117700</f>
        <v>117700.0</v>
      </c>
      <c r="R387" s="34" t="s">
        <v>49</v>
      </c>
      <c r="S387" s="35" t="n">
        <f>117742.86</f>
        <v>117742.86</v>
      </c>
      <c r="T387" s="32" t="n">
        <f>137610</f>
        <v>137610.0</v>
      </c>
      <c r="U387" s="32" t="n">
        <f>31434</f>
        <v>31434.0</v>
      </c>
      <c r="V387" s="32" t="n">
        <f>16230286082</f>
        <v>1.6230286082E10</v>
      </c>
      <c r="W387" s="32" t="n">
        <f>3706929882</f>
        <v>3.706929882E9</v>
      </c>
      <c r="X387" s="36" t="n">
        <f>21</f>
        <v>21.0</v>
      </c>
    </row>
    <row r="388">
      <c r="A388" s="27" t="s">
        <v>42</v>
      </c>
      <c r="B388" s="27" t="s">
        <v>1214</v>
      </c>
      <c r="C388" s="27" t="s">
        <v>1215</v>
      </c>
      <c r="D388" s="27" t="s">
        <v>1216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130900</f>
        <v>130900.0</v>
      </c>
      <c r="L388" s="34" t="s">
        <v>48</v>
      </c>
      <c r="M388" s="33" t="n">
        <f>137300</f>
        <v>137300.0</v>
      </c>
      <c r="N388" s="34" t="s">
        <v>102</v>
      </c>
      <c r="O388" s="33" t="n">
        <f>129800</f>
        <v>129800.0</v>
      </c>
      <c r="P388" s="34" t="s">
        <v>152</v>
      </c>
      <c r="Q388" s="33" t="n">
        <f>133800</f>
        <v>133800.0</v>
      </c>
      <c r="R388" s="34" t="s">
        <v>49</v>
      </c>
      <c r="S388" s="35" t="n">
        <f>133271.43</f>
        <v>133271.43</v>
      </c>
      <c r="T388" s="32" t="n">
        <f>114959</f>
        <v>114959.0</v>
      </c>
      <c r="U388" s="32" t="n">
        <f>24375</f>
        <v>24375.0</v>
      </c>
      <c r="V388" s="32" t="n">
        <f>15349156533</f>
        <v>1.5349156533E10</v>
      </c>
      <c r="W388" s="32" t="n">
        <f>3252124133</f>
        <v>3.252124133E9</v>
      </c>
      <c r="X388" s="36" t="n">
        <f>21</f>
        <v>21.0</v>
      </c>
    </row>
    <row r="389">
      <c r="A389" s="27" t="s">
        <v>42</v>
      </c>
      <c r="B389" s="27" t="s">
        <v>1217</v>
      </c>
      <c r="C389" s="27" t="s">
        <v>1218</v>
      </c>
      <c r="D389" s="27" t="s">
        <v>1219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118300</f>
        <v>118300.0</v>
      </c>
      <c r="L389" s="34" t="s">
        <v>48</v>
      </c>
      <c r="M389" s="33" t="n">
        <f>123800</f>
        <v>123800.0</v>
      </c>
      <c r="N389" s="34" t="s">
        <v>723</v>
      </c>
      <c r="O389" s="33" t="n">
        <f>117600</f>
        <v>117600.0</v>
      </c>
      <c r="P389" s="34" t="s">
        <v>48</v>
      </c>
      <c r="Q389" s="33" t="n">
        <f>121500</f>
        <v>121500.0</v>
      </c>
      <c r="R389" s="34" t="s">
        <v>49</v>
      </c>
      <c r="S389" s="35" t="n">
        <f>121052.38</f>
        <v>121052.38</v>
      </c>
      <c r="T389" s="32" t="n">
        <f>180396</f>
        <v>180396.0</v>
      </c>
      <c r="U389" s="32" t="n">
        <f>37320</f>
        <v>37320.0</v>
      </c>
      <c r="V389" s="32" t="n">
        <f>21876642093</f>
        <v>2.1876642093E10</v>
      </c>
      <c r="W389" s="32" t="n">
        <f>4522342493</f>
        <v>4.522342493E9</v>
      </c>
      <c r="X389" s="36" t="n">
        <f>21</f>
        <v>21.0</v>
      </c>
    </row>
    <row r="390">
      <c r="A390" s="27" t="s">
        <v>42</v>
      </c>
      <c r="B390" s="27" t="s">
        <v>1220</v>
      </c>
      <c r="C390" s="27" t="s">
        <v>1221</v>
      </c>
      <c r="D390" s="27" t="s">
        <v>1222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148700</f>
        <v>148700.0</v>
      </c>
      <c r="L390" s="34" t="s">
        <v>48</v>
      </c>
      <c r="M390" s="33" t="n">
        <f>152600</f>
        <v>152600.0</v>
      </c>
      <c r="N390" s="34" t="s">
        <v>86</v>
      </c>
      <c r="O390" s="33" t="n">
        <f>145500</f>
        <v>145500.0</v>
      </c>
      <c r="P390" s="34" t="s">
        <v>152</v>
      </c>
      <c r="Q390" s="33" t="n">
        <f>149600</f>
        <v>149600.0</v>
      </c>
      <c r="R390" s="34" t="s">
        <v>49</v>
      </c>
      <c r="S390" s="35" t="n">
        <f>149757.14</f>
        <v>149757.14</v>
      </c>
      <c r="T390" s="32" t="n">
        <f>134157</f>
        <v>134157.0</v>
      </c>
      <c r="U390" s="32" t="n">
        <f>30171</f>
        <v>30171.0</v>
      </c>
      <c r="V390" s="32" t="n">
        <f>20066683025</f>
        <v>2.0066683025E10</v>
      </c>
      <c r="W390" s="32" t="n">
        <f>4507635225</f>
        <v>4.507635225E9</v>
      </c>
      <c r="X390" s="36" t="n">
        <f>21</f>
        <v>21.0</v>
      </c>
    </row>
    <row r="391">
      <c r="A391" s="27" t="s">
        <v>42</v>
      </c>
      <c r="B391" s="27" t="s">
        <v>1223</v>
      </c>
      <c r="C391" s="27" t="s">
        <v>1224</v>
      </c>
      <c r="D391" s="27" t="s">
        <v>1225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115100</f>
        <v>115100.0</v>
      </c>
      <c r="L391" s="34" t="s">
        <v>48</v>
      </c>
      <c r="M391" s="33" t="n">
        <f>125300</f>
        <v>125300.0</v>
      </c>
      <c r="N391" s="34" t="s">
        <v>60</v>
      </c>
      <c r="O391" s="33" t="n">
        <f>114800</f>
        <v>114800.0</v>
      </c>
      <c r="P391" s="34" t="s">
        <v>48</v>
      </c>
      <c r="Q391" s="33" t="n">
        <f>122700</f>
        <v>122700.0</v>
      </c>
      <c r="R391" s="34" t="s">
        <v>49</v>
      </c>
      <c r="S391" s="35" t="n">
        <f>120585.71</f>
        <v>120585.71</v>
      </c>
      <c r="T391" s="32" t="n">
        <f>143212</f>
        <v>143212.0</v>
      </c>
      <c r="U391" s="32" t="n">
        <f>32151</f>
        <v>32151.0</v>
      </c>
      <c r="V391" s="32" t="n">
        <f>17282717687</f>
        <v>1.7282717687E10</v>
      </c>
      <c r="W391" s="32" t="n">
        <f>3890510387</f>
        <v>3.890510387E9</v>
      </c>
      <c r="X391" s="36" t="n">
        <f>21</f>
        <v>21.0</v>
      </c>
    </row>
    <row r="392">
      <c r="A392" s="27" t="s">
        <v>42</v>
      </c>
      <c r="B392" s="27" t="s">
        <v>1226</v>
      </c>
      <c r="C392" s="27" t="s">
        <v>1227</v>
      </c>
      <c r="D392" s="27" t="s">
        <v>1228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127500</f>
        <v>127500.0</v>
      </c>
      <c r="L392" s="34" t="s">
        <v>48</v>
      </c>
      <c r="M392" s="33" t="n">
        <f>131500</f>
        <v>131500.0</v>
      </c>
      <c r="N392" s="34" t="s">
        <v>102</v>
      </c>
      <c r="O392" s="33" t="n">
        <f>126400</f>
        <v>126400.0</v>
      </c>
      <c r="P392" s="34" t="s">
        <v>152</v>
      </c>
      <c r="Q392" s="33" t="n">
        <f>129700</f>
        <v>129700.0</v>
      </c>
      <c r="R392" s="34" t="s">
        <v>49</v>
      </c>
      <c r="S392" s="35" t="n">
        <f>129152.38</f>
        <v>129152.38</v>
      </c>
      <c r="T392" s="32" t="n">
        <f>298022</f>
        <v>298022.0</v>
      </c>
      <c r="U392" s="32" t="n">
        <f>72268</f>
        <v>72268.0</v>
      </c>
      <c r="V392" s="32" t="n">
        <f>38521419510</f>
        <v>3.852141951E10</v>
      </c>
      <c r="W392" s="32" t="n">
        <f>9335249010</f>
        <v>9.33524901E9</v>
      </c>
      <c r="X392" s="36" t="n">
        <f>21</f>
        <v>21.0</v>
      </c>
    </row>
    <row r="393">
      <c r="A393" s="27" t="s">
        <v>42</v>
      </c>
      <c r="B393" s="27" t="s">
        <v>1229</v>
      </c>
      <c r="C393" s="27" t="s">
        <v>1230</v>
      </c>
      <c r="D393" s="27" t="s">
        <v>1231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283300</f>
        <v>283300.0</v>
      </c>
      <c r="L393" s="34" t="s">
        <v>48</v>
      </c>
      <c r="M393" s="33" t="n">
        <f>291800</f>
        <v>291800.0</v>
      </c>
      <c r="N393" s="34" t="s">
        <v>86</v>
      </c>
      <c r="O393" s="33" t="n">
        <f>282600</f>
        <v>282600.0</v>
      </c>
      <c r="P393" s="34" t="s">
        <v>69</v>
      </c>
      <c r="Q393" s="33" t="n">
        <f>286700</f>
        <v>286700.0</v>
      </c>
      <c r="R393" s="34" t="s">
        <v>49</v>
      </c>
      <c r="S393" s="35" t="n">
        <f>287514.29</f>
        <v>287514.29</v>
      </c>
      <c r="T393" s="32" t="n">
        <f>63247</f>
        <v>63247.0</v>
      </c>
      <c r="U393" s="32" t="n">
        <f>19511</f>
        <v>19511.0</v>
      </c>
      <c r="V393" s="32" t="n">
        <f>18168340100</f>
        <v>1.81683401E10</v>
      </c>
      <c r="W393" s="32" t="n">
        <f>5596939400</f>
        <v>5.5969394E9</v>
      </c>
      <c r="X393" s="36" t="n">
        <f>21</f>
        <v>21.0</v>
      </c>
    </row>
    <row r="394">
      <c r="A394" s="27" t="s">
        <v>42</v>
      </c>
      <c r="B394" s="27" t="s">
        <v>1232</v>
      </c>
      <c r="C394" s="27" t="s">
        <v>1233</v>
      </c>
      <c r="D394" s="27" t="s">
        <v>1234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77200</f>
        <v>77200.0</v>
      </c>
      <c r="L394" s="34" t="s">
        <v>48</v>
      </c>
      <c r="M394" s="33" t="n">
        <f>82000</f>
        <v>82000.0</v>
      </c>
      <c r="N394" s="34" t="s">
        <v>198</v>
      </c>
      <c r="O394" s="33" t="n">
        <f>76800</f>
        <v>76800.0</v>
      </c>
      <c r="P394" s="34" t="s">
        <v>48</v>
      </c>
      <c r="Q394" s="33" t="n">
        <f>79600</f>
        <v>79600.0</v>
      </c>
      <c r="R394" s="34" t="s">
        <v>49</v>
      </c>
      <c r="S394" s="35" t="n">
        <f>79404.76</f>
        <v>79404.76</v>
      </c>
      <c r="T394" s="32" t="n">
        <f>507244</f>
        <v>507244.0</v>
      </c>
      <c r="U394" s="32" t="n">
        <f>124702</f>
        <v>124702.0</v>
      </c>
      <c r="V394" s="32" t="n">
        <f>40362090108</f>
        <v>4.0362090108E10</v>
      </c>
      <c r="W394" s="32" t="n">
        <f>9919558908</f>
        <v>9.919558908E9</v>
      </c>
      <c r="X394" s="36" t="n">
        <f>21</f>
        <v>21.0</v>
      </c>
    </row>
    <row r="395">
      <c r="A395" s="27" t="s">
        <v>42</v>
      </c>
      <c r="B395" s="27" t="s">
        <v>1235</v>
      </c>
      <c r="C395" s="27" t="s">
        <v>1236</v>
      </c>
      <c r="D395" s="27" t="s">
        <v>1237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236900</f>
        <v>236900.0</v>
      </c>
      <c r="L395" s="34" t="s">
        <v>48</v>
      </c>
      <c r="M395" s="33" t="n">
        <f>254500</f>
        <v>254500.0</v>
      </c>
      <c r="N395" s="34" t="s">
        <v>269</v>
      </c>
      <c r="O395" s="33" t="n">
        <f>235900</f>
        <v>235900.0</v>
      </c>
      <c r="P395" s="34" t="s">
        <v>48</v>
      </c>
      <c r="Q395" s="33" t="n">
        <f>241000</f>
        <v>241000.0</v>
      </c>
      <c r="R395" s="34" t="s">
        <v>49</v>
      </c>
      <c r="S395" s="35" t="n">
        <f>243466.67</f>
        <v>243466.67</v>
      </c>
      <c r="T395" s="32" t="n">
        <f>52391</f>
        <v>52391.0</v>
      </c>
      <c r="U395" s="32" t="n">
        <f>10669</f>
        <v>10669.0</v>
      </c>
      <c r="V395" s="32" t="n">
        <f>12803767682</f>
        <v>1.2803767682E10</v>
      </c>
      <c r="W395" s="32" t="n">
        <f>2592683182</f>
        <v>2.592683182E9</v>
      </c>
      <c r="X395" s="36" t="n">
        <f>21</f>
        <v>21.0</v>
      </c>
    </row>
    <row r="396">
      <c r="A396" s="27" t="s">
        <v>42</v>
      </c>
      <c r="B396" s="27" t="s">
        <v>1238</v>
      </c>
      <c r="C396" s="27" t="s">
        <v>1239</v>
      </c>
      <c r="D396" s="27" t="s">
        <v>1240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1118</f>
        <v>1118.0</v>
      </c>
      <c r="L396" s="34" t="s">
        <v>48</v>
      </c>
      <c r="M396" s="33" t="n">
        <f>1118</f>
        <v>1118.0</v>
      </c>
      <c r="N396" s="34" t="s">
        <v>48</v>
      </c>
      <c r="O396" s="33" t="n">
        <f>1075</f>
        <v>1075.0</v>
      </c>
      <c r="P396" s="34" t="s">
        <v>60</v>
      </c>
      <c r="Q396" s="33" t="n">
        <f>1097</f>
        <v>1097.0</v>
      </c>
      <c r="R396" s="34" t="s">
        <v>49</v>
      </c>
      <c r="S396" s="35" t="n">
        <f>1094.52</f>
        <v>1094.52</v>
      </c>
      <c r="T396" s="32" t="n">
        <f>8946</f>
        <v>8946.0</v>
      </c>
      <c r="U396" s="32" t="str">
        <f>"－"</f>
        <v>－</v>
      </c>
      <c r="V396" s="32" t="n">
        <f>9812038</f>
        <v>9812038.0</v>
      </c>
      <c r="W396" s="32" t="str">
        <f>"－"</f>
        <v>－</v>
      </c>
      <c r="X396" s="36" t="n">
        <f>21</f>
        <v>21.0</v>
      </c>
    </row>
    <row r="397">
      <c r="A397" s="27" t="s">
        <v>42</v>
      </c>
      <c r="B397" s="27" t="s">
        <v>1241</v>
      </c>
      <c r="C397" s="27" t="s">
        <v>1242</v>
      </c>
      <c r="D397" s="27" t="s">
        <v>1243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246900</f>
        <v>246900.0</v>
      </c>
      <c r="L397" s="34" t="s">
        <v>48</v>
      </c>
      <c r="M397" s="33" t="n">
        <f>260500</f>
        <v>260500.0</v>
      </c>
      <c r="N397" s="34" t="s">
        <v>49</v>
      </c>
      <c r="O397" s="33" t="n">
        <f>243100</f>
        <v>243100.0</v>
      </c>
      <c r="P397" s="34" t="s">
        <v>220</v>
      </c>
      <c r="Q397" s="33" t="n">
        <f>257400</f>
        <v>257400.0</v>
      </c>
      <c r="R397" s="34" t="s">
        <v>49</v>
      </c>
      <c r="S397" s="35" t="n">
        <f>250333.33</f>
        <v>250333.33</v>
      </c>
      <c r="T397" s="32" t="n">
        <f>19528</f>
        <v>19528.0</v>
      </c>
      <c r="U397" s="32" t="n">
        <f>4201</f>
        <v>4201.0</v>
      </c>
      <c r="V397" s="32" t="n">
        <f>4883687616</f>
        <v>4.883687616E9</v>
      </c>
      <c r="W397" s="32" t="n">
        <f>1046791916</f>
        <v>1.046791916E9</v>
      </c>
      <c r="X397" s="36" t="n">
        <f>21</f>
        <v>21.0</v>
      </c>
    </row>
    <row r="398">
      <c r="A398" s="27" t="s">
        <v>42</v>
      </c>
      <c r="B398" s="27" t="s">
        <v>1244</v>
      </c>
      <c r="C398" s="27" t="s">
        <v>1245</v>
      </c>
      <c r="D398" s="27" t="s">
        <v>1246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125100</f>
        <v>125100.0</v>
      </c>
      <c r="L398" s="34" t="s">
        <v>48</v>
      </c>
      <c r="M398" s="33" t="n">
        <f>128700</f>
        <v>128700.0</v>
      </c>
      <c r="N398" s="34" t="s">
        <v>86</v>
      </c>
      <c r="O398" s="33" t="n">
        <f>124600</f>
        <v>124600.0</v>
      </c>
      <c r="P398" s="34" t="s">
        <v>69</v>
      </c>
      <c r="Q398" s="33" t="n">
        <f>126800</f>
        <v>126800.0</v>
      </c>
      <c r="R398" s="34" t="s">
        <v>49</v>
      </c>
      <c r="S398" s="35" t="n">
        <f>126557.14</f>
        <v>126557.14</v>
      </c>
      <c r="T398" s="32" t="n">
        <f>96686</f>
        <v>96686.0</v>
      </c>
      <c r="U398" s="32" t="n">
        <f>19610</f>
        <v>19610.0</v>
      </c>
      <c r="V398" s="32" t="n">
        <f>12262746221</f>
        <v>1.2262746221E10</v>
      </c>
      <c r="W398" s="32" t="n">
        <f>2486878121</f>
        <v>2.486878121E9</v>
      </c>
      <c r="X398" s="36" t="n">
        <f>21</f>
        <v>21.0</v>
      </c>
    </row>
    <row r="399">
      <c r="A399" s="27" t="s">
        <v>42</v>
      </c>
      <c r="B399" s="27" t="s">
        <v>1247</v>
      </c>
      <c r="C399" s="27" t="s">
        <v>1248</v>
      </c>
      <c r="D399" s="27" t="s">
        <v>1249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151900</f>
        <v>151900.0</v>
      </c>
      <c r="L399" s="34" t="s">
        <v>48</v>
      </c>
      <c r="M399" s="33" t="n">
        <f>157400</f>
        <v>157400.0</v>
      </c>
      <c r="N399" s="34" t="s">
        <v>102</v>
      </c>
      <c r="O399" s="33" t="n">
        <f>151200</f>
        <v>151200.0</v>
      </c>
      <c r="P399" s="34" t="s">
        <v>69</v>
      </c>
      <c r="Q399" s="33" t="n">
        <f>156000</f>
        <v>156000.0</v>
      </c>
      <c r="R399" s="34" t="s">
        <v>49</v>
      </c>
      <c r="S399" s="35" t="n">
        <f>154328.57</f>
        <v>154328.57</v>
      </c>
      <c r="T399" s="32" t="n">
        <f>78554</f>
        <v>78554.0</v>
      </c>
      <c r="U399" s="32" t="n">
        <f>18819</f>
        <v>18819.0</v>
      </c>
      <c r="V399" s="32" t="n">
        <f>12150284401</f>
        <v>1.2150284401E10</v>
      </c>
      <c r="W399" s="32" t="n">
        <f>2917268801</f>
        <v>2.917268801E9</v>
      </c>
      <c r="X399" s="36" t="n">
        <f>21</f>
        <v>21.0</v>
      </c>
    </row>
    <row r="400">
      <c r="A400" s="27" t="s">
        <v>42</v>
      </c>
      <c r="B400" s="27" t="s">
        <v>1250</v>
      </c>
      <c r="C400" s="27" t="s">
        <v>1251</v>
      </c>
      <c r="D400" s="27" t="s">
        <v>1252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86900</f>
        <v>86900.0</v>
      </c>
      <c r="L400" s="34" t="s">
        <v>48</v>
      </c>
      <c r="M400" s="33" t="n">
        <f>91500</f>
        <v>91500.0</v>
      </c>
      <c r="N400" s="34" t="s">
        <v>60</v>
      </c>
      <c r="O400" s="33" t="n">
        <f>86600</f>
        <v>86600.0</v>
      </c>
      <c r="P400" s="34" t="s">
        <v>48</v>
      </c>
      <c r="Q400" s="33" t="n">
        <f>88400</f>
        <v>88400.0</v>
      </c>
      <c r="R400" s="34" t="s">
        <v>49</v>
      </c>
      <c r="S400" s="35" t="n">
        <f>88914.29</f>
        <v>88914.29</v>
      </c>
      <c r="T400" s="32" t="n">
        <f>137547</f>
        <v>137547.0</v>
      </c>
      <c r="U400" s="32" t="n">
        <f>31898</f>
        <v>31898.0</v>
      </c>
      <c r="V400" s="32" t="n">
        <f>12254689494</f>
        <v>1.2254689494E10</v>
      </c>
      <c r="W400" s="32" t="n">
        <f>2832408594</f>
        <v>2.832408594E9</v>
      </c>
      <c r="X400" s="36" t="n">
        <f>21</f>
        <v>21.0</v>
      </c>
    </row>
    <row r="401">
      <c r="A401" s="27" t="s">
        <v>42</v>
      </c>
      <c r="B401" s="27" t="s">
        <v>1253</v>
      </c>
      <c r="C401" s="27" t="s">
        <v>1254</v>
      </c>
      <c r="D401" s="27" t="s">
        <v>1255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77500</f>
        <v>77500.0</v>
      </c>
      <c r="L401" s="34" t="s">
        <v>48</v>
      </c>
      <c r="M401" s="33" t="n">
        <f>79100</f>
        <v>79100.0</v>
      </c>
      <c r="N401" s="34" t="s">
        <v>86</v>
      </c>
      <c r="O401" s="33" t="n">
        <f>74300</f>
        <v>74300.0</v>
      </c>
      <c r="P401" s="34" t="s">
        <v>207</v>
      </c>
      <c r="Q401" s="33" t="n">
        <f>75900</f>
        <v>75900.0</v>
      </c>
      <c r="R401" s="34" t="s">
        <v>49</v>
      </c>
      <c r="S401" s="35" t="n">
        <f>76671.43</f>
        <v>76671.43</v>
      </c>
      <c r="T401" s="32" t="n">
        <f>324186</f>
        <v>324186.0</v>
      </c>
      <c r="U401" s="32" t="n">
        <f>80834</f>
        <v>80834.0</v>
      </c>
      <c r="V401" s="32" t="n">
        <f>24792816183</f>
        <v>2.4792816183E10</v>
      </c>
      <c r="W401" s="32" t="n">
        <f>6175189383</f>
        <v>6.175189383E9</v>
      </c>
      <c r="X401" s="36" t="n">
        <f>21</f>
        <v>21.0</v>
      </c>
    </row>
    <row r="402">
      <c r="A402" s="27" t="s">
        <v>42</v>
      </c>
      <c r="B402" s="27" t="s">
        <v>1256</v>
      </c>
      <c r="C402" s="27" t="s">
        <v>1257</v>
      </c>
      <c r="D402" s="27" t="s">
        <v>1258</v>
      </c>
      <c r="E402" s="28" t="s">
        <v>46</v>
      </c>
      <c r="F402" s="29" t="s">
        <v>46</v>
      </c>
      <c r="G402" s="30" t="s">
        <v>46</v>
      </c>
      <c r="H402" s="31"/>
      <c r="I402" s="31" t="s">
        <v>416</v>
      </c>
      <c r="J402" s="32" t="n">
        <v>1.0</v>
      </c>
      <c r="K402" s="33" t="n">
        <f>129300</f>
        <v>129300.0</v>
      </c>
      <c r="L402" s="34" t="s">
        <v>48</v>
      </c>
      <c r="M402" s="33" t="n">
        <f>136800</f>
        <v>136800.0</v>
      </c>
      <c r="N402" s="34" t="s">
        <v>102</v>
      </c>
      <c r="O402" s="33" t="n">
        <f>128200</f>
        <v>128200.0</v>
      </c>
      <c r="P402" s="34" t="s">
        <v>48</v>
      </c>
      <c r="Q402" s="33" t="n">
        <f>135200</f>
        <v>135200.0</v>
      </c>
      <c r="R402" s="34" t="s">
        <v>49</v>
      </c>
      <c r="S402" s="35" t="n">
        <f>132785.71</f>
        <v>132785.71</v>
      </c>
      <c r="T402" s="32" t="n">
        <f>19247</f>
        <v>19247.0</v>
      </c>
      <c r="U402" s="32" t="n">
        <f>2946</f>
        <v>2946.0</v>
      </c>
      <c r="V402" s="32" t="n">
        <f>2559116372</f>
        <v>2.559116372E9</v>
      </c>
      <c r="W402" s="32" t="n">
        <f>392150172</f>
        <v>3.92150172E8</v>
      </c>
      <c r="X402" s="36" t="n">
        <f>21</f>
        <v>21.0</v>
      </c>
    </row>
    <row r="403">
      <c r="A403" s="27" t="s">
        <v>42</v>
      </c>
      <c r="B403" s="27" t="s">
        <v>1259</v>
      </c>
      <c r="C403" s="27" t="s">
        <v>1260</v>
      </c>
      <c r="D403" s="27" t="s">
        <v>1261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112500</f>
        <v>112500.0</v>
      </c>
      <c r="L403" s="34" t="s">
        <v>48</v>
      </c>
      <c r="M403" s="33" t="n">
        <f>117500</f>
        <v>117500.0</v>
      </c>
      <c r="N403" s="34" t="s">
        <v>49</v>
      </c>
      <c r="O403" s="33" t="n">
        <f>110700</f>
        <v>110700.0</v>
      </c>
      <c r="P403" s="34" t="s">
        <v>69</v>
      </c>
      <c r="Q403" s="33" t="n">
        <f>115800</f>
        <v>115800.0</v>
      </c>
      <c r="R403" s="34" t="s">
        <v>49</v>
      </c>
      <c r="S403" s="35" t="n">
        <f>113961.9</f>
        <v>113961.9</v>
      </c>
      <c r="T403" s="32" t="n">
        <f>15369</f>
        <v>15369.0</v>
      </c>
      <c r="U403" s="32" t="n">
        <f>2668</f>
        <v>2668.0</v>
      </c>
      <c r="V403" s="32" t="n">
        <f>1754045932</f>
        <v>1.754045932E9</v>
      </c>
      <c r="W403" s="32" t="n">
        <f>304485732</f>
        <v>3.04485732E8</v>
      </c>
      <c r="X403" s="36" t="n">
        <f>21</f>
        <v>21.0</v>
      </c>
    </row>
    <row r="404">
      <c r="A404" s="27" t="s">
        <v>42</v>
      </c>
      <c r="B404" s="27" t="s">
        <v>1262</v>
      </c>
      <c r="C404" s="27" t="s">
        <v>1263</v>
      </c>
      <c r="D404" s="27" t="s">
        <v>1264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92000</f>
        <v>92000.0</v>
      </c>
      <c r="L404" s="34" t="s">
        <v>48</v>
      </c>
      <c r="M404" s="33" t="n">
        <f>97800</f>
        <v>97800.0</v>
      </c>
      <c r="N404" s="34" t="s">
        <v>151</v>
      </c>
      <c r="O404" s="33" t="n">
        <f>91200</f>
        <v>91200.0</v>
      </c>
      <c r="P404" s="34" t="s">
        <v>69</v>
      </c>
      <c r="Q404" s="33" t="n">
        <f>97000</f>
        <v>97000.0</v>
      </c>
      <c r="R404" s="34" t="s">
        <v>49</v>
      </c>
      <c r="S404" s="35" t="n">
        <f>94328.57</f>
        <v>94328.57</v>
      </c>
      <c r="T404" s="32" t="n">
        <f>32568</f>
        <v>32568.0</v>
      </c>
      <c r="U404" s="32" t="n">
        <f>4896</f>
        <v>4896.0</v>
      </c>
      <c r="V404" s="32" t="n">
        <f>3070038902</f>
        <v>3.070038902E9</v>
      </c>
      <c r="W404" s="32" t="n">
        <f>464050902</f>
        <v>4.64050902E8</v>
      </c>
      <c r="X404" s="36" t="n">
        <f>21</f>
        <v>21.0</v>
      </c>
    </row>
    <row r="405">
      <c r="A405" s="27" t="s">
        <v>42</v>
      </c>
      <c r="B405" s="27" t="s">
        <v>1265</v>
      </c>
      <c r="C405" s="27" t="s">
        <v>1266</v>
      </c>
      <c r="D405" s="27" t="s">
        <v>1267</v>
      </c>
      <c r="E405" s="28" t="s">
        <v>46</v>
      </c>
      <c r="F405" s="29" t="s">
        <v>46</v>
      </c>
      <c r="G405" s="30" t="s">
        <v>46</v>
      </c>
      <c r="H405" s="31"/>
      <c r="I405" s="31" t="s">
        <v>416</v>
      </c>
      <c r="J405" s="32" t="n">
        <v>1.0</v>
      </c>
      <c r="K405" s="33" t="n">
        <f>10170</f>
        <v>10170.0</v>
      </c>
      <c r="L405" s="34" t="s">
        <v>48</v>
      </c>
      <c r="M405" s="33" t="n">
        <f>10305</f>
        <v>10305.0</v>
      </c>
      <c r="N405" s="34" t="s">
        <v>49</v>
      </c>
      <c r="O405" s="33" t="n">
        <f>10000</f>
        <v>10000.0</v>
      </c>
      <c r="P405" s="34" t="s">
        <v>50</v>
      </c>
      <c r="Q405" s="33" t="n">
        <f>10305</f>
        <v>10305.0</v>
      </c>
      <c r="R405" s="34" t="s">
        <v>49</v>
      </c>
      <c r="S405" s="35" t="n">
        <f>10097.65</f>
        <v>10097.65</v>
      </c>
      <c r="T405" s="32" t="n">
        <f>6282</f>
        <v>6282.0</v>
      </c>
      <c r="U405" s="32" t="str">
        <f>"－"</f>
        <v>－</v>
      </c>
      <c r="V405" s="32" t="n">
        <f>63370095</f>
        <v>6.3370095E7</v>
      </c>
      <c r="W405" s="32" t="str">
        <f>"－"</f>
        <v>－</v>
      </c>
      <c r="X405" s="36" t="n">
        <f>17</f>
        <v>17.0</v>
      </c>
    </row>
    <row r="406">
      <c r="A406" s="27" t="s">
        <v>42</v>
      </c>
      <c r="B406" s="27" t="s">
        <v>1268</v>
      </c>
      <c r="C406" s="27" t="s">
        <v>1269</v>
      </c>
      <c r="D406" s="27" t="s">
        <v>1270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145000</f>
        <v>145000.0</v>
      </c>
      <c r="L406" s="34" t="s">
        <v>48</v>
      </c>
      <c r="M406" s="33" t="n">
        <f>149800</f>
        <v>149800.0</v>
      </c>
      <c r="N406" s="34" t="s">
        <v>102</v>
      </c>
      <c r="O406" s="33" t="n">
        <f>141900</f>
        <v>141900.0</v>
      </c>
      <c r="P406" s="34" t="s">
        <v>304</v>
      </c>
      <c r="Q406" s="33" t="n">
        <f>147200</f>
        <v>147200.0</v>
      </c>
      <c r="R406" s="34" t="s">
        <v>49</v>
      </c>
      <c r="S406" s="35" t="n">
        <f>145800</f>
        <v>145800.0</v>
      </c>
      <c r="T406" s="32" t="n">
        <f>314077</f>
        <v>314077.0</v>
      </c>
      <c r="U406" s="32" t="n">
        <f>92152</f>
        <v>92152.0</v>
      </c>
      <c r="V406" s="32" t="n">
        <f>45691916471</f>
        <v>4.5691916471E10</v>
      </c>
      <c r="W406" s="32" t="n">
        <f>13350905771</f>
        <v>1.3350905771E10</v>
      </c>
      <c r="X406" s="36" t="n">
        <f>21</f>
        <v>21.0</v>
      </c>
    </row>
    <row r="407">
      <c r="A407" s="27" t="s">
        <v>42</v>
      </c>
      <c r="B407" s="27" t="s">
        <v>1271</v>
      </c>
      <c r="C407" s="27" t="s">
        <v>1272</v>
      </c>
      <c r="D407" s="27" t="s">
        <v>1273</v>
      </c>
      <c r="E407" s="28" t="s">
        <v>46</v>
      </c>
      <c r="F407" s="29" t="s">
        <v>46</v>
      </c>
      <c r="G407" s="30" t="s">
        <v>46</v>
      </c>
      <c r="H407" s="31"/>
      <c r="I407" s="31" t="s">
        <v>416</v>
      </c>
      <c r="J407" s="32" t="n">
        <v>1.0</v>
      </c>
      <c r="K407" s="33" t="n">
        <f>122200</f>
        <v>122200.0</v>
      </c>
      <c r="L407" s="34" t="s">
        <v>48</v>
      </c>
      <c r="M407" s="33" t="n">
        <f>131200</f>
        <v>131200.0</v>
      </c>
      <c r="N407" s="34" t="s">
        <v>49</v>
      </c>
      <c r="O407" s="33" t="n">
        <f>121300</f>
        <v>121300.0</v>
      </c>
      <c r="P407" s="34" t="s">
        <v>48</v>
      </c>
      <c r="Q407" s="33" t="n">
        <f>130600</f>
        <v>130600.0</v>
      </c>
      <c r="R407" s="34" t="s">
        <v>49</v>
      </c>
      <c r="S407" s="35" t="n">
        <f>126928.57</f>
        <v>126928.57</v>
      </c>
      <c r="T407" s="32" t="n">
        <f>28886</f>
        <v>28886.0</v>
      </c>
      <c r="U407" s="32" t="n">
        <f>3277</f>
        <v>3277.0</v>
      </c>
      <c r="V407" s="32" t="n">
        <f>3658596340</f>
        <v>3.65859634E9</v>
      </c>
      <c r="W407" s="32" t="n">
        <f>416486440</f>
        <v>4.1648644E8</v>
      </c>
      <c r="X407" s="36" t="n">
        <f>21</f>
        <v>21.0</v>
      </c>
    </row>
    <row r="408">
      <c r="A408" s="27" t="s">
        <v>42</v>
      </c>
      <c r="B408" s="27" t="s">
        <v>1274</v>
      </c>
      <c r="C408" s="27" t="s">
        <v>1275</v>
      </c>
      <c r="D408" s="27" t="s">
        <v>1276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134600</f>
        <v>134600.0</v>
      </c>
      <c r="L408" s="34" t="s">
        <v>48</v>
      </c>
      <c r="M408" s="33" t="n">
        <f>141400</f>
        <v>141400.0</v>
      </c>
      <c r="N408" s="34" t="s">
        <v>49</v>
      </c>
      <c r="O408" s="33" t="n">
        <f>134200</f>
        <v>134200.0</v>
      </c>
      <c r="P408" s="34" t="s">
        <v>48</v>
      </c>
      <c r="Q408" s="33" t="n">
        <f>139100</f>
        <v>139100.0</v>
      </c>
      <c r="R408" s="34" t="s">
        <v>49</v>
      </c>
      <c r="S408" s="35" t="n">
        <f>137100</f>
        <v>137100.0</v>
      </c>
      <c r="T408" s="32" t="n">
        <f>136582</f>
        <v>136582.0</v>
      </c>
      <c r="U408" s="32" t="n">
        <f>35980</f>
        <v>35980.0</v>
      </c>
      <c r="V408" s="32" t="n">
        <f>18781874461</f>
        <v>1.8781874461E10</v>
      </c>
      <c r="W408" s="32" t="n">
        <f>4952532761</f>
        <v>4.952532761E9</v>
      </c>
      <c r="X408" s="36" t="n">
        <f>21</f>
        <v>21.0</v>
      </c>
    </row>
    <row r="409">
      <c r="A409" s="27" t="s">
        <v>42</v>
      </c>
      <c r="B409" s="27" t="s">
        <v>1277</v>
      </c>
      <c r="C409" s="27" t="s">
        <v>1278</v>
      </c>
      <c r="D409" s="27" t="s">
        <v>1279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56300</f>
        <v>56300.0</v>
      </c>
      <c r="L409" s="34" t="s">
        <v>48</v>
      </c>
      <c r="M409" s="33" t="n">
        <f>58100</f>
        <v>58100.0</v>
      </c>
      <c r="N409" s="34" t="s">
        <v>151</v>
      </c>
      <c r="O409" s="33" t="n">
        <f>55800</f>
        <v>55800.0</v>
      </c>
      <c r="P409" s="34" t="s">
        <v>48</v>
      </c>
      <c r="Q409" s="33" t="n">
        <f>57200</f>
        <v>57200.0</v>
      </c>
      <c r="R409" s="34" t="s">
        <v>49</v>
      </c>
      <c r="S409" s="35" t="n">
        <f>57061.9</f>
        <v>57061.9</v>
      </c>
      <c r="T409" s="32" t="n">
        <f>207913</f>
        <v>207913.0</v>
      </c>
      <c r="U409" s="32" t="n">
        <f>47747</f>
        <v>47747.0</v>
      </c>
      <c r="V409" s="32" t="n">
        <f>11874671503</f>
        <v>1.1874671503E10</v>
      </c>
      <c r="W409" s="32" t="n">
        <f>2726369803</f>
        <v>2.726369803E9</v>
      </c>
      <c r="X409" s="36" t="n">
        <f>21</f>
        <v>21.0</v>
      </c>
    </row>
    <row r="410">
      <c r="A410" s="27" t="s">
        <v>42</v>
      </c>
      <c r="B410" s="27" t="s">
        <v>1280</v>
      </c>
      <c r="C410" s="27" t="s">
        <v>1281</v>
      </c>
      <c r="D410" s="27" t="s">
        <v>1282</v>
      </c>
      <c r="E410" s="28" t="s">
        <v>46</v>
      </c>
      <c r="F410" s="29" t="s">
        <v>46</v>
      </c>
      <c r="G410" s="30" t="s">
        <v>46</v>
      </c>
      <c r="H410" s="31"/>
      <c r="I410" s="31" t="s">
        <v>47</v>
      </c>
      <c r="J410" s="32" t="n">
        <v>1.0</v>
      </c>
      <c r="K410" s="33" t="n">
        <f>2129</f>
        <v>2129.0</v>
      </c>
      <c r="L410" s="34" t="s">
        <v>48</v>
      </c>
      <c r="M410" s="33" t="n">
        <f>2489</f>
        <v>2489.0</v>
      </c>
      <c r="N410" s="34" t="s">
        <v>49</v>
      </c>
      <c r="O410" s="33" t="n">
        <f>2070</f>
        <v>2070.0</v>
      </c>
      <c r="P410" s="34" t="s">
        <v>48</v>
      </c>
      <c r="Q410" s="33" t="n">
        <f>2460</f>
        <v>2460.0</v>
      </c>
      <c r="R410" s="34" t="s">
        <v>49</v>
      </c>
      <c r="S410" s="35" t="n">
        <f>2274.48</f>
        <v>2274.48</v>
      </c>
      <c r="T410" s="32" t="n">
        <f>183245</f>
        <v>183245.0</v>
      </c>
      <c r="U410" s="32" t="str">
        <f>"－"</f>
        <v>－</v>
      </c>
      <c r="V410" s="32" t="n">
        <f>421873534</f>
        <v>4.21873534E8</v>
      </c>
      <c r="W410" s="32" t="str">
        <f>"－"</f>
        <v>－</v>
      </c>
      <c r="X410" s="36" t="n">
        <f>21</f>
        <v>21.0</v>
      </c>
    </row>
    <row r="411">
      <c r="A411" s="27" t="s">
        <v>42</v>
      </c>
      <c r="B411" s="27" t="s">
        <v>1283</v>
      </c>
      <c r="C411" s="27" t="s">
        <v>1284</v>
      </c>
      <c r="D411" s="27" t="s">
        <v>1285</v>
      </c>
      <c r="E411" s="28" t="s">
        <v>46</v>
      </c>
      <c r="F411" s="29" t="s">
        <v>46</v>
      </c>
      <c r="G411" s="30" t="s">
        <v>46</v>
      </c>
      <c r="H411" s="31"/>
      <c r="I411" s="31" t="s">
        <v>416</v>
      </c>
      <c r="J411" s="32" t="n">
        <v>1.0</v>
      </c>
      <c r="K411" s="33" t="n">
        <f>108600</f>
        <v>108600.0</v>
      </c>
      <c r="L411" s="34" t="s">
        <v>48</v>
      </c>
      <c r="M411" s="33" t="n">
        <f>112000</f>
        <v>112000.0</v>
      </c>
      <c r="N411" s="34" t="s">
        <v>82</v>
      </c>
      <c r="O411" s="33" t="n">
        <f>106700</f>
        <v>106700.0</v>
      </c>
      <c r="P411" s="34" t="s">
        <v>69</v>
      </c>
      <c r="Q411" s="33" t="n">
        <f>107500</f>
        <v>107500.0</v>
      </c>
      <c r="R411" s="34" t="s">
        <v>49</v>
      </c>
      <c r="S411" s="35" t="n">
        <f>109557.14</f>
        <v>109557.14</v>
      </c>
      <c r="T411" s="32" t="n">
        <f>30621</f>
        <v>30621.0</v>
      </c>
      <c r="U411" s="32" t="n">
        <f>2516</f>
        <v>2516.0</v>
      </c>
      <c r="V411" s="32" t="n">
        <f>3363049519</f>
        <v>3.363049519E9</v>
      </c>
      <c r="W411" s="32" t="n">
        <f>275460919</f>
        <v>2.75460919E8</v>
      </c>
      <c r="X411" s="36" t="n">
        <f>21</f>
        <v>21.0</v>
      </c>
    </row>
    <row r="412">
      <c r="A412" s="27" t="s">
        <v>42</v>
      </c>
      <c r="B412" s="27" t="s">
        <v>1286</v>
      </c>
      <c r="C412" s="27" t="s">
        <v>1287</v>
      </c>
      <c r="D412" s="27" t="s">
        <v>1288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101800</f>
        <v>101800.0</v>
      </c>
      <c r="L412" s="34" t="s">
        <v>48</v>
      </c>
      <c r="M412" s="33" t="n">
        <f>106000</f>
        <v>106000.0</v>
      </c>
      <c r="N412" s="34" t="s">
        <v>269</v>
      </c>
      <c r="O412" s="33" t="n">
        <f>100500</f>
        <v>100500.0</v>
      </c>
      <c r="P412" s="34" t="s">
        <v>220</v>
      </c>
      <c r="Q412" s="33" t="n">
        <f>104500</f>
        <v>104500.0</v>
      </c>
      <c r="R412" s="34" t="s">
        <v>49</v>
      </c>
      <c r="S412" s="35" t="n">
        <f>103361.9</f>
        <v>103361.9</v>
      </c>
      <c r="T412" s="32" t="n">
        <f>203718</f>
        <v>203718.0</v>
      </c>
      <c r="U412" s="32" t="n">
        <f>44665</f>
        <v>44665.0</v>
      </c>
      <c r="V412" s="32" t="n">
        <f>21085777442</f>
        <v>2.1085777442E10</v>
      </c>
      <c r="W412" s="32" t="n">
        <f>4606376842</f>
        <v>4.606376842E9</v>
      </c>
      <c r="X412" s="36" t="n">
        <f>21</f>
        <v>21.0</v>
      </c>
    </row>
    <row r="413">
      <c r="A413" s="27" t="s">
        <v>42</v>
      </c>
      <c r="B413" s="27" t="s">
        <v>1289</v>
      </c>
      <c r="C413" s="27" t="s">
        <v>1290</v>
      </c>
      <c r="D413" s="27" t="s">
        <v>1291</v>
      </c>
      <c r="E413" s="28" t="s">
        <v>46</v>
      </c>
      <c r="F413" s="29" t="s">
        <v>46</v>
      </c>
      <c r="G413" s="30" t="s">
        <v>46</v>
      </c>
      <c r="H413" s="31"/>
      <c r="I413" s="31" t="s">
        <v>416</v>
      </c>
      <c r="J413" s="32" t="n">
        <v>1.0</v>
      </c>
      <c r="K413" s="33" t="n">
        <f>66700</f>
        <v>66700.0</v>
      </c>
      <c r="L413" s="34" t="s">
        <v>48</v>
      </c>
      <c r="M413" s="33" t="n">
        <f>70500</f>
        <v>70500.0</v>
      </c>
      <c r="N413" s="34" t="s">
        <v>49</v>
      </c>
      <c r="O413" s="33" t="n">
        <f>65900</f>
        <v>65900.0</v>
      </c>
      <c r="P413" s="34" t="s">
        <v>69</v>
      </c>
      <c r="Q413" s="33" t="n">
        <f>69500</f>
        <v>69500.0</v>
      </c>
      <c r="R413" s="34" t="s">
        <v>49</v>
      </c>
      <c r="S413" s="35" t="n">
        <f>68242.86</f>
        <v>68242.86</v>
      </c>
      <c r="T413" s="32" t="n">
        <f>34947</f>
        <v>34947.0</v>
      </c>
      <c r="U413" s="32" t="n">
        <f>3075</f>
        <v>3075.0</v>
      </c>
      <c r="V413" s="32" t="n">
        <f>2380675413</f>
        <v>2.380675413E9</v>
      </c>
      <c r="W413" s="32" t="n">
        <f>210060313</f>
        <v>2.10060313E8</v>
      </c>
      <c r="X413" s="36" t="n">
        <f>21</f>
        <v>21.0</v>
      </c>
    </row>
    <row r="414">
      <c r="A414" s="27" t="s">
        <v>42</v>
      </c>
      <c r="B414" s="27" t="s">
        <v>1292</v>
      </c>
      <c r="C414" s="27" t="s">
        <v>1293</v>
      </c>
      <c r="D414" s="27" t="s">
        <v>1294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42950</f>
        <v>42950.0</v>
      </c>
      <c r="L414" s="34" t="s">
        <v>48</v>
      </c>
      <c r="M414" s="33" t="n">
        <f>45150</f>
        <v>45150.0</v>
      </c>
      <c r="N414" s="34" t="s">
        <v>64</v>
      </c>
      <c r="O414" s="33" t="n">
        <f>42600</f>
        <v>42600.0</v>
      </c>
      <c r="P414" s="34" t="s">
        <v>48</v>
      </c>
      <c r="Q414" s="33" t="n">
        <f>44200</f>
        <v>44200.0</v>
      </c>
      <c r="R414" s="34" t="s">
        <v>49</v>
      </c>
      <c r="S414" s="35" t="n">
        <f>44107.14</f>
        <v>44107.14</v>
      </c>
      <c r="T414" s="32" t="n">
        <f>112297</f>
        <v>112297.0</v>
      </c>
      <c r="U414" s="32" t="n">
        <f>23495</f>
        <v>23495.0</v>
      </c>
      <c r="V414" s="32" t="n">
        <f>4962835362</f>
        <v>4.962835362E9</v>
      </c>
      <c r="W414" s="32" t="n">
        <f>1038828612</f>
        <v>1.038828612E9</v>
      </c>
      <c r="X414" s="36" t="n">
        <f>21</f>
        <v>21.0</v>
      </c>
    </row>
    <row r="415">
      <c r="A415" s="27" t="s">
        <v>42</v>
      </c>
      <c r="B415" s="27" t="s">
        <v>1295</v>
      </c>
      <c r="C415" s="27" t="s">
        <v>1296</v>
      </c>
      <c r="D415" s="27" t="s">
        <v>1297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116700</f>
        <v>116700.0</v>
      </c>
      <c r="L415" s="34" t="s">
        <v>48</v>
      </c>
      <c r="M415" s="33" t="n">
        <f>120600</f>
        <v>120600.0</v>
      </c>
      <c r="N415" s="34" t="s">
        <v>151</v>
      </c>
      <c r="O415" s="33" t="n">
        <f>116000</f>
        <v>116000.0</v>
      </c>
      <c r="P415" s="34" t="s">
        <v>220</v>
      </c>
      <c r="Q415" s="33" t="n">
        <f>119000</f>
        <v>119000.0</v>
      </c>
      <c r="R415" s="34" t="s">
        <v>49</v>
      </c>
      <c r="S415" s="35" t="n">
        <f>117900</f>
        <v>117900.0</v>
      </c>
      <c r="T415" s="32" t="n">
        <f>115208</f>
        <v>115208.0</v>
      </c>
      <c r="U415" s="32" t="n">
        <f>19757</f>
        <v>19757.0</v>
      </c>
      <c r="V415" s="32" t="n">
        <f>13574452858</f>
        <v>1.3574452858E10</v>
      </c>
      <c r="W415" s="32" t="n">
        <f>2333812058</f>
        <v>2.333812058E9</v>
      </c>
      <c r="X415" s="36" t="n">
        <f>21</f>
        <v>21.0</v>
      </c>
    </row>
    <row r="416">
      <c r="A416" s="27" t="s">
        <v>42</v>
      </c>
      <c r="B416" s="27" t="s">
        <v>1298</v>
      </c>
      <c r="C416" s="27" t="s">
        <v>1299</v>
      </c>
      <c r="D416" s="27" t="s">
        <v>1300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148400</f>
        <v>148400.0</v>
      </c>
      <c r="L416" s="34" t="s">
        <v>48</v>
      </c>
      <c r="M416" s="33" t="n">
        <f>155000</f>
        <v>155000.0</v>
      </c>
      <c r="N416" s="34" t="s">
        <v>198</v>
      </c>
      <c r="O416" s="33" t="n">
        <f>147800</f>
        <v>147800.0</v>
      </c>
      <c r="P416" s="34" t="s">
        <v>69</v>
      </c>
      <c r="Q416" s="33" t="n">
        <f>151000</f>
        <v>151000.0</v>
      </c>
      <c r="R416" s="34" t="s">
        <v>49</v>
      </c>
      <c r="S416" s="35" t="n">
        <f>151966.67</f>
        <v>151966.67</v>
      </c>
      <c r="T416" s="32" t="n">
        <f>47372</f>
        <v>47372.0</v>
      </c>
      <c r="U416" s="32" t="n">
        <f>10361</f>
        <v>10361.0</v>
      </c>
      <c r="V416" s="32" t="n">
        <f>7202633490</f>
        <v>7.20263349E9</v>
      </c>
      <c r="W416" s="32" t="n">
        <f>1570333690</f>
        <v>1.57033369E9</v>
      </c>
      <c r="X416" s="36" t="n">
        <f>21</f>
        <v>21.0</v>
      </c>
    </row>
    <row r="417">
      <c r="A417" s="27" t="s">
        <v>42</v>
      </c>
      <c r="B417" s="27" t="s">
        <v>1301</v>
      </c>
      <c r="C417" s="27" t="s">
        <v>1302</v>
      </c>
      <c r="D417" s="27" t="s">
        <v>1303</v>
      </c>
      <c r="E417" s="28" t="s">
        <v>46</v>
      </c>
      <c r="F417" s="29" t="s">
        <v>46</v>
      </c>
      <c r="G417" s="30" t="s">
        <v>46</v>
      </c>
      <c r="H417" s="31"/>
      <c r="I417" s="31" t="s">
        <v>416</v>
      </c>
      <c r="J417" s="32" t="n">
        <v>1.0</v>
      </c>
      <c r="K417" s="33" t="n">
        <f>113000</f>
        <v>113000.0</v>
      </c>
      <c r="L417" s="34" t="s">
        <v>48</v>
      </c>
      <c r="M417" s="33" t="n">
        <f>114700</f>
        <v>114700.0</v>
      </c>
      <c r="N417" s="34" t="s">
        <v>151</v>
      </c>
      <c r="O417" s="33" t="n">
        <f>110200</f>
        <v>110200.0</v>
      </c>
      <c r="P417" s="34" t="s">
        <v>220</v>
      </c>
      <c r="Q417" s="33" t="n">
        <f>113600</f>
        <v>113600.0</v>
      </c>
      <c r="R417" s="34" t="s">
        <v>49</v>
      </c>
      <c r="S417" s="35" t="n">
        <f>112514.29</f>
        <v>112514.29</v>
      </c>
      <c r="T417" s="32" t="n">
        <f>15448</f>
        <v>15448.0</v>
      </c>
      <c r="U417" s="32" t="n">
        <f>3650</f>
        <v>3650.0</v>
      </c>
      <c r="V417" s="32" t="n">
        <f>1732404390</f>
        <v>1.73240439E9</v>
      </c>
      <c r="W417" s="32" t="n">
        <f>409048890</f>
        <v>4.0904889E8</v>
      </c>
      <c r="X417" s="36" t="n">
        <f>21</f>
        <v>21.0</v>
      </c>
    </row>
    <row r="418">
      <c r="A418" s="27" t="s">
        <v>42</v>
      </c>
      <c r="B418" s="27" t="s">
        <v>1304</v>
      </c>
      <c r="C418" s="27" t="s">
        <v>1305</v>
      </c>
      <c r="D418" s="27" t="s">
        <v>1306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10.0</v>
      </c>
      <c r="K418" s="33" t="n">
        <f>200</f>
        <v>200.0</v>
      </c>
      <c r="L418" s="34" t="s">
        <v>48</v>
      </c>
      <c r="M418" s="33" t="n">
        <f>208.5</f>
        <v>208.5</v>
      </c>
      <c r="N418" s="34" t="s">
        <v>49</v>
      </c>
      <c r="O418" s="33" t="n">
        <f>199.3</f>
        <v>199.3</v>
      </c>
      <c r="P418" s="34" t="s">
        <v>152</v>
      </c>
      <c r="Q418" s="33" t="n">
        <f>207.5</f>
        <v>207.5</v>
      </c>
      <c r="R418" s="34" t="s">
        <v>49</v>
      </c>
      <c r="S418" s="35" t="n">
        <f>202.1</f>
        <v>202.1</v>
      </c>
      <c r="T418" s="32" t="n">
        <f>422230</f>
        <v>422230.0</v>
      </c>
      <c r="U418" s="32" t="n">
        <f>430</f>
        <v>430.0</v>
      </c>
      <c r="V418" s="32" t="n">
        <f>85417096</f>
        <v>8.5417096E7</v>
      </c>
      <c r="W418" s="32" t="n">
        <f>83658</f>
        <v>83658.0</v>
      </c>
      <c r="X418" s="36" t="n">
        <f>21</f>
        <v>21.0</v>
      </c>
    </row>
    <row r="419">
      <c r="A419" s="27" t="s">
        <v>42</v>
      </c>
      <c r="B419" s="27" t="s">
        <v>1307</v>
      </c>
      <c r="C419" s="27" t="s">
        <v>1308</v>
      </c>
      <c r="D419" s="27" t="s">
        <v>1309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87100</f>
        <v>87100.0</v>
      </c>
      <c r="L419" s="34" t="s">
        <v>48</v>
      </c>
      <c r="M419" s="33" t="n">
        <f>91300</f>
        <v>91300.0</v>
      </c>
      <c r="N419" s="34" t="s">
        <v>49</v>
      </c>
      <c r="O419" s="33" t="n">
        <f>86900</f>
        <v>86900.0</v>
      </c>
      <c r="P419" s="34" t="s">
        <v>152</v>
      </c>
      <c r="Q419" s="33" t="n">
        <f>90300</f>
        <v>90300.0</v>
      </c>
      <c r="R419" s="34" t="s">
        <v>49</v>
      </c>
      <c r="S419" s="35" t="n">
        <f>89514.29</f>
        <v>89514.29</v>
      </c>
      <c r="T419" s="32" t="n">
        <f>71756</f>
        <v>71756.0</v>
      </c>
      <c r="U419" s="32" t="n">
        <f>11142</f>
        <v>11142.0</v>
      </c>
      <c r="V419" s="32" t="n">
        <f>6431727071</f>
        <v>6.431727071E9</v>
      </c>
      <c r="W419" s="32" t="n">
        <f>998361171</f>
        <v>9.98361171E8</v>
      </c>
      <c r="X419" s="36" t="n">
        <f>21</f>
        <v>21.0</v>
      </c>
    </row>
    <row r="420">
      <c r="A420" s="27" t="s">
        <v>42</v>
      </c>
      <c r="B420" s="27" t="s">
        <v>1310</v>
      </c>
      <c r="C420" s="27" t="s">
        <v>1311</v>
      </c>
      <c r="D420" s="27" t="s">
        <v>1312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10.0</v>
      </c>
      <c r="K420" s="33" t="n">
        <f>508</f>
        <v>508.0</v>
      </c>
      <c r="L420" s="34" t="s">
        <v>48</v>
      </c>
      <c r="M420" s="33" t="n">
        <f>585</f>
        <v>585.0</v>
      </c>
      <c r="N420" s="34" t="s">
        <v>68</v>
      </c>
      <c r="O420" s="33" t="n">
        <f>508</f>
        <v>508.0</v>
      </c>
      <c r="P420" s="34" t="s">
        <v>48</v>
      </c>
      <c r="Q420" s="33" t="n">
        <f>543.9</f>
        <v>543.9</v>
      </c>
      <c r="R420" s="34" t="s">
        <v>49</v>
      </c>
      <c r="S420" s="35" t="n">
        <f>528.64</f>
        <v>528.64</v>
      </c>
      <c r="T420" s="32" t="n">
        <f>271500</f>
        <v>271500.0</v>
      </c>
      <c r="U420" s="32" t="str">
        <f>"－"</f>
        <v>－</v>
      </c>
      <c r="V420" s="32" t="n">
        <f>141663188</f>
        <v>1.41663188E8</v>
      </c>
      <c r="W420" s="32" t="str">
        <f>"－"</f>
        <v>－</v>
      </c>
      <c r="X420" s="36" t="n">
        <f>21</f>
        <v>21.0</v>
      </c>
    </row>
    <row r="421">
      <c r="A421" s="27" t="s">
        <v>42</v>
      </c>
      <c r="B421" s="27" t="s">
        <v>1313</v>
      </c>
      <c r="C421" s="27" t="s">
        <v>1314</v>
      </c>
      <c r="D421" s="27" t="s">
        <v>1315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2194</f>
        <v>2194.0</v>
      </c>
      <c r="L421" s="34" t="s">
        <v>48</v>
      </c>
      <c r="M421" s="33" t="n">
        <f>2250</f>
        <v>2250.0</v>
      </c>
      <c r="N421" s="34" t="s">
        <v>269</v>
      </c>
      <c r="O421" s="33" t="n">
        <f>2149</f>
        <v>2149.0</v>
      </c>
      <c r="P421" s="34" t="s">
        <v>64</v>
      </c>
      <c r="Q421" s="33" t="n">
        <f>2240</f>
        <v>2240.0</v>
      </c>
      <c r="R421" s="34" t="s">
        <v>49</v>
      </c>
      <c r="S421" s="35" t="n">
        <f>2184.52</f>
        <v>2184.52</v>
      </c>
      <c r="T421" s="32" t="n">
        <f>573471</f>
        <v>573471.0</v>
      </c>
      <c r="U421" s="32" t="n">
        <f>269074</f>
        <v>269074.0</v>
      </c>
      <c r="V421" s="32" t="n">
        <f>1244571527</f>
        <v>1.244571527E9</v>
      </c>
      <c r="W421" s="32" t="n">
        <f>582403621</f>
        <v>5.82403621E8</v>
      </c>
      <c r="X421" s="36" t="n">
        <f>21</f>
        <v>21.0</v>
      </c>
    </row>
    <row r="422">
      <c r="A422" s="27" t="s">
        <v>42</v>
      </c>
      <c r="B422" s="27" t="s">
        <v>1316</v>
      </c>
      <c r="C422" s="27" t="s">
        <v>1317</v>
      </c>
      <c r="D422" s="27" t="s">
        <v>1318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1116</f>
        <v>1116.0</v>
      </c>
      <c r="L422" s="34" t="s">
        <v>48</v>
      </c>
      <c r="M422" s="33" t="n">
        <f>1165</f>
        <v>1165.0</v>
      </c>
      <c r="N422" s="34" t="s">
        <v>49</v>
      </c>
      <c r="O422" s="33" t="n">
        <f>1107</f>
        <v>1107.0</v>
      </c>
      <c r="P422" s="34" t="s">
        <v>48</v>
      </c>
      <c r="Q422" s="33" t="n">
        <f>1161</f>
        <v>1161.0</v>
      </c>
      <c r="R422" s="34" t="s">
        <v>49</v>
      </c>
      <c r="S422" s="35" t="n">
        <f>1137.9</f>
        <v>1137.9</v>
      </c>
      <c r="T422" s="32" t="n">
        <f>169725</f>
        <v>169725.0</v>
      </c>
      <c r="U422" s="32" t="n">
        <f>43600</f>
        <v>43600.0</v>
      </c>
      <c r="V422" s="32" t="n">
        <f>193825985</f>
        <v>1.93825985E8</v>
      </c>
      <c r="W422" s="32" t="n">
        <f>50031488</f>
        <v>5.0031488E7</v>
      </c>
      <c r="X422" s="36" t="n">
        <f>21</f>
        <v>21.0</v>
      </c>
    </row>
    <row r="423">
      <c r="A423" s="27" t="s">
        <v>42</v>
      </c>
      <c r="B423" s="27" t="s">
        <v>1319</v>
      </c>
      <c r="C423" s="27" t="s">
        <v>1320</v>
      </c>
      <c r="D423" s="27" t="s">
        <v>1321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10.0</v>
      </c>
      <c r="K423" s="33" t="n">
        <f>1026</f>
        <v>1026.0</v>
      </c>
      <c r="L423" s="34" t="s">
        <v>48</v>
      </c>
      <c r="M423" s="33" t="n">
        <f>1062</f>
        <v>1062.0</v>
      </c>
      <c r="N423" s="34" t="s">
        <v>86</v>
      </c>
      <c r="O423" s="33" t="n">
        <f>1025.5</f>
        <v>1025.5</v>
      </c>
      <c r="P423" s="34" t="s">
        <v>48</v>
      </c>
      <c r="Q423" s="33" t="n">
        <f>1051</f>
        <v>1051.0</v>
      </c>
      <c r="R423" s="34" t="s">
        <v>49</v>
      </c>
      <c r="S423" s="35" t="n">
        <f>1043.03</f>
        <v>1043.03</v>
      </c>
      <c r="T423" s="32" t="n">
        <f>3960</f>
        <v>3960.0</v>
      </c>
      <c r="U423" s="32" t="str">
        <f>"－"</f>
        <v>－</v>
      </c>
      <c r="V423" s="32" t="n">
        <f>4128885</f>
        <v>4128885.0</v>
      </c>
      <c r="W423" s="32" t="str">
        <f>"－"</f>
        <v>－</v>
      </c>
      <c r="X423" s="36" t="n">
        <f>18</f>
        <v>18.0</v>
      </c>
    </row>
    <row r="424">
      <c r="A424" s="27" t="s">
        <v>42</v>
      </c>
      <c r="B424" s="27" t="s">
        <v>1322</v>
      </c>
      <c r="C424" s="27" t="s">
        <v>1323</v>
      </c>
      <c r="D424" s="27" t="s">
        <v>1324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2000</f>
        <v>2000.0</v>
      </c>
      <c r="L424" s="34" t="s">
        <v>48</v>
      </c>
      <c r="M424" s="33" t="n">
        <f>2067</f>
        <v>2067.0</v>
      </c>
      <c r="N424" s="34" t="s">
        <v>102</v>
      </c>
      <c r="O424" s="33" t="n">
        <f>1981</f>
        <v>1981.0</v>
      </c>
      <c r="P424" s="34" t="s">
        <v>69</v>
      </c>
      <c r="Q424" s="33" t="n">
        <f>2032</f>
        <v>2032.0</v>
      </c>
      <c r="R424" s="34" t="s">
        <v>49</v>
      </c>
      <c r="S424" s="35" t="n">
        <f>2018.52</f>
        <v>2018.52</v>
      </c>
      <c r="T424" s="32" t="n">
        <f>94270</f>
        <v>94270.0</v>
      </c>
      <c r="U424" s="32" t="str">
        <f>"－"</f>
        <v>－</v>
      </c>
      <c r="V424" s="32" t="n">
        <f>190380071</f>
        <v>1.90380071E8</v>
      </c>
      <c r="W424" s="32" t="str">
        <f>"－"</f>
        <v>－</v>
      </c>
      <c r="X424" s="36" t="n">
        <f>21</f>
        <v>21.0</v>
      </c>
    </row>
    <row r="425">
      <c r="A425" s="27" t="s">
        <v>42</v>
      </c>
      <c r="B425" s="27" t="s">
        <v>1325</v>
      </c>
      <c r="C425" s="27" t="s">
        <v>1326</v>
      </c>
      <c r="D425" s="27" t="s">
        <v>1327</v>
      </c>
      <c r="E425" s="28" t="s">
        <v>1328</v>
      </c>
      <c r="F425" s="29" t="s">
        <v>1329</v>
      </c>
      <c r="G425" s="30" t="s">
        <v>1330</v>
      </c>
      <c r="H425" s="31"/>
      <c r="I425" s="31" t="s">
        <v>47</v>
      </c>
      <c r="J425" s="32" t="n">
        <v>1.0</v>
      </c>
      <c r="K425" s="33" t="n">
        <f>2002</f>
        <v>2002.0</v>
      </c>
      <c r="L425" s="34" t="s">
        <v>294</v>
      </c>
      <c r="M425" s="33" t="n">
        <f>2150</f>
        <v>2150.0</v>
      </c>
      <c r="N425" s="34" t="s">
        <v>68</v>
      </c>
      <c r="O425" s="33" t="n">
        <f>1944</f>
        <v>1944.0</v>
      </c>
      <c r="P425" s="34" t="s">
        <v>50</v>
      </c>
      <c r="Q425" s="33" t="n">
        <f>1988</f>
        <v>1988.0</v>
      </c>
      <c r="R425" s="34" t="s">
        <v>49</v>
      </c>
      <c r="S425" s="35" t="n">
        <f>1986.5</f>
        <v>1986.5</v>
      </c>
      <c r="T425" s="32" t="n">
        <f>240202</f>
        <v>240202.0</v>
      </c>
      <c r="U425" s="32" t="str">
        <f>"－"</f>
        <v>－</v>
      </c>
      <c r="V425" s="32" t="n">
        <f>474873895</f>
        <v>4.74873895E8</v>
      </c>
      <c r="W425" s="32" t="str">
        <f>"－"</f>
        <v>－</v>
      </c>
      <c r="X425" s="36" t="n">
        <f>14</f>
        <v>14.0</v>
      </c>
    </row>
    <row r="426">
      <c r="A426" s="27" t="s">
        <v>42</v>
      </c>
      <c r="B426" s="27" t="s">
        <v>1331</v>
      </c>
      <c r="C426" s="27" t="s">
        <v>1332</v>
      </c>
      <c r="D426" s="27" t="s">
        <v>1333</v>
      </c>
      <c r="E426" s="28" t="s">
        <v>1328</v>
      </c>
      <c r="F426" s="29" t="s">
        <v>1329</v>
      </c>
      <c r="G426" s="30" t="s">
        <v>1334</v>
      </c>
      <c r="H426" s="31"/>
      <c r="I426" s="31" t="s">
        <v>47</v>
      </c>
      <c r="J426" s="32" t="n">
        <v>1.0</v>
      </c>
      <c r="K426" s="33" t="n">
        <f>5100</f>
        <v>5100.0</v>
      </c>
      <c r="L426" s="34" t="s">
        <v>198</v>
      </c>
      <c r="M426" s="33" t="n">
        <f>5387</f>
        <v>5387.0</v>
      </c>
      <c r="N426" s="34" t="s">
        <v>198</v>
      </c>
      <c r="O426" s="33" t="n">
        <f>4990</f>
        <v>4990.0</v>
      </c>
      <c r="P426" s="34" t="s">
        <v>60</v>
      </c>
      <c r="Q426" s="33" t="n">
        <f>4990</f>
        <v>4990.0</v>
      </c>
      <c r="R426" s="34" t="s">
        <v>49</v>
      </c>
      <c r="S426" s="35" t="n">
        <f>4999.75</f>
        <v>4999.75</v>
      </c>
      <c r="T426" s="32" t="n">
        <f>680</f>
        <v>680.0</v>
      </c>
      <c r="U426" s="32" t="str">
        <f>"－"</f>
        <v>－</v>
      </c>
      <c r="V426" s="32" t="n">
        <f>3410809</f>
        <v>3410809.0</v>
      </c>
      <c r="W426" s="32" t="str">
        <f>"－"</f>
        <v>－</v>
      </c>
      <c r="X426" s="36" t="n">
        <f>4</f>
        <v>4.0</v>
      </c>
    </row>
    <row r="427">
      <c r="A427" s="27" t="s">
        <v>42</v>
      </c>
      <c r="B427" s="27" t="s">
        <v>1335</v>
      </c>
      <c r="C427" s="27" t="s">
        <v>1336</v>
      </c>
      <c r="D427" s="27" t="s">
        <v>1337</v>
      </c>
      <c r="E427" s="28" t="s">
        <v>1328</v>
      </c>
      <c r="F427" s="29" t="s">
        <v>1329</v>
      </c>
      <c r="G427" s="30" t="s">
        <v>1338</v>
      </c>
      <c r="H427" s="31"/>
      <c r="I427" s="31" t="s">
        <v>47</v>
      </c>
      <c r="J427" s="32" t="n">
        <v>1.0</v>
      </c>
      <c r="K427" s="33" t="n">
        <f>1026</f>
        <v>1026.0</v>
      </c>
      <c r="L427" s="34" t="s">
        <v>102</v>
      </c>
      <c r="M427" s="33" t="n">
        <f>1026</f>
        <v>1026.0</v>
      </c>
      <c r="N427" s="34" t="s">
        <v>102</v>
      </c>
      <c r="O427" s="33" t="n">
        <f>1007</f>
        <v>1007.0</v>
      </c>
      <c r="P427" s="34" t="s">
        <v>198</v>
      </c>
      <c r="Q427" s="33" t="n">
        <f>1020</f>
        <v>1020.0</v>
      </c>
      <c r="R427" s="34" t="s">
        <v>49</v>
      </c>
      <c r="S427" s="35" t="n">
        <f>1015</f>
        <v>1015.0</v>
      </c>
      <c r="T427" s="32" t="n">
        <f>58496</f>
        <v>58496.0</v>
      </c>
      <c r="U427" s="32" t="str">
        <f>"－"</f>
        <v>－</v>
      </c>
      <c r="V427" s="32" t="n">
        <f>59358182</f>
        <v>5.9358182E7</v>
      </c>
      <c r="W427" s="32" t="str">
        <f>"－"</f>
        <v>－</v>
      </c>
      <c r="X427" s="36" t="n">
        <f>5</f>
        <v>5.0</v>
      </c>
    </row>
    <row r="428">
      <c r="A428" s="27" t="s">
        <v>42</v>
      </c>
      <c r="B428" s="27" t="s">
        <v>1339</v>
      </c>
      <c r="C428" s="27" t="s">
        <v>1340</v>
      </c>
      <c r="D428" s="27" t="s">
        <v>1341</v>
      </c>
      <c r="E428" s="28" t="s">
        <v>1328</v>
      </c>
      <c r="F428" s="29" t="s">
        <v>1329</v>
      </c>
      <c r="G428" s="30" t="s">
        <v>1338</v>
      </c>
      <c r="H428" s="31"/>
      <c r="I428" s="31" t="s">
        <v>47</v>
      </c>
      <c r="J428" s="32" t="n">
        <v>1.0</v>
      </c>
      <c r="K428" s="33" t="n">
        <f>1007</f>
        <v>1007.0</v>
      </c>
      <c r="L428" s="34" t="s">
        <v>102</v>
      </c>
      <c r="M428" s="33" t="n">
        <f>1035</f>
        <v>1035.0</v>
      </c>
      <c r="N428" s="34" t="s">
        <v>198</v>
      </c>
      <c r="O428" s="33" t="n">
        <f>1005</f>
        <v>1005.0</v>
      </c>
      <c r="P428" s="34" t="s">
        <v>102</v>
      </c>
      <c r="Q428" s="33" t="n">
        <f>1022</f>
        <v>1022.0</v>
      </c>
      <c r="R428" s="34" t="s">
        <v>49</v>
      </c>
      <c r="S428" s="35" t="n">
        <f>1026.2</f>
        <v>1026.2</v>
      </c>
      <c r="T428" s="32" t="n">
        <f>1017027</f>
        <v>1017027.0</v>
      </c>
      <c r="U428" s="32" t="str">
        <f>"－"</f>
        <v>－</v>
      </c>
      <c r="V428" s="32" t="n">
        <f>1036649662</f>
        <v>1.036649662E9</v>
      </c>
      <c r="W428" s="32" t="str">
        <f>"－"</f>
        <v>－</v>
      </c>
      <c r="X428" s="36" t="n">
        <f>5</f>
        <v>5.0</v>
      </c>
    </row>
    <row r="429">
      <c r="A429" s="27" t="s">
        <v>42</v>
      </c>
      <c r="B429" s="27" t="s">
        <v>1342</v>
      </c>
      <c r="C429" s="27" t="s">
        <v>1343</v>
      </c>
      <c r="D429" s="27" t="s">
        <v>1344</v>
      </c>
      <c r="E429" s="28" t="s">
        <v>1328</v>
      </c>
      <c r="F429" s="29" t="s">
        <v>1329</v>
      </c>
      <c r="G429" s="30" t="s">
        <v>1334</v>
      </c>
      <c r="H429" s="31"/>
      <c r="I429" s="31" t="s">
        <v>47</v>
      </c>
      <c r="J429" s="32" t="n">
        <v>1.0</v>
      </c>
      <c r="K429" s="33" t="n">
        <f>1996</f>
        <v>1996.0</v>
      </c>
      <c r="L429" s="34" t="s">
        <v>198</v>
      </c>
      <c r="M429" s="33" t="n">
        <f>2002</f>
        <v>2002.0</v>
      </c>
      <c r="N429" s="34" t="s">
        <v>60</v>
      </c>
      <c r="O429" s="33" t="n">
        <f>1977</f>
        <v>1977.0</v>
      </c>
      <c r="P429" s="34" t="s">
        <v>49</v>
      </c>
      <c r="Q429" s="33" t="n">
        <f>1980</f>
        <v>1980.0</v>
      </c>
      <c r="R429" s="34" t="s">
        <v>49</v>
      </c>
      <c r="S429" s="35" t="n">
        <f>1992.75</f>
        <v>1992.75</v>
      </c>
      <c r="T429" s="32" t="n">
        <f>14295</f>
        <v>14295.0</v>
      </c>
      <c r="U429" s="32" t="str">
        <f>"－"</f>
        <v>－</v>
      </c>
      <c r="V429" s="32" t="n">
        <f>28381107</f>
        <v>2.8381107E7</v>
      </c>
      <c r="W429" s="32" t="str">
        <f>"－"</f>
        <v>－</v>
      </c>
      <c r="X429" s="36" t="n">
        <f>4</f>
        <v>4.0</v>
      </c>
    </row>
    <row r="430">
      <c r="A430" s="27" t="s">
        <v>42</v>
      </c>
      <c r="B430" s="27" t="s">
        <v>1345</v>
      </c>
      <c r="C430" s="27" t="s">
        <v>1346</v>
      </c>
      <c r="D430" s="27" t="s">
        <v>1347</v>
      </c>
      <c r="E430" s="28" t="s">
        <v>1328</v>
      </c>
      <c r="F430" s="29" t="s">
        <v>1329</v>
      </c>
      <c r="G430" s="30" t="s">
        <v>1334</v>
      </c>
      <c r="H430" s="31"/>
      <c r="I430" s="31" t="s">
        <v>47</v>
      </c>
      <c r="J430" s="32" t="n">
        <v>1.0</v>
      </c>
      <c r="K430" s="33" t="n">
        <f>2007</f>
        <v>2007.0</v>
      </c>
      <c r="L430" s="34" t="s">
        <v>198</v>
      </c>
      <c r="M430" s="33" t="n">
        <f>2010</f>
        <v>2010.0</v>
      </c>
      <c r="N430" s="34" t="s">
        <v>151</v>
      </c>
      <c r="O430" s="33" t="n">
        <f>2003</f>
        <v>2003.0</v>
      </c>
      <c r="P430" s="34" t="s">
        <v>49</v>
      </c>
      <c r="Q430" s="33" t="n">
        <f>2003</f>
        <v>2003.0</v>
      </c>
      <c r="R430" s="34" t="s">
        <v>49</v>
      </c>
      <c r="S430" s="35" t="n">
        <f>2006</f>
        <v>2006.0</v>
      </c>
      <c r="T430" s="32" t="n">
        <f>4954</f>
        <v>4954.0</v>
      </c>
      <c r="U430" s="32" t="str">
        <f>"－"</f>
        <v>－</v>
      </c>
      <c r="V430" s="32" t="n">
        <f>9924248</f>
        <v>9924248.0</v>
      </c>
      <c r="W430" s="32" t="str">
        <f>"－"</f>
        <v>－</v>
      </c>
      <c r="X430" s="36" t="n">
        <f>4</f>
        <v>4.0</v>
      </c>
    </row>
    <row r="431">
      <c r="A431" s="27" t="s">
        <v>42</v>
      </c>
      <c r="B431" s="27" t="s">
        <v>1348</v>
      </c>
      <c r="C431" s="27" t="s">
        <v>1349</v>
      </c>
      <c r="D431" s="27" t="s">
        <v>1350</v>
      </c>
      <c r="E431" s="28" t="s">
        <v>1328</v>
      </c>
      <c r="F431" s="29" t="s">
        <v>1329</v>
      </c>
      <c r="G431" s="30" t="s">
        <v>1351</v>
      </c>
      <c r="H431" s="31"/>
      <c r="I431" s="31" t="s">
        <v>47</v>
      </c>
      <c r="J431" s="32" t="n">
        <v>1.0</v>
      </c>
      <c r="K431" s="33" t="n">
        <f>2150</f>
        <v>2150.0</v>
      </c>
      <c r="L431" s="34" t="s">
        <v>49</v>
      </c>
      <c r="M431" s="33" t="n">
        <f>2150</f>
        <v>2150.0</v>
      </c>
      <c r="N431" s="34" t="s">
        <v>49</v>
      </c>
      <c r="O431" s="33" t="n">
        <f>2013</f>
        <v>2013.0</v>
      </c>
      <c r="P431" s="34" t="s">
        <v>49</v>
      </c>
      <c r="Q431" s="33" t="n">
        <f>2013</f>
        <v>2013.0</v>
      </c>
      <c r="R431" s="34" t="s">
        <v>49</v>
      </c>
      <c r="S431" s="35" t="n">
        <f>2013</f>
        <v>2013.0</v>
      </c>
      <c r="T431" s="32" t="n">
        <f>499578</f>
        <v>499578.0</v>
      </c>
      <c r="U431" s="32" t="n">
        <f>499500</f>
        <v>499500.0</v>
      </c>
      <c r="V431" s="32" t="n">
        <f>1000157800</f>
        <v>1.0001578E9</v>
      </c>
      <c r="W431" s="32" t="n">
        <f>999999000</f>
        <v>9.99999E8</v>
      </c>
      <c r="X431" s="36" t="n">
        <f>1</f>
        <v>1.0</v>
      </c>
    </row>
    <row r="432">
      <c r="A432" s="27" t="s">
        <v>42</v>
      </c>
      <c r="B432" s="27" t="s">
        <v>1352</v>
      </c>
      <c r="C432" s="27" t="s">
        <v>1353</v>
      </c>
      <c r="D432" s="27" t="s">
        <v>1354</v>
      </c>
      <c r="E432" s="28" t="s">
        <v>46</v>
      </c>
      <c r="F432" s="29" t="s">
        <v>46</v>
      </c>
      <c r="G432" s="30" t="s">
        <v>46</v>
      </c>
      <c r="H432" s="31"/>
      <c r="I432" s="31" t="s">
        <v>47</v>
      </c>
      <c r="J432" s="32" t="n">
        <v>1.0</v>
      </c>
      <c r="K432" s="33" t="n">
        <f>132500</f>
        <v>132500.0</v>
      </c>
      <c r="L432" s="34" t="s">
        <v>48</v>
      </c>
      <c r="M432" s="33" t="n">
        <f>134500</f>
        <v>134500.0</v>
      </c>
      <c r="N432" s="34" t="s">
        <v>86</v>
      </c>
      <c r="O432" s="33" t="n">
        <f>130900</f>
        <v>130900.0</v>
      </c>
      <c r="P432" s="34" t="s">
        <v>151</v>
      </c>
      <c r="Q432" s="33" t="n">
        <f>132900</f>
        <v>132900.0</v>
      </c>
      <c r="R432" s="34" t="s">
        <v>49</v>
      </c>
      <c r="S432" s="35" t="n">
        <f>132833.33</f>
        <v>132833.33</v>
      </c>
      <c r="T432" s="32" t="n">
        <f>557111</f>
        <v>557111.0</v>
      </c>
      <c r="U432" s="32" t="n">
        <f>101685</f>
        <v>101685.0</v>
      </c>
      <c r="V432" s="32" t="n">
        <f>73967653145</f>
        <v>7.3967653145E10</v>
      </c>
      <c r="W432" s="32" t="n">
        <f>13496557245</f>
        <v>1.3496557245E10</v>
      </c>
      <c r="X432" s="36" t="n">
        <f>21</f>
        <v>21.0</v>
      </c>
    </row>
    <row r="433">
      <c r="A433" s="27" t="s">
        <v>42</v>
      </c>
      <c r="B433" s="27" t="s">
        <v>1355</v>
      </c>
      <c r="C433" s="27" t="s">
        <v>1356</v>
      </c>
      <c r="D433" s="27" t="s">
        <v>1357</v>
      </c>
      <c r="E433" s="28" t="s">
        <v>46</v>
      </c>
      <c r="F433" s="29" t="s">
        <v>46</v>
      </c>
      <c r="G433" s="30" t="s">
        <v>46</v>
      </c>
      <c r="H433" s="31"/>
      <c r="I433" s="31" t="s">
        <v>47</v>
      </c>
      <c r="J433" s="32" t="n">
        <v>1.0</v>
      </c>
      <c r="K433" s="33" t="n">
        <f>117500</f>
        <v>117500.0</v>
      </c>
      <c r="L433" s="34" t="s">
        <v>48</v>
      </c>
      <c r="M433" s="33" t="n">
        <f>121600</f>
        <v>121600.0</v>
      </c>
      <c r="N433" s="34" t="s">
        <v>86</v>
      </c>
      <c r="O433" s="33" t="n">
        <f>116200</f>
        <v>116200.0</v>
      </c>
      <c r="P433" s="34" t="s">
        <v>60</v>
      </c>
      <c r="Q433" s="33" t="n">
        <f>117900</f>
        <v>117900.0</v>
      </c>
      <c r="R433" s="34" t="s">
        <v>49</v>
      </c>
      <c r="S433" s="35" t="n">
        <f>119071.43</f>
        <v>119071.43</v>
      </c>
      <c r="T433" s="32" t="n">
        <f>494376</f>
        <v>494376.0</v>
      </c>
      <c r="U433" s="32" t="n">
        <f>116877</f>
        <v>116877.0</v>
      </c>
      <c r="V433" s="32" t="n">
        <f>58808828506</f>
        <v>5.8808828506E10</v>
      </c>
      <c r="W433" s="32" t="n">
        <f>13892609306</f>
        <v>1.3892609306E10</v>
      </c>
      <c r="X433" s="36" t="n">
        <f>21</f>
        <v>21.0</v>
      </c>
    </row>
    <row r="434">
      <c r="A434" s="27" t="s">
        <v>42</v>
      </c>
      <c r="B434" s="27" t="s">
        <v>1358</v>
      </c>
      <c r="C434" s="27" t="s">
        <v>1359</v>
      </c>
      <c r="D434" s="27" t="s">
        <v>1360</v>
      </c>
      <c r="E434" s="28" t="s">
        <v>46</v>
      </c>
      <c r="F434" s="29" t="s">
        <v>46</v>
      </c>
      <c r="G434" s="30" t="s">
        <v>46</v>
      </c>
      <c r="H434" s="31"/>
      <c r="I434" s="31" t="s">
        <v>47</v>
      </c>
      <c r="J434" s="32" t="n">
        <v>1.0</v>
      </c>
      <c r="K434" s="33" t="n">
        <f>98800</f>
        <v>98800.0</v>
      </c>
      <c r="L434" s="34" t="s">
        <v>48</v>
      </c>
      <c r="M434" s="33" t="n">
        <f>103100</f>
        <v>103100.0</v>
      </c>
      <c r="N434" s="34" t="s">
        <v>60</v>
      </c>
      <c r="O434" s="33" t="n">
        <f>97700</f>
        <v>97700.0</v>
      </c>
      <c r="P434" s="34" t="s">
        <v>206</v>
      </c>
      <c r="Q434" s="33" t="n">
        <f>102000</f>
        <v>102000.0</v>
      </c>
      <c r="R434" s="34" t="s">
        <v>49</v>
      </c>
      <c r="S434" s="35" t="n">
        <f>100595.24</f>
        <v>100595.24</v>
      </c>
      <c r="T434" s="32" t="n">
        <f>475789</f>
        <v>475789.0</v>
      </c>
      <c r="U434" s="32" t="n">
        <f>112355</f>
        <v>112355.0</v>
      </c>
      <c r="V434" s="32" t="n">
        <f>47858846790</f>
        <v>4.785884679E10</v>
      </c>
      <c r="W434" s="32" t="n">
        <f>11290585890</f>
        <v>1.129058589E10</v>
      </c>
      <c r="X434" s="36" t="n">
        <f>21</f>
        <v>21.0</v>
      </c>
    </row>
    <row r="435">
      <c r="A435" s="27" t="s">
        <v>42</v>
      </c>
      <c r="B435" s="27" t="s">
        <v>1361</v>
      </c>
      <c r="C435" s="27" t="s">
        <v>1362</v>
      </c>
      <c r="D435" s="27" t="s">
        <v>1363</v>
      </c>
      <c r="E435" s="28" t="s">
        <v>46</v>
      </c>
      <c r="F435" s="29" t="s">
        <v>46</v>
      </c>
      <c r="G435" s="30" t="s">
        <v>46</v>
      </c>
      <c r="H435" s="31"/>
      <c r="I435" s="31" t="s">
        <v>47</v>
      </c>
      <c r="J435" s="32" t="n">
        <v>1.0</v>
      </c>
      <c r="K435" s="33" t="n">
        <f>179400</f>
        <v>179400.0</v>
      </c>
      <c r="L435" s="34" t="s">
        <v>48</v>
      </c>
      <c r="M435" s="33" t="n">
        <f>191200</f>
        <v>191200.0</v>
      </c>
      <c r="N435" s="34" t="s">
        <v>86</v>
      </c>
      <c r="O435" s="33" t="n">
        <f>178500</f>
        <v>178500.0</v>
      </c>
      <c r="P435" s="34" t="s">
        <v>48</v>
      </c>
      <c r="Q435" s="33" t="n">
        <f>187800</f>
        <v>187800.0</v>
      </c>
      <c r="R435" s="34" t="s">
        <v>49</v>
      </c>
      <c r="S435" s="35" t="n">
        <f>186495.24</f>
        <v>186495.24</v>
      </c>
      <c r="T435" s="32" t="n">
        <f>221470</f>
        <v>221470.0</v>
      </c>
      <c r="U435" s="32" t="n">
        <f>59713</f>
        <v>59713.0</v>
      </c>
      <c r="V435" s="32" t="n">
        <f>41388068043</f>
        <v>4.1388068043E10</v>
      </c>
      <c r="W435" s="32" t="n">
        <f>11145908643</f>
        <v>1.1145908643E10</v>
      </c>
      <c r="X435" s="36" t="n">
        <f>21</f>
        <v>21.0</v>
      </c>
    </row>
    <row r="436">
      <c r="A436" s="27" t="s">
        <v>42</v>
      </c>
      <c r="B436" s="27" t="s">
        <v>1364</v>
      </c>
      <c r="C436" s="27" t="s">
        <v>1365</v>
      </c>
      <c r="D436" s="27" t="s">
        <v>1366</v>
      </c>
      <c r="E436" s="28" t="s">
        <v>1367</v>
      </c>
      <c r="F436" s="29" t="s">
        <v>1368</v>
      </c>
      <c r="G436" s="30" t="s">
        <v>46</v>
      </c>
      <c r="H436" s="31"/>
      <c r="I436" s="31" t="s">
        <v>47</v>
      </c>
      <c r="J436" s="32" t="n">
        <v>1.0</v>
      </c>
      <c r="K436" s="33" t="n">
        <f>360500</f>
        <v>360500.0</v>
      </c>
      <c r="L436" s="34" t="s">
        <v>48</v>
      </c>
      <c r="M436" s="33" t="n">
        <f>379500</f>
        <v>379500.0</v>
      </c>
      <c r="N436" s="34" t="s">
        <v>60</v>
      </c>
      <c r="O436" s="33" t="n">
        <f>359500</f>
        <v>359500.0</v>
      </c>
      <c r="P436" s="34" t="s">
        <v>48</v>
      </c>
      <c r="Q436" s="33" t="n">
        <f>378000</f>
        <v>378000.0</v>
      </c>
      <c r="R436" s="34" t="s">
        <v>60</v>
      </c>
      <c r="S436" s="35" t="n">
        <f>369210.53</f>
        <v>369210.53</v>
      </c>
      <c r="T436" s="32" t="n">
        <f>48835</f>
        <v>48835.0</v>
      </c>
      <c r="U436" s="32" t="n">
        <f>10525</f>
        <v>10525.0</v>
      </c>
      <c r="V436" s="32" t="n">
        <f>18058607244</f>
        <v>1.8058607244E10</v>
      </c>
      <c r="W436" s="32" t="n">
        <f>3889882244</f>
        <v>3.889882244E9</v>
      </c>
      <c r="X436" s="36" t="n">
        <f>19</f>
        <v>19.0</v>
      </c>
    </row>
    <row r="437">
      <c r="A437" s="27" t="s">
        <v>42</v>
      </c>
      <c r="B437" s="27" t="s">
        <v>1364</v>
      </c>
      <c r="C437" s="27" t="s">
        <v>1365</v>
      </c>
      <c r="D437" s="27" t="s">
        <v>1366</v>
      </c>
      <c r="E437" s="28" t="s">
        <v>1367</v>
      </c>
      <c r="F437" s="29" t="s">
        <v>1368</v>
      </c>
      <c r="G437" s="30" t="s">
        <v>46</v>
      </c>
      <c r="H437" s="31"/>
      <c r="I437" s="31" t="s">
        <v>47</v>
      </c>
      <c r="J437" s="32" t="n">
        <v>1.0</v>
      </c>
      <c r="K437" s="33" t="n">
        <f>92800</f>
        <v>92800.0</v>
      </c>
      <c r="L437" s="34" t="s">
        <v>151</v>
      </c>
      <c r="M437" s="33" t="n">
        <f>94000</f>
        <v>94000.0</v>
      </c>
      <c r="N437" s="34" t="s">
        <v>151</v>
      </c>
      <c r="O437" s="33" t="n">
        <f>92000</f>
        <v>92000.0</v>
      </c>
      <c r="P437" s="34" t="s">
        <v>151</v>
      </c>
      <c r="Q437" s="33" t="n">
        <f>92600</f>
        <v>92600.0</v>
      </c>
      <c r="R437" s="34" t="s">
        <v>49</v>
      </c>
      <c r="S437" s="35" t="n">
        <f>93100</f>
        <v>93100.0</v>
      </c>
      <c r="T437" s="32" t="n">
        <f>26772</f>
        <v>26772.0</v>
      </c>
      <c r="U437" s="32" t="n">
        <f>8517</f>
        <v>8517.0</v>
      </c>
      <c r="V437" s="32" t="n">
        <f>2492378987</f>
        <v>2.492378987E9</v>
      </c>
      <c r="W437" s="32" t="n">
        <f>793220587</f>
        <v>7.93220587E8</v>
      </c>
      <c r="X437" s="36" t="n">
        <f>2</f>
        <v>2.0</v>
      </c>
    </row>
    <row r="438">
      <c r="A438" s="27" t="s">
        <v>42</v>
      </c>
      <c r="B438" s="27" t="s">
        <v>1369</v>
      </c>
      <c r="C438" s="27" t="s">
        <v>1370</v>
      </c>
      <c r="D438" s="27" t="s">
        <v>1371</v>
      </c>
      <c r="E438" s="28" t="s">
        <v>46</v>
      </c>
      <c r="F438" s="29" t="s">
        <v>46</v>
      </c>
      <c r="G438" s="30" t="s">
        <v>46</v>
      </c>
      <c r="H438" s="31"/>
      <c r="I438" s="31" t="s">
        <v>47</v>
      </c>
      <c r="J438" s="32" t="n">
        <v>1.0</v>
      </c>
      <c r="K438" s="33" t="n">
        <f>131900</f>
        <v>131900.0</v>
      </c>
      <c r="L438" s="34" t="s">
        <v>48</v>
      </c>
      <c r="M438" s="33" t="n">
        <f>133200</f>
        <v>133200.0</v>
      </c>
      <c r="N438" s="34" t="s">
        <v>86</v>
      </c>
      <c r="O438" s="33" t="n">
        <f>128000</f>
        <v>128000.0</v>
      </c>
      <c r="P438" s="34" t="s">
        <v>723</v>
      </c>
      <c r="Q438" s="33" t="n">
        <f>128000</f>
        <v>128000.0</v>
      </c>
      <c r="R438" s="34" t="s">
        <v>49</v>
      </c>
      <c r="S438" s="35" t="n">
        <f>129823.81</f>
        <v>129823.81</v>
      </c>
      <c r="T438" s="32" t="n">
        <f>94438</f>
        <v>94438.0</v>
      </c>
      <c r="U438" s="32" t="n">
        <f>20289</f>
        <v>20289.0</v>
      </c>
      <c r="V438" s="32" t="n">
        <f>12257746387</f>
        <v>1.2257746387E10</v>
      </c>
      <c r="W438" s="32" t="n">
        <f>2628747087</f>
        <v>2.628747087E9</v>
      </c>
      <c r="X438" s="36" t="n">
        <f>21</f>
        <v>21.0</v>
      </c>
    </row>
    <row r="439">
      <c r="A439" s="27" t="s">
        <v>42</v>
      </c>
      <c r="B439" s="27" t="s">
        <v>1372</v>
      </c>
      <c r="C439" s="27" t="s">
        <v>1373</v>
      </c>
      <c r="D439" s="27" t="s">
        <v>1374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185100</f>
        <v>185100.0</v>
      </c>
      <c r="L439" s="34" t="s">
        <v>48</v>
      </c>
      <c r="M439" s="33" t="n">
        <f>197600</f>
        <v>197600.0</v>
      </c>
      <c r="N439" s="34" t="s">
        <v>60</v>
      </c>
      <c r="O439" s="33" t="n">
        <f>184900</f>
        <v>184900.0</v>
      </c>
      <c r="P439" s="34" t="s">
        <v>69</v>
      </c>
      <c r="Q439" s="33" t="n">
        <f>194800</f>
        <v>194800.0</v>
      </c>
      <c r="R439" s="34" t="s">
        <v>49</v>
      </c>
      <c r="S439" s="35" t="n">
        <f>191623.81</f>
        <v>191623.81</v>
      </c>
      <c r="T439" s="32" t="n">
        <f>75463</f>
        <v>75463.0</v>
      </c>
      <c r="U439" s="32" t="n">
        <f>21268</f>
        <v>21268.0</v>
      </c>
      <c r="V439" s="32" t="n">
        <f>14431951866</f>
        <v>1.4431951866E10</v>
      </c>
      <c r="W439" s="32" t="n">
        <f>4032169766</f>
        <v>4.032169766E9</v>
      </c>
      <c r="X439" s="36" t="n">
        <f>21</f>
        <v>21.0</v>
      </c>
    </row>
    <row r="440">
      <c r="A440" s="27" t="s">
        <v>42</v>
      </c>
      <c r="B440" s="27" t="s">
        <v>1375</v>
      </c>
      <c r="C440" s="27" t="s">
        <v>1376</v>
      </c>
      <c r="D440" s="27" t="s">
        <v>1377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124700</f>
        <v>124700.0</v>
      </c>
      <c r="L440" s="34" t="s">
        <v>48</v>
      </c>
      <c r="M440" s="33" t="n">
        <f>137600</f>
        <v>137600.0</v>
      </c>
      <c r="N440" s="34" t="s">
        <v>60</v>
      </c>
      <c r="O440" s="33" t="n">
        <f>124700</f>
        <v>124700.0</v>
      </c>
      <c r="P440" s="34" t="s">
        <v>48</v>
      </c>
      <c r="Q440" s="33" t="n">
        <f>136600</f>
        <v>136600.0</v>
      </c>
      <c r="R440" s="34" t="s">
        <v>49</v>
      </c>
      <c r="S440" s="35" t="n">
        <f>132519.05</f>
        <v>132519.05</v>
      </c>
      <c r="T440" s="32" t="n">
        <f>78626</f>
        <v>78626.0</v>
      </c>
      <c r="U440" s="32" t="n">
        <f>13826</f>
        <v>13826.0</v>
      </c>
      <c r="V440" s="32" t="n">
        <f>10403163830</f>
        <v>1.040316383E10</v>
      </c>
      <c r="W440" s="32" t="n">
        <f>1828195830</f>
        <v>1.82819583E9</v>
      </c>
      <c r="X440" s="36" t="n">
        <f>21</f>
        <v>21.0</v>
      </c>
    </row>
    <row r="441">
      <c r="A441" s="27" t="s">
        <v>42</v>
      </c>
      <c r="B441" s="27" t="s">
        <v>1378</v>
      </c>
      <c r="C441" s="27" t="s">
        <v>1379</v>
      </c>
      <c r="D441" s="27" t="s">
        <v>1380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151900</f>
        <v>151900.0</v>
      </c>
      <c r="L441" s="34" t="s">
        <v>48</v>
      </c>
      <c r="M441" s="33" t="n">
        <f>159900</f>
        <v>159900.0</v>
      </c>
      <c r="N441" s="34" t="s">
        <v>207</v>
      </c>
      <c r="O441" s="33" t="n">
        <f>150200</f>
        <v>150200.0</v>
      </c>
      <c r="P441" s="34" t="s">
        <v>152</v>
      </c>
      <c r="Q441" s="33" t="n">
        <f>155100</f>
        <v>155100.0</v>
      </c>
      <c r="R441" s="34" t="s">
        <v>49</v>
      </c>
      <c r="S441" s="35" t="n">
        <f>155552.38</f>
        <v>155552.38</v>
      </c>
      <c r="T441" s="32" t="n">
        <f>286239</f>
        <v>286239.0</v>
      </c>
      <c r="U441" s="32" t="n">
        <f>62193</f>
        <v>62193.0</v>
      </c>
      <c r="V441" s="32" t="n">
        <f>44625537551</f>
        <v>4.4625537551E10</v>
      </c>
      <c r="W441" s="32" t="n">
        <f>9692133951</f>
        <v>9.692133951E9</v>
      </c>
      <c r="X441" s="36" t="n">
        <f>21</f>
        <v>21.0</v>
      </c>
    </row>
    <row r="442">
      <c r="A442" s="27" t="s">
        <v>42</v>
      </c>
      <c r="B442" s="27" t="s">
        <v>1381</v>
      </c>
      <c r="C442" s="27" t="s">
        <v>1382</v>
      </c>
      <c r="D442" s="27" t="s">
        <v>1383</v>
      </c>
      <c r="E442" s="28" t="s">
        <v>46</v>
      </c>
      <c r="F442" s="29" t="s">
        <v>46</v>
      </c>
      <c r="G442" s="30" t="s">
        <v>46</v>
      </c>
      <c r="H442" s="31"/>
      <c r="I442" s="31" t="s">
        <v>47</v>
      </c>
      <c r="J442" s="32" t="n">
        <v>1.0</v>
      </c>
      <c r="K442" s="33" t="n">
        <f>66500</f>
        <v>66500.0</v>
      </c>
      <c r="L442" s="34" t="s">
        <v>48</v>
      </c>
      <c r="M442" s="33" t="n">
        <f>70300</f>
        <v>70300.0</v>
      </c>
      <c r="N442" s="34" t="s">
        <v>102</v>
      </c>
      <c r="O442" s="33" t="n">
        <f>66400</f>
        <v>66400.0</v>
      </c>
      <c r="P442" s="34" t="s">
        <v>48</v>
      </c>
      <c r="Q442" s="33" t="n">
        <f>69000</f>
        <v>69000.0</v>
      </c>
      <c r="R442" s="34" t="s">
        <v>49</v>
      </c>
      <c r="S442" s="35" t="n">
        <f>68423.81</f>
        <v>68423.81</v>
      </c>
      <c r="T442" s="32" t="n">
        <f>175988</f>
        <v>175988.0</v>
      </c>
      <c r="U442" s="32" t="n">
        <f>55251</f>
        <v>55251.0</v>
      </c>
      <c r="V442" s="32" t="n">
        <f>12041362388</f>
        <v>1.2041362388E10</v>
      </c>
      <c r="W442" s="32" t="n">
        <f>3778976288</f>
        <v>3.778976288E9</v>
      </c>
      <c r="X442" s="36" t="n">
        <f>21</f>
        <v>21.0</v>
      </c>
    </row>
    <row r="443">
      <c r="A443" s="27" t="s">
        <v>42</v>
      </c>
      <c r="B443" s="27" t="s">
        <v>1384</v>
      </c>
      <c r="C443" s="27" t="s">
        <v>1385</v>
      </c>
      <c r="D443" s="27" t="s">
        <v>1386</v>
      </c>
      <c r="E443" s="28" t="s">
        <v>46</v>
      </c>
      <c r="F443" s="29" t="s">
        <v>46</v>
      </c>
      <c r="G443" s="30" t="s">
        <v>46</v>
      </c>
      <c r="H443" s="31"/>
      <c r="I443" s="31" t="s">
        <v>47</v>
      </c>
      <c r="J443" s="32" t="n">
        <v>1.0</v>
      </c>
      <c r="K443" s="33" t="n">
        <f>61400</f>
        <v>61400.0</v>
      </c>
      <c r="L443" s="34" t="s">
        <v>48</v>
      </c>
      <c r="M443" s="33" t="n">
        <f>65400</f>
        <v>65400.0</v>
      </c>
      <c r="N443" s="34" t="s">
        <v>723</v>
      </c>
      <c r="O443" s="33" t="n">
        <f>60400</f>
        <v>60400.0</v>
      </c>
      <c r="P443" s="34" t="s">
        <v>69</v>
      </c>
      <c r="Q443" s="33" t="n">
        <f>62000</f>
        <v>62000.0</v>
      </c>
      <c r="R443" s="34" t="s">
        <v>49</v>
      </c>
      <c r="S443" s="35" t="n">
        <f>63480.95</f>
        <v>63480.95</v>
      </c>
      <c r="T443" s="32" t="n">
        <f>1043583</f>
        <v>1043583.0</v>
      </c>
      <c r="U443" s="32" t="n">
        <f>250672</f>
        <v>250672.0</v>
      </c>
      <c r="V443" s="32" t="n">
        <f>66208570898</f>
        <v>6.6208570898E10</v>
      </c>
      <c r="W443" s="32" t="n">
        <f>15833622798</f>
        <v>1.5833622798E10</v>
      </c>
      <c r="X443" s="36" t="n">
        <f>21</f>
        <v>21.0</v>
      </c>
    </row>
    <row r="444">
      <c r="A444" s="27" t="s">
        <v>42</v>
      </c>
      <c r="B444" s="27" t="s">
        <v>1387</v>
      </c>
      <c r="C444" s="27" t="s">
        <v>1388</v>
      </c>
      <c r="D444" s="27" t="s">
        <v>1389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82700</f>
        <v>82700.0</v>
      </c>
      <c r="L444" s="34" t="s">
        <v>48</v>
      </c>
      <c r="M444" s="33" t="n">
        <f>84400</f>
        <v>84400.0</v>
      </c>
      <c r="N444" s="34" t="s">
        <v>86</v>
      </c>
      <c r="O444" s="33" t="n">
        <f>82000</f>
        <v>82000.0</v>
      </c>
      <c r="P444" s="34" t="s">
        <v>151</v>
      </c>
      <c r="Q444" s="33" t="n">
        <f>82100</f>
        <v>82100.0</v>
      </c>
      <c r="R444" s="34" t="s">
        <v>49</v>
      </c>
      <c r="S444" s="35" t="n">
        <f>83138.1</f>
        <v>83138.1</v>
      </c>
      <c r="T444" s="32" t="n">
        <f>191662</f>
        <v>191662.0</v>
      </c>
      <c r="U444" s="32" t="n">
        <f>42949</f>
        <v>42949.0</v>
      </c>
      <c r="V444" s="32" t="n">
        <f>15952783736</f>
        <v>1.5952783736E10</v>
      </c>
      <c r="W444" s="32" t="n">
        <f>3571307836</f>
        <v>3.571307836E9</v>
      </c>
      <c r="X444" s="36" t="n">
        <f>21</f>
        <v>21.0</v>
      </c>
    </row>
    <row r="445">
      <c r="A445" s="27" t="s">
        <v>42</v>
      </c>
      <c r="B445" s="27" t="s">
        <v>1390</v>
      </c>
      <c r="C445" s="27" t="s">
        <v>1391</v>
      </c>
      <c r="D445" s="27" t="s">
        <v>1392</v>
      </c>
      <c r="E445" s="28" t="s">
        <v>46</v>
      </c>
      <c r="F445" s="29" t="s">
        <v>46</v>
      </c>
      <c r="G445" s="30" t="s">
        <v>46</v>
      </c>
      <c r="H445" s="31"/>
      <c r="I445" s="31" t="s">
        <v>47</v>
      </c>
      <c r="J445" s="32" t="n">
        <v>1.0</v>
      </c>
      <c r="K445" s="33" t="n">
        <f>127400</f>
        <v>127400.0</v>
      </c>
      <c r="L445" s="34" t="s">
        <v>48</v>
      </c>
      <c r="M445" s="33" t="n">
        <f>137300</f>
        <v>137300.0</v>
      </c>
      <c r="N445" s="34" t="s">
        <v>198</v>
      </c>
      <c r="O445" s="33" t="n">
        <f>127100</f>
        <v>127100.0</v>
      </c>
      <c r="P445" s="34" t="s">
        <v>48</v>
      </c>
      <c r="Q445" s="33" t="n">
        <f>135300</f>
        <v>135300.0</v>
      </c>
      <c r="R445" s="34" t="s">
        <v>49</v>
      </c>
      <c r="S445" s="35" t="n">
        <f>132914.29</f>
        <v>132914.29</v>
      </c>
      <c r="T445" s="32" t="n">
        <f>132640</f>
        <v>132640.0</v>
      </c>
      <c r="U445" s="32" t="n">
        <f>26654</f>
        <v>26654.0</v>
      </c>
      <c r="V445" s="32" t="n">
        <f>17375801786</f>
        <v>1.7375801786E10</v>
      </c>
      <c r="W445" s="32" t="n">
        <f>3479541786</f>
        <v>3.479541786E9</v>
      </c>
      <c r="X445" s="36" t="n">
        <f>21</f>
        <v>21.0</v>
      </c>
    </row>
    <row r="446">
      <c r="A446" s="27" t="s">
        <v>42</v>
      </c>
      <c r="B446" s="27" t="s">
        <v>1393</v>
      </c>
      <c r="C446" s="27" t="s">
        <v>1394</v>
      </c>
      <c r="D446" s="27" t="s">
        <v>1395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92000</f>
        <v>92000.0</v>
      </c>
      <c r="L446" s="34" t="s">
        <v>48</v>
      </c>
      <c r="M446" s="33" t="n">
        <f>94800</f>
        <v>94800.0</v>
      </c>
      <c r="N446" s="34" t="s">
        <v>86</v>
      </c>
      <c r="O446" s="33" t="n">
        <f>91600</f>
        <v>91600.0</v>
      </c>
      <c r="P446" s="34" t="s">
        <v>48</v>
      </c>
      <c r="Q446" s="33" t="n">
        <f>93500</f>
        <v>93500.0</v>
      </c>
      <c r="R446" s="34" t="s">
        <v>49</v>
      </c>
      <c r="S446" s="35" t="n">
        <f>93347.62</f>
        <v>93347.62</v>
      </c>
      <c r="T446" s="32" t="n">
        <f>150724</f>
        <v>150724.0</v>
      </c>
      <c r="U446" s="32" t="n">
        <f>33732</f>
        <v>33732.0</v>
      </c>
      <c r="V446" s="32" t="n">
        <f>14062388356</f>
        <v>1.4062388356E10</v>
      </c>
      <c r="W446" s="32" t="n">
        <f>3147773956</f>
        <v>3.147773956E9</v>
      </c>
      <c r="X446" s="36" t="n">
        <f>21</f>
        <v>21.0</v>
      </c>
    </row>
    <row r="447">
      <c r="A447" s="27" t="s">
        <v>42</v>
      </c>
      <c r="B447" s="27" t="s">
        <v>1396</v>
      </c>
      <c r="C447" s="27" t="s">
        <v>1397</v>
      </c>
      <c r="D447" s="27" t="s">
        <v>1398</v>
      </c>
      <c r="E447" s="28" t="s">
        <v>46</v>
      </c>
      <c r="F447" s="29" t="s">
        <v>46</v>
      </c>
      <c r="G447" s="30" t="s">
        <v>46</v>
      </c>
      <c r="H447" s="31"/>
      <c r="I447" s="31" t="s">
        <v>47</v>
      </c>
      <c r="J447" s="32" t="n">
        <v>1.0</v>
      </c>
      <c r="K447" s="33" t="n">
        <f>164600</f>
        <v>164600.0</v>
      </c>
      <c r="L447" s="34" t="s">
        <v>48</v>
      </c>
      <c r="M447" s="33" t="n">
        <f>174900</f>
        <v>174900.0</v>
      </c>
      <c r="N447" s="34" t="s">
        <v>60</v>
      </c>
      <c r="O447" s="33" t="n">
        <f>164600</f>
        <v>164600.0</v>
      </c>
      <c r="P447" s="34" t="s">
        <v>48</v>
      </c>
      <c r="Q447" s="33" t="n">
        <f>172400</f>
        <v>172400.0</v>
      </c>
      <c r="R447" s="34" t="s">
        <v>49</v>
      </c>
      <c r="S447" s="35" t="n">
        <f>170157.14</f>
        <v>170157.14</v>
      </c>
      <c r="T447" s="32" t="n">
        <f>59442</f>
        <v>59442.0</v>
      </c>
      <c r="U447" s="32" t="n">
        <f>14463</f>
        <v>14463.0</v>
      </c>
      <c r="V447" s="32" t="n">
        <f>10150290814</f>
        <v>1.0150290814E10</v>
      </c>
      <c r="W447" s="32" t="n">
        <f>2478891614</f>
        <v>2.478891614E9</v>
      </c>
      <c r="X447" s="36" t="n">
        <f>21</f>
        <v>21.0</v>
      </c>
    </row>
    <row r="448">
      <c r="A448" s="27" t="s">
        <v>42</v>
      </c>
      <c r="B448" s="27" t="s">
        <v>1399</v>
      </c>
      <c r="C448" s="27" t="s">
        <v>1400</v>
      </c>
      <c r="D448" s="27" t="s">
        <v>1401</v>
      </c>
      <c r="E448" s="28" t="s">
        <v>46</v>
      </c>
      <c r="F448" s="29" t="s">
        <v>46</v>
      </c>
      <c r="G448" s="30" t="s">
        <v>46</v>
      </c>
      <c r="H448" s="31"/>
      <c r="I448" s="31" t="s">
        <v>47</v>
      </c>
      <c r="J448" s="32" t="n">
        <v>1.0</v>
      </c>
      <c r="K448" s="33" t="n">
        <f>152400</f>
        <v>152400.0</v>
      </c>
      <c r="L448" s="34" t="s">
        <v>48</v>
      </c>
      <c r="M448" s="33" t="n">
        <f>159300</f>
        <v>159300.0</v>
      </c>
      <c r="N448" s="34" t="s">
        <v>198</v>
      </c>
      <c r="O448" s="33" t="n">
        <f>150800</f>
        <v>150800.0</v>
      </c>
      <c r="P448" s="34" t="s">
        <v>69</v>
      </c>
      <c r="Q448" s="33" t="n">
        <f>156100</f>
        <v>156100.0</v>
      </c>
      <c r="R448" s="34" t="s">
        <v>49</v>
      </c>
      <c r="S448" s="35" t="n">
        <f>154985.71</f>
        <v>154985.71</v>
      </c>
      <c r="T448" s="32" t="n">
        <f>254877</f>
        <v>254877.0</v>
      </c>
      <c r="U448" s="32" t="n">
        <f>57219</f>
        <v>57219.0</v>
      </c>
      <c r="V448" s="32" t="n">
        <f>39524189019</f>
        <v>3.9524189019E10</v>
      </c>
      <c r="W448" s="32" t="n">
        <f>8871129419</f>
        <v>8.871129419E9</v>
      </c>
      <c r="X448" s="36" t="n">
        <f>21</f>
        <v>21.0</v>
      </c>
    </row>
    <row r="449">
      <c r="A449" s="27" t="s">
        <v>42</v>
      </c>
      <c r="B449" s="27" t="s">
        <v>1402</v>
      </c>
      <c r="C449" s="27" t="s">
        <v>1403</v>
      </c>
      <c r="D449" s="27" t="s">
        <v>1404</v>
      </c>
      <c r="E449" s="28" t="s">
        <v>46</v>
      </c>
      <c r="F449" s="29" t="s">
        <v>46</v>
      </c>
      <c r="G449" s="30" t="s">
        <v>46</v>
      </c>
      <c r="H449" s="31"/>
      <c r="I449" s="31" t="s">
        <v>47</v>
      </c>
      <c r="J449" s="32" t="n">
        <v>1.0</v>
      </c>
      <c r="K449" s="33" t="n">
        <f>86100</f>
        <v>86100.0</v>
      </c>
      <c r="L449" s="34" t="s">
        <v>48</v>
      </c>
      <c r="M449" s="33" t="n">
        <f>94100</f>
        <v>94100.0</v>
      </c>
      <c r="N449" s="34" t="s">
        <v>102</v>
      </c>
      <c r="O449" s="33" t="n">
        <f>86000</f>
        <v>86000.0</v>
      </c>
      <c r="P449" s="34" t="s">
        <v>48</v>
      </c>
      <c r="Q449" s="33" t="n">
        <f>91800</f>
        <v>91800.0</v>
      </c>
      <c r="R449" s="34" t="s">
        <v>49</v>
      </c>
      <c r="S449" s="35" t="n">
        <f>90271.43</f>
        <v>90271.43</v>
      </c>
      <c r="T449" s="32" t="n">
        <f>120614</f>
        <v>120614.0</v>
      </c>
      <c r="U449" s="32" t="n">
        <f>29363</f>
        <v>29363.0</v>
      </c>
      <c r="V449" s="32" t="n">
        <f>10961438645</f>
        <v>1.0961438645E10</v>
      </c>
      <c r="W449" s="32" t="n">
        <f>2666665345</f>
        <v>2.666665345E9</v>
      </c>
      <c r="X449" s="36" t="n">
        <f>21</f>
        <v>21.0</v>
      </c>
    </row>
    <row r="450">
      <c r="A450" s="27" t="s">
        <v>42</v>
      </c>
      <c r="B450" s="27" t="s">
        <v>1405</v>
      </c>
      <c r="C450" s="27" t="s">
        <v>1406</v>
      </c>
      <c r="D450" s="27" t="s">
        <v>1407</v>
      </c>
      <c r="E450" s="28" t="s">
        <v>46</v>
      </c>
      <c r="F450" s="29" t="s">
        <v>46</v>
      </c>
      <c r="G450" s="30" t="s">
        <v>46</v>
      </c>
      <c r="H450" s="31"/>
      <c r="I450" s="31" t="s">
        <v>47</v>
      </c>
      <c r="J450" s="32" t="n">
        <v>1.0</v>
      </c>
      <c r="K450" s="33" t="n">
        <f>301500</f>
        <v>301500.0</v>
      </c>
      <c r="L450" s="34" t="s">
        <v>48</v>
      </c>
      <c r="M450" s="33" t="n">
        <f>323000</f>
        <v>323000.0</v>
      </c>
      <c r="N450" s="34" t="s">
        <v>60</v>
      </c>
      <c r="O450" s="33" t="n">
        <f>300500</f>
        <v>300500.0</v>
      </c>
      <c r="P450" s="34" t="s">
        <v>48</v>
      </c>
      <c r="Q450" s="33" t="n">
        <f>319500</f>
        <v>319500.0</v>
      </c>
      <c r="R450" s="34" t="s">
        <v>49</v>
      </c>
      <c r="S450" s="35" t="n">
        <f>314142.86</f>
        <v>314142.86</v>
      </c>
      <c r="T450" s="32" t="n">
        <f>32536</f>
        <v>32536.0</v>
      </c>
      <c r="U450" s="32" t="n">
        <f>7437</f>
        <v>7437.0</v>
      </c>
      <c r="V450" s="32" t="n">
        <f>10233050446</f>
        <v>1.0233050446E10</v>
      </c>
      <c r="W450" s="32" t="n">
        <f>2334005446</f>
        <v>2.334005446E9</v>
      </c>
      <c r="X450" s="36" t="n">
        <f>21</f>
        <v>21.0</v>
      </c>
    </row>
    <row r="451">
      <c r="A451" s="27" t="s">
        <v>42</v>
      </c>
      <c r="B451" s="27" t="s">
        <v>1408</v>
      </c>
      <c r="C451" s="27" t="s">
        <v>1409</v>
      </c>
      <c r="D451" s="27" t="s">
        <v>1410</v>
      </c>
      <c r="E451" s="28" t="s">
        <v>46</v>
      </c>
      <c r="F451" s="29" t="s">
        <v>46</v>
      </c>
      <c r="G451" s="30" t="s">
        <v>46</v>
      </c>
      <c r="H451" s="31"/>
      <c r="I451" s="31" t="s">
        <v>47</v>
      </c>
      <c r="J451" s="32" t="n">
        <v>1.0</v>
      </c>
      <c r="K451" s="33" t="n">
        <f>148300</f>
        <v>148300.0</v>
      </c>
      <c r="L451" s="34" t="s">
        <v>48</v>
      </c>
      <c r="M451" s="33" t="n">
        <f>158600</f>
        <v>158600.0</v>
      </c>
      <c r="N451" s="34" t="s">
        <v>198</v>
      </c>
      <c r="O451" s="33" t="n">
        <f>147300</f>
        <v>147300.0</v>
      </c>
      <c r="P451" s="34" t="s">
        <v>48</v>
      </c>
      <c r="Q451" s="33" t="n">
        <f>156300</f>
        <v>156300.0</v>
      </c>
      <c r="R451" s="34" t="s">
        <v>49</v>
      </c>
      <c r="S451" s="35" t="n">
        <f>153704.76</f>
        <v>153704.76</v>
      </c>
      <c r="T451" s="32" t="n">
        <f>33206</f>
        <v>33206.0</v>
      </c>
      <c r="U451" s="32" t="n">
        <f>4694</f>
        <v>4694.0</v>
      </c>
      <c r="V451" s="32" t="n">
        <f>5110971964</f>
        <v>5.110971964E9</v>
      </c>
      <c r="W451" s="32" t="n">
        <f>722913464</f>
        <v>7.22913464E8</v>
      </c>
      <c r="X451" s="36" t="n">
        <f>21</f>
        <v>21.0</v>
      </c>
    </row>
    <row r="452">
      <c r="A452" s="27" t="s">
        <v>42</v>
      </c>
      <c r="B452" s="27" t="s">
        <v>1411</v>
      </c>
      <c r="C452" s="27" t="s">
        <v>1412</v>
      </c>
      <c r="D452" s="27" t="s">
        <v>1413</v>
      </c>
      <c r="E452" s="28" t="s">
        <v>46</v>
      </c>
      <c r="F452" s="29" t="s">
        <v>46</v>
      </c>
      <c r="G452" s="30" t="s">
        <v>46</v>
      </c>
      <c r="H452" s="31"/>
      <c r="I452" s="31" t="s">
        <v>416</v>
      </c>
      <c r="J452" s="32" t="n">
        <v>1.0</v>
      </c>
      <c r="K452" s="33" t="n">
        <f>174500</f>
        <v>174500.0</v>
      </c>
      <c r="L452" s="34" t="s">
        <v>48</v>
      </c>
      <c r="M452" s="33" t="n">
        <f>180000</f>
        <v>180000.0</v>
      </c>
      <c r="N452" s="34" t="s">
        <v>86</v>
      </c>
      <c r="O452" s="33" t="n">
        <f>172000</f>
        <v>172000.0</v>
      </c>
      <c r="P452" s="34" t="s">
        <v>202</v>
      </c>
      <c r="Q452" s="33" t="n">
        <f>177500</f>
        <v>177500.0</v>
      </c>
      <c r="R452" s="34" t="s">
        <v>49</v>
      </c>
      <c r="S452" s="35" t="n">
        <f>176280.95</f>
        <v>176280.95</v>
      </c>
      <c r="T452" s="32" t="n">
        <f>17834</f>
        <v>17834.0</v>
      </c>
      <c r="U452" s="32" t="n">
        <f>3691</f>
        <v>3691.0</v>
      </c>
      <c r="V452" s="32" t="n">
        <f>3150819527</f>
        <v>3.150819527E9</v>
      </c>
      <c r="W452" s="32" t="n">
        <f>651709227</f>
        <v>6.51709227E8</v>
      </c>
      <c r="X452" s="36" t="n">
        <f>21</f>
        <v>21.0</v>
      </c>
    </row>
    <row r="453">
      <c r="A453" s="27" t="s">
        <v>42</v>
      </c>
      <c r="B453" s="27" t="s">
        <v>1414</v>
      </c>
      <c r="C453" s="27" t="s">
        <v>1415</v>
      </c>
      <c r="D453" s="27" t="s">
        <v>1416</v>
      </c>
      <c r="E453" s="28" t="s">
        <v>46</v>
      </c>
      <c r="F453" s="29" t="s">
        <v>46</v>
      </c>
      <c r="G453" s="30" t="s">
        <v>46</v>
      </c>
      <c r="H453" s="31"/>
      <c r="I453" s="31" t="s">
        <v>47</v>
      </c>
      <c r="J453" s="32" t="n">
        <v>1.0</v>
      </c>
      <c r="K453" s="33" t="n">
        <f>240300</f>
        <v>240300.0</v>
      </c>
      <c r="L453" s="34" t="s">
        <v>48</v>
      </c>
      <c r="M453" s="33" t="n">
        <f>246600</f>
        <v>246600.0</v>
      </c>
      <c r="N453" s="34" t="s">
        <v>151</v>
      </c>
      <c r="O453" s="33" t="n">
        <f>237200</f>
        <v>237200.0</v>
      </c>
      <c r="P453" s="34" t="s">
        <v>207</v>
      </c>
      <c r="Q453" s="33" t="n">
        <f>243500</f>
        <v>243500.0</v>
      </c>
      <c r="R453" s="34" t="s">
        <v>49</v>
      </c>
      <c r="S453" s="35" t="n">
        <f>240919.05</f>
        <v>240919.05</v>
      </c>
      <c r="T453" s="32" t="n">
        <f>149126</f>
        <v>149126.0</v>
      </c>
      <c r="U453" s="32" t="n">
        <f>31836</f>
        <v>31836.0</v>
      </c>
      <c r="V453" s="32" t="n">
        <f>35900945856</f>
        <v>3.5900945856E10</v>
      </c>
      <c r="W453" s="32" t="n">
        <f>7665243556</f>
        <v>7.665243556E9</v>
      </c>
      <c r="X453" s="36" t="n">
        <f>21</f>
        <v>21.0</v>
      </c>
    </row>
    <row r="454">
      <c r="A454" s="27" t="s">
        <v>42</v>
      </c>
      <c r="B454" s="27" t="s">
        <v>1417</v>
      </c>
      <c r="C454" s="27" t="s">
        <v>1418</v>
      </c>
      <c r="D454" s="27" t="s">
        <v>1419</v>
      </c>
      <c r="E454" s="28" t="s">
        <v>46</v>
      </c>
      <c r="F454" s="29" t="s">
        <v>46</v>
      </c>
      <c r="G454" s="30" t="s">
        <v>46</v>
      </c>
      <c r="H454" s="31"/>
      <c r="I454" s="31" t="s">
        <v>47</v>
      </c>
      <c r="J454" s="32" t="n">
        <v>1.0</v>
      </c>
      <c r="K454" s="33" t="n">
        <f>74600</f>
        <v>74600.0</v>
      </c>
      <c r="L454" s="34" t="s">
        <v>48</v>
      </c>
      <c r="M454" s="33" t="n">
        <f>78900</f>
        <v>78900.0</v>
      </c>
      <c r="N454" s="34" t="s">
        <v>269</v>
      </c>
      <c r="O454" s="33" t="n">
        <f>73300</f>
        <v>73300.0</v>
      </c>
      <c r="P454" s="34" t="s">
        <v>69</v>
      </c>
      <c r="Q454" s="33" t="n">
        <f>76100</f>
        <v>76100.0</v>
      </c>
      <c r="R454" s="34" t="s">
        <v>49</v>
      </c>
      <c r="S454" s="35" t="n">
        <f>76114.29</f>
        <v>76114.29</v>
      </c>
      <c r="T454" s="32" t="n">
        <f>380788</f>
        <v>380788.0</v>
      </c>
      <c r="U454" s="32" t="n">
        <f>90408</f>
        <v>90408.0</v>
      </c>
      <c r="V454" s="32" t="n">
        <f>29030901771</f>
        <v>2.9030901771E10</v>
      </c>
      <c r="W454" s="32" t="n">
        <f>6882714971</f>
        <v>6.882714971E9</v>
      </c>
      <c r="X454" s="36" t="n">
        <f>21</f>
        <v>21.0</v>
      </c>
    </row>
    <row r="455">
      <c r="A455" s="27" t="s">
        <v>42</v>
      </c>
      <c r="B455" s="27" t="s">
        <v>1420</v>
      </c>
      <c r="C455" s="27" t="s">
        <v>1421</v>
      </c>
      <c r="D455" s="27" t="s">
        <v>1422</v>
      </c>
      <c r="E455" s="28" t="s">
        <v>46</v>
      </c>
      <c r="F455" s="29" t="s">
        <v>46</v>
      </c>
      <c r="G455" s="30" t="s">
        <v>46</v>
      </c>
      <c r="H455" s="31"/>
      <c r="I455" s="31" t="s">
        <v>47</v>
      </c>
      <c r="J455" s="32" t="n">
        <v>1.0</v>
      </c>
      <c r="K455" s="33" t="n">
        <f>94200</f>
        <v>94200.0</v>
      </c>
      <c r="L455" s="34" t="s">
        <v>48</v>
      </c>
      <c r="M455" s="33" t="n">
        <f>97500</f>
        <v>97500.0</v>
      </c>
      <c r="N455" s="34" t="s">
        <v>86</v>
      </c>
      <c r="O455" s="33" t="n">
        <f>92200</f>
        <v>92200.0</v>
      </c>
      <c r="P455" s="34" t="s">
        <v>152</v>
      </c>
      <c r="Q455" s="33" t="n">
        <f>95600</f>
        <v>95600.0</v>
      </c>
      <c r="R455" s="34" t="s">
        <v>49</v>
      </c>
      <c r="S455" s="35" t="n">
        <f>95457.14</f>
        <v>95457.14</v>
      </c>
      <c r="T455" s="32" t="n">
        <f>134746</f>
        <v>134746.0</v>
      </c>
      <c r="U455" s="32" t="n">
        <f>25423</f>
        <v>25423.0</v>
      </c>
      <c r="V455" s="32" t="n">
        <f>12807985139</f>
        <v>1.2807985139E10</v>
      </c>
      <c r="W455" s="32" t="n">
        <f>2420343739</f>
        <v>2.420343739E9</v>
      </c>
      <c r="X455" s="36" t="n">
        <f>21</f>
        <v>21.0</v>
      </c>
    </row>
    <row r="456">
      <c r="A456" s="27" t="s">
        <v>42</v>
      </c>
      <c r="B456" s="27" t="s">
        <v>1423</v>
      </c>
      <c r="C456" s="27" t="s">
        <v>1424</v>
      </c>
      <c r="D456" s="27" t="s">
        <v>1425</v>
      </c>
      <c r="E456" s="28" t="s">
        <v>46</v>
      </c>
      <c r="F456" s="29" t="s">
        <v>46</v>
      </c>
      <c r="G456" s="30" t="s">
        <v>46</v>
      </c>
      <c r="H456" s="31"/>
      <c r="I456" s="31" t="s">
        <v>47</v>
      </c>
      <c r="J456" s="32" t="n">
        <v>1.0</v>
      </c>
      <c r="K456" s="33" t="n">
        <f>131100</f>
        <v>131100.0</v>
      </c>
      <c r="L456" s="34" t="s">
        <v>48</v>
      </c>
      <c r="M456" s="33" t="n">
        <f>137100</f>
        <v>137100.0</v>
      </c>
      <c r="N456" s="34" t="s">
        <v>198</v>
      </c>
      <c r="O456" s="33" t="n">
        <f>130700</f>
        <v>130700.0</v>
      </c>
      <c r="P456" s="34" t="s">
        <v>69</v>
      </c>
      <c r="Q456" s="33" t="n">
        <f>133500</f>
        <v>133500.0</v>
      </c>
      <c r="R456" s="34" t="s">
        <v>49</v>
      </c>
      <c r="S456" s="35" t="n">
        <f>133757.14</f>
        <v>133757.14</v>
      </c>
      <c r="T456" s="32" t="n">
        <f>96051</f>
        <v>96051.0</v>
      </c>
      <c r="U456" s="32" t="n">
        <f>29256</f>
        <v>29256.0</v>
      </c>
      <c r="V456" s="32" t="n">
        <f>12842565895</f>
        <v>1.2842565895E10</v>
      </c>
      <c r="W456" s="32" t="n">
        <f>3903700595</f>
        <v>3.903700595E9</v>
      </c>
      <c r="X456" s="36" t="n">
        <f>21</f>
        <v>21.0</v>
      </c>
    </row>
    <row r="457">
      <c r="A457" s="27" t="s">
        <v>42</v>
      </c>
      <c r="B457" s="27" t="s">
        <v>1426</v>
      </c>
      <c r="C457" s="27" t="s">
        <v>1427</v>
      </c>
      <c r="D457" s="27" t="s">
        <v>1428</v>
      </c>
      <c r="E457" s="28" t="s">
        <v>46</v>
      </c>
      <c r="F457" s="29" t="s">
        <v>46</v>
      </c>
      <c r="G457" s="30" t="s">
        <v>46</v>
      </c>
      <c r="H457" s="31"/>
      <c r="I457" s="31" t="s">
        <v>416</v>
      </c>
      <c r="J457" s="32" t="n">
        <v>1.0</v>
      </c>
      <c r="K457" s="33" t="n">
        <f>49400</f>
        <v>49400.0</v>
      </c>
      <c r="L457" s="34" t="s">
        <v>48</v>
      </c>
      <c r="M457" s="33" t="n">
        <f>56500</f>
        <v>56500.0</v>
      </c>
      <c r="N457" s="34" t="s">
        <v>60</v>
      </c>
      <c r="O457" s="33" t="n">
        <f>47750</f>
        <v>47750.0</v>
      </c>
      <c r="P457" s="34" t="s">
        <v>49</v>
      </c>
      <c r="Q457" s="33" t="n">
        <f>47750</f>
        <v>47750.0</v>
      </c>
      <c r="R457" s="34" t="s">
        <v>49</v>
      </c>
      <c r="S457" s="35" t="n">
        <f>51423.81</f>
        <v>51423.81</v>
      </c>
      <c r="T457" s="32" t="n">
        <f>16042</f>
        <v>16042.0</v>
      </c>
      <c r="U457" s="32" t="str">
        <f>"－"</f>
        <v>－</v>
      </c>
      <c r="V457" s="32" t="n">
        <f>828439500</f>
        <v>8.284395E8</v>
      </c>
      <c r="W457" s="32" t="str">
        <f>"－"</f>
        <v>－</v>
      </c>
      <c r="X457" s="36" t="n">
        <f>21</f>
        <v>21.0</v>
      </c>
    </row>
    <row r="458">
      <c r="A458" s="27" t="s">
        <v>42</v>
      </c>
      <c r="B458" s="27" t="s">
        <v>1429</v>
      </c>
      <c r="C458" s="27" t="s">
        <v>1430</v>
      </c>
      <c r="D458" s="27" t="s">
        <v>1431</v>
      </c>
      <c r="E458" s="28" t="s">
        <v>46</v>
      </c>
      <c r="F458" s="29" t="s">
        <v>46</v>
      </c>
      <c r="G458" s="30" t="s">
        <v>46</v>
      </c>
      <c r="H458" s="31"/>
      <c r="I458" s="31" t="s">
        <v>416</v>
      </c>
      <c r="J458" s="32" t="n">
        <v>1.0</v>
      </c>
      <c r="K458" s="33" t="n">
        <f>80000</f>
        <v>80000.0</v>
      </c>
      <c r="L458" s="34" t="s">
        <v>48</v>
      </c>
      <c r="M458" s="33" t="n">
        <f>80400</f>
        <v>80400.0</v>
      </c>
      <c r="N458" s="34" t="s">
        <v>202</v>
      </c>
      <c r="O458" s="33" t="n">
        <f>74800</f>
        <v>74800.0</v>
      </c>
      <c r="P458" s="34" t="s">
        <v>151</v>
      </c>
      <c r="Q458" s="33" t="n">
        <f>75400</f>
        <v>75400.0</v>
      </c>
      <c r="R458" s="34" t="s">
        <v>49</v>
      </c>
      <c r="S458" s="35" t="n">
        <f>78685.71</f>
        <v>78685.71</v>
      </c>
      <c r="T458" s="32" t="n">
        <f>34981</f>
        <v>34981.0</v>
      </c>
      <c r="U458" s="32" t="n">
        <f>1505</f>
        <v>1505.0</v>
      </c>
      <c r="V458" s="32" t="n">
        <f>2730180790</f>
        <v>2.73018079E9</v>
      </c>
      <c r="W458" s="32" t="n">
        <f>117465090</f>
        <v>1.1746509E8</v>
      </c>
      <c r="X458" s="36" t="n">
        <f>21</f>
        <v>21.0</v>
      </c>
    </row>
    <row r="459">
      <c r="A459" s="27" t="s">
        <v>42</v>
      </c>
      <c r="B459" s="27" t="s">
        <v>1432</v>
      </c>
      <c r="C459" s="27" t="s">
        <v>1433</v>
      </c>
      <c r="D459" s="27" t="s">
        <v>1434</v>
      </c>
      <c r="E459" s="28" t="s">
        <v>46</v>
      </c>
      <c r="F459" s="29" t="s">
        <v>46</v>
      </c>
      <c r="G459" s="30" t="s">
        <v>46</v>
      </c>
      <c r="H459" s="31"/>
      <c r="I459" s="31" t="s">
        <v>416</v>
      </c>
      <c r="J459" s="32" t="n">
        <v>1.0</v>
      </c>
      <c r="K459" s="33" t="n">
        <f>46650</f>
        <v>46650.0</v>
      </c>
      <c r="L459" s="34" t="s">
        <v>48</v>
      </c>
      <c r="M459" s="33" t="n">
        <f>51500</f>
        <v>51500.0</v>
      </c>
      <c r="N459" s="34" t="s">
        <v>102</v>
      </c>
      <c r="O459" s="33" t="n">
        <f>45700</f>
        <v>45700.0</v>
      </c>
      <c r="P459" s="34" t="s">
        <v>48</v>
      </c>
      <c r="Q459" s="33" t="n">
        <f>47250</f>
        <v>47250.0</v>
      </c>
      <c r="R459" s="34" t="s">
        <v>49</v>
      </c>
      <c r="S459" s="35" t="n">
        <f>48047.62</f>
        <v>48047.62</v>
      </c>
      <c r="T459" s="32" t="n">
        <f>11974</f>
        <v>11974.0</v>
      </c>
      <c r="U459" s="32" t="str">
        <f>"－"</f>
        <v>－</v>
      </c>
      <c r="V459" s="32" t="n">
        <f>579194050</f>
        <v>5.7919405E8</v>
      </c>
      <c r="W459" s="32" t="str">
        <f>"－"</f>
        <v>－</v>
      </c>
      <c r="X459" s="36" t="n">
        <f>21</f>
        <v>21.0</v>
      </c>
    </row>
    <row r="460">
      <c r="A460" s="27" t="s">
        <v>42</v>
      </c>
      <c r="B460" s="27" t="s">
        <v>1435</v>
      </c>
      <c r="C460" s="27" t="s">
        <v>1436</v>
      </c>
      <c r="D460" s="27" t="s">
        <v>1437</v>
      </c>
      <c r="E460" s="28" t="s">
        <v>46</v>
      </c>
      <c r="F460" s="29" t="s">
        <v>46</v>
      </c>
      <c r="G460" s="30" t="s">
        <v>46</v>
      </c>
      <c r="H460" s="31"/>
      <c r="I460" s="31" t="s">
        <v>47</v>
      </c>
      <c r="J460" s="32" t="n">
        <v>1.0</v>
      </c>
      <c r="K460" s="33" t="n">
        <f>45300</f>
        <v>45300.0</v>
      </c>
      <c r="L460" s="34" t="s">
        <v>48</v>
      </c>
      <c r="M460" s="33" t="n">
        <f>47450</f>
        <v>47450.0</v>
      </c>
      <c r="N460" s="34" t="s">
        <v>64</v>
      </c>
      <c r="O460" s="33" t="n">
        <f>44600</f>
        <v>44600.0</v>
      </c>
      <c r="P460" s="34" t="s">
        <v>220</v>
      </c>
      <c r="Q460" s="33" t="n">
        <f>46500</f>
        <v>46500.0</v>
      </c>
      <c r="R460" s="34" t="s">
        <v>49</v>
      </c>
      <c r="S460" s="35" t="n">
        <f>45769.05</f>
        <v>45769.05</v>
      </c>
      <c r="T460" s="32" t="n">
        <f>31796</f>
        <v>31796.0</v>
      </c>
      <c r="U460" s="32" t="n">
        <f>895</f>
        <v>895.0</v>
      </c>
      <c r="V460" s="32" t="n">
        <f>1454326451</f>
        <v>1.454326451E9</v>
      </c>
      <c r="W460" s="32" t="n">
        <f>41445251</f>
        <v>4.1445251E7</v>
      </c>
      <c r="X460" s="36" t="n">
        <f>21</f>
        <v>21.0</v>
      </c>
    </row>
    <row r="461">
      <c r="A461" s="27" t="s">
        <v>42</v>
      </c>
      <c r="B461" s="27" t="s">
        <v>1438</v>
      </c>
      <c r="C461" s="27" t="s">
        <v>1439</v>
      </c>
      <c r="D461" s="27" t="s">
        <v>1440</v>
      </c>
      <c r="E461" s="28" t="s">
        <v>46</v>
      </c>
      <c r="F461" s="29" t="s">
        <v>46</v>
      </c>
      <c r="G461" s="30" t="s">
        <v>46</v>
      </c>
      <c r="H461" s="31"/>
      <c r="I461" s="31" t="s">
        <v>416</v>
      </c>
      <c r="J461" s="32" t="n">
        <v>1.0</v>
      </c>
      <c r="K461" s="33" t="n">
        <f>44650</f>
        <v>44650.0</v>
      </c>
      <c r="L461" s="34" t="s">
        <v>48</v>
      </c>
      <c r="M461" s="33" t="n">
        <f>45200</f>
        <v>45200.0</v>
      </c>
      <c r="N461" s="34" t="s">
        <v>82</v>
      </c>
      <c r="O461" s="33" t="n">
        <f>42900</f>
        <v>42900.0</v>
      </c>
      <c r="P461" s="34" t="s">
        <v>220</v>
      </c>
      <c r="Q461" s="33" t="n">
        <f>44500</f>
        <v>44500.0</v>
      </c>
      <c r="R461" s="34" t="s">
        <v>49</v>
      </c>
      <c r="S461" s="35" t="n">
        <f>44076.19</f>
        <v>44076.19</v>
      </c>
      <c r="T461" s="32" t="n">
        <f>30444</f>
        <v>30444.0</v>
      </c>
      <c r="U461" s="32" t="n">
        <f>1278</f>
        <v>1278.0</v>
      </c>
      <c r="V461" s="32" t="n">
        <f>1340676641</f>
        <v>1.340676641E9</v>
      </c>
      <c r="W461" s="32" t="n">
        <f>56718691</f>
        <v>5.6718691E7</v>
      </c>
      <c r="X461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