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<sst xmlns="http://schemas.openxmlformats.org/spreadsheetml/2006/main" count="5545" uniqueCount="1447">
  <si>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</si>
  <si>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</si>
  <si>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</si>
  <si>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</si>
  <si>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</si>
  <si>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</si>
  <si>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</si>
  <si>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</si>
  <si>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</si>
  <si>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</si>
  <si>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</si>
  <si>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</si>
  <si>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</si>
  <si>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</si>
  <si>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</si>
  <si>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</si>
  <si>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</si>
  <si>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</si>
  <si>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</si>
  <si>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</si>
  <si>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</si>
  <si>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</si>
  <si>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</si>
  <si>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</si>
  <si>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</si>
  <si>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</si>
  <si>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</si>
  <si>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</si>
  <si>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</si>
  <si>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</si>
  <si>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</si>
  <si>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</si>
  <si>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</si>
  <si>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</si>
  <si>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</si>
  <si>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</si>
  <si>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</si>
  <si>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</si>
  <si>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</si>
  <si>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</si>
  <si>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</si>
  <si>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</si>
  <si>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2025/07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</si>
  <si>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</si>
  <si>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</si>
  <si>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</si>
  <si>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</si>
  <si>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</si>
  <si>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</si>
  <si>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24</t>
  </si>
  <si>
    <t>10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</si>
  <si>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</si>
  <si>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</si>
  <si>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</si>
  <si>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</si>
  <si>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</si>
  <si>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</si>
  <si>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</si>
  <si>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</si>
  <si>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</si>
  <si>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</si>
  <si>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</t>
  </si>
  <si>
    <t>1311</t>
  </si>
  <si>
    <t>ＮＥＸＴ　ＦＵＮＤＳ　ＴＯＰＩＸ　Ｃｏｒｅ　３０連動型上場投信　受益証券</t>
  </si>
  <si>
    <t>NEXT FUNDS TOPIX Core 30 Exchange Traded Fund</t>
  </si>
  <si>
    <t>14</t>
  </si>
  <si>
    <t>1319</t>
  </si>
  <si>
    <t>ＮＥＸＴ　ＦＵＮＤＳ　日経３００株価指数連動型上場投信　受益証券</t>
  </si>
  <si>
    <t>NEXT FUNDS Nikkei 300 Index Exchange Traded Fund</t>
  </si>
  <si>
    <t>16</t>
  </si>
  <si>
    <t>28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</si>
  <si>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</si>
  <si>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</si>
  <si>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</si>
  <si>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</si>
  <si>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</si>
  <si>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</si>
  <si>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</si>
  <si>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</si>
  <si>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</si>
  <si>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29</t>
  </si>
  <si>
    <t>1325</t>
  </si>
  <si>
    <t>ＮＥＸＴ　ＦＵＮＤＳ　ブラジル株式指数・ボベスパ連動型上場投信　受益証券</t>
  </si>
  <si>
    <t>NEXT FUNDS Ibovespa Linked Exchange Traded Fund</t>
  </si>
  <si>
    <t>4</t>
  </si>
  <si>
    <t>1326</t>
  </si>
  <si>
    <t>ＳＰＤＲゴールド・シェア　受益証券</t>
  </si>
  <si>
    <t>SPDR Gold Shares</t>
  </si>
  <si>
    <t>23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</si>
  <si>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</si>
  <si>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</si>
  <si>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</si>
  <si>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</si>
  <si>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</si>
  <si>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</si>
  <si>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</si>
  <si>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</si>
  <si>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</si>
  <si>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</si>
  <si>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</si>
  <si>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</si>
  <si>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</si>
  <si>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</si>
  <si>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</si>
  <si>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30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</si>
  <si>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</si>
  <si>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</si>
  <si>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</si>
  <si>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</si>
  <si>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</si>
  <si>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</si>
  <si>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17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</si>
  <si>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</si>
  <si>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</si>
  <si>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</si>
  <si>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</si>
  <si>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</si>
  <si>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</si>
  <si>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3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</si>
  <si>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</si>
  <si>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</si>
  <si>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</si>
  <si>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</si>
  <si>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</si>
  <si>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</si>
  <si>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</si>
  <si>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</si>
  <si>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</si>
  <si>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</si>
  <si>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</si>
  <si>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</si>
  <si>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</si>
  <si>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</si>
  <si>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</si>
  <si>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</si>
  <si>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</si>
  <si>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</si>
  <si>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</si>
  <si>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</si>
  <si>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</si>
  <si>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</si>
  <si>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</si>
  <si>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</si>
  <si>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</si>
  <si>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</si>
  <si>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</si>
  <si>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</si>
  <si>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</si>
  <si>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</si>
  <si>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</si>
  <si>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</si>
  <si>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</si>
  <si>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</si>
  <si>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</si>
  <si>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</si>
  <si>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</si>
  <si>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</si>
  <si>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</si>
  <si>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</si>
  <si>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</si>
  <si>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</si>
  <si>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</si>
  <si>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</si>
  <si>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</si>
  <si>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</si>
  <si>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</si>
  <si>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</si>
  <si>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7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</si>
  <si>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</si>
  <si>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</si>
  <si>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</si>
  <si>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</si>
  <si>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</si>
  <si>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</si>
  <si>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</si>
  <si>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</si>
  <si>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</si>
  <si>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</si>
  <si>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</si>
  <si>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</si>
  <si>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8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</si>
  <si>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</si>
  <si>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</si>
  <si>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</si>
  <si>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</si>
  <si>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</si>
  <si>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</si>
  <si>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</si>
  <si>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</si>
  <si>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</si>
  <si>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</si>
  <si>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</si>
  <si>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</si>
  <si>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</si>
  <si>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</si>
  <si>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</si>
  <si>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</si>
  <si>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</si>
  <si>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</si>
  <si>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</si>
  <si>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</si>
  <si>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</si>
  <si>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</si>
  <si>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</si>
  <si>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</si>
  <si>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11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</si>
  <si>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</si>
  <si>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</si>
  <si>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</si>
  <si>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</si>
  <si>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</si>
  <si>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</si>
  <si>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22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</si>
  <si>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</si>
  <si>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</si>
  <si>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</si>
  <si>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</si>
  <si>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</si>
  <si>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</si>
  <si>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</si>
  <si>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</si>
  <si>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</si>
  <si>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</si>
  <si>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</si>
  <si>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</si>
  <si>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</si>
  <si>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</si>
  <si>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</si>
  <si>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</si>
  <si>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</si>
  <si>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</si>
  <si>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</si>
  <si>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</si>
  <si>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</si>
  <si>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</si>
  <si>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</si>
  <si>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</si>
  <si>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</si>
  <si>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</si>
  <si>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</si>
  <si>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</si>
  <si>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</si>
  <si>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</si>
  <si>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</si>
  <si>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</si>
  <si>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</si>
  <si>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25</t>
  </si>
  <si>
    <t>1495</t>
  </si>
  <si>
    <t>上場インデックスファンドアジアリート　受益証券</t>
  </si>
  <si>
    <t>Listed Index Fund Asian REIT</t>
  </si>
  <si>
    <t>15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</si>
  <si>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</si>
  <si>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</si>
  <si>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</si>
  <si>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</si>
  <si>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</si>
  <si>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</si>
  <si>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</si>
  <si>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</si>
  <si>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</si>
  <si>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</si>
  <si>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</si>
  <si>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</si>
  <si>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</si>
  <si>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</si>
  <si>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</si>
  <si>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</si>
  <si>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</si>
  <si>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</si>
  <si>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18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</si>
  <si>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</si>
  <si>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</si>
  <si>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</si>
  <si>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</si>
  <si>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</si>
  <si>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</si>
  <si>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</si>
  <si>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</si>
  <si>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</si>
  <si>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</si>
  <si>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</si>
  <si>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</si>
  <si>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</si>
  <si>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</si>
  <si>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</si>
  <si>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</si>
  <si>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</si>
  <si>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</si>
  <si>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</si>
  <si>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</si>
  <si>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</si>
  <si>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</si>
  <si>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</si>
  <si>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</si>
  <si>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</si>
  <si>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</si>
  <si>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</si>
  <si>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</si>
  <si>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</si>
  <si>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</si>
  <si>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</si>
  <si>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</si>
  <si>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</si>
  <si>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</si>
  <si>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</si>
  <si>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</si>
  <si>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</si>
  <si>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</si>
  <si>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</si>
  <si>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</si>
  <si>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</si>
  <si>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</si>
  <si>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</si>
  <si>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</si>
  <si>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</si>
  <si>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</si>
  <si>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</si>
  <si>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</si>
  <si>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</si>
  <si>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</si>
  <si>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</si>
  <si>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</si>
  <si>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</si>
  <si>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</si>
  <si>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</si>
  <si>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</si>
  <si>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</si>
  <si>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</si>
  <si>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</si>
  <si>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</si>
  <si>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9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</si>
  <si>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</si>
  <si>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</si>
  <si>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</si>
  <si>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</si>
  <si>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</si>
  <si>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</si>
  <si>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</si>
  <si>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</si>
  <si>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</si>
  <si>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</si>
  <si>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</si>
  <si>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</si>
  <si>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</si>
  <si>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</si>
  <si>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</si>
  <si>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</si>
  <si>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</si>
  <si>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</si>
  <si>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</si>
  <si>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</si>
  <si>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</si>
  <si>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</si>
  <si>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</si>
  <si>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</si>
  <si>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</si>
  <si>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</si>
  <si>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</si>
  <si>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</si>
  <si>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</si>
  <si>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</si>
  <si>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</si>
  <si>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</si>
  <si>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</si>
  <si>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</si>
  <si>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</si>
  <si>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</si>
  <si>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</si>
  <si>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</si>
  <si>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</si>
  <si>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</si>
  <si>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</si>
  <si>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</si>
  <si>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</si>
  <si>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</si>
  <si>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</si>
  <si>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</si>
  <si>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</si>
  <si>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</si>
  <si>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</si>
  <si>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</si>
  <si>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</si>
  <si>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</si>
  <si>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</si>
  <si>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</si>
  <si>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</si>
  <si>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</si>
  <si>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</si>
  <si>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</si>
  <si>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</si>
  <si>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</si>
  <si>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</si>
  <si>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</si>
  <si>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</si>
  <si>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</si>
  <si>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</si>
  <si>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</si>
  <si>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</si>
  <si>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</si>
  <si>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</si>
  <si>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</si>
  <si>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</si>
  <si>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</si>
  <si>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</si>
  <si>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</si>
  <si>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</si>
  <si>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</si>
  <si>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</si>
  <si>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</si>
  <si>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</si>
  <si>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</si>
  <si>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</si>
  <si>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</si>
  <si>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</si>
  <si>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</si>
  <si>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</si>
  <si>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</si>
  <si>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</si>
  <si>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</si>
  <si>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</si>
  <si>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</si>
  <si>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</si>
  <si>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</si>
  <si>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</si>
  <si>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</si>
  <si>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</si>
  <si>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</si>
  <si>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</si>
  <si>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</si>
  <si>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</si>
  <si>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</si>
  <si>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</si>
  <si>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</si>
  <si>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</si>
  <si>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</si>
  <si>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</si>
  <si>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</si>
  <si>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</si>
  <si>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</si>
  <si>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</si>
  <si>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</si>
  <si>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</si>
  <si>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</si>
  <si>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</si>
  <si>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</si>
  <si>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</si>
  <si>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</si>
  <si>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</si>
  <si>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</si>
  <si>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</si>
  <si>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</si>
  <si>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</si>
  <si>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</si>
  <si>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</si>
  <si>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</si>
  <si>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</si>
  <si>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</si>
  <si>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</si>
  <si>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</si>
  <si>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</si>
  <si>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</si>
  <si>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</si>
  <si>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</si>
  <si>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</si>
  <si>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</si>
  <si>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</si>
  <si>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</si>
  <si>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</si>
  <si>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</si>
  <si>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</si>
  <si>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</si>
  <si>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</si>
  <si>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</si>
  <si>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</si>
  <si>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</si>
  <si>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</si>
  <si>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</si>
  <si>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</si>
  <si>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</si>
  <si>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</si>
  <si>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</si>
  <si>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</si>
  <si>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</si>
  <si>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</si>
  <si>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</si>
  <si>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</si>
  <si>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</si>
  <si>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</si>
  <si>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</si>
  <si>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</si>
  <si>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</si>
  <si>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</si>
  <si>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</si>
  <si>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</si>
  <si>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</si>
  <si>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</si>
  <si>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</si>
  <si>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</si>
  <si>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</si>
  <si>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</si>
  <si>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</si>
  <si>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</si>
  <si>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</si>
  <si>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</si>
  <si>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</si>
  <si>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</si>
  <si>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</si>
  <si>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</si>
  <si>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</si>
  <si>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</si>
  <si>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</si>
  <si>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</si>
  <si>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</si>
  <si>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</si>
  <si>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</si>
  <si>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</si>
  <si>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</si>
  <si>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</si>
  <si>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</si>
  <si>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</si>
  <si>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</si>
  <si>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</si>
  <si>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</si>
  <si>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</si>
  <si>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</si>
  <si>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</si>
  <si>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</si>
  <si>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</si>
  <si>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</si>
  <si>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</si>
  <si>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</si>
  <si>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</si>
  <si>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</si>
  <si>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</si>
  <si>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</si>
  <si>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</si>
  <si>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</si>
  <si>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</si>
  <si>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</si>
  <si>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</si>
  <si>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</si>
  <si>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</si>
  <si>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</si>
  <si>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</si>
  <si>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</si>
  <si>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</si>
  <si>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</si>
  <si>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</si>
  <si>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</si>
  <si>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</si>
  <si>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</si>
  <si>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</si>
  <si>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</si>
  <si>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</si>
  <si>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</si>
  <si>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</si>
  <si>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</si>
  <si>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</si>
  <si>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</si>
  <si>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</si>
  <si>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</si>
  <si>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</si>
  <si>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</si>
  <si>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</si>
  <si>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</si>
  <si>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</si>
  <si>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</si>
  <si>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</si>
  <si>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</si>
  <si>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</si>
  <si>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</si>
  <si>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</si>
  <si>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</si>
  <si>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</si>
  <si>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</si>
  <si>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</si>
  <si>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</si>
  <si>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</si>
  <si>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</si>
  <si>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</si>
  <si>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</si>
  <si>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</si>
  <si>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</si>
  <si>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</si>
  <si>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</si>
  <si>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</si>
  <si>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</si>
  <si>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</si>
  <si>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</si>
  <si>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</si>
  <si>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</si>
  <si>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</si>
  <si>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</si>
  <si>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</si>
  <si>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</si>
  <si>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</si>
  <si>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</si>
  <si>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</si>
  <si>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</si>
  <si>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</si>
  <si>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</si>
  <si>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</si>
  <si>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</si>
  <si>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</si>
  <si>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</si>
  <si>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</si>
  <si>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</si>
  <si>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</si>
  <si>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</si>
  <si>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</si>
  <si>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</si>
  <si>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</si>
  <si>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</si>
  <si>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</si>
  <si>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</si>
  <si>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</si>
  <si>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</si>
  <si>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</si>
  <si>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</si>
  <si>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</si>
  <si>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</si>
  <si>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</si>
  <si>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</si>
  <si>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</si>
  <si>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</si>
  <si>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</si>
  <si>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</si>
  <si>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</si>
  <si>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</si>
  <si>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</si>
  <si>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</si>
  <si>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</si>
  <si>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</si>
  <si>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</si>
  <si>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</si>
  <si>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</si>
  <si>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</si>
  <si>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</si>
  <si>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</si>
  <si>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</si>
  <si>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</si>
  <si>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</si>
  <si>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</si>
  <si>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</si>
  <si>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</si>
  <si>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</si>
  <si>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</si>
  <si>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</si>
  <si>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</si>
  <si>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</si>
  <si>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</si>
  <si>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</si>
  <si>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</si>
  <si>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</si>
  <si>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</si>
  <si>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</si>
  <si>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</si>
  <si>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</si>
  <si>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</si>
  <si>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</si>
  <si>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</si>
  <si>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</si>
  <si>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</si>
  <si>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</si>
  <si>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</si>
  <si>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</si>
  <si>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</si>
  <si>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</si>
  <si>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</si>
  <si>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</si>
  <si>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</si>
  <si>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</si>
  <si>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</si>
  <si>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</si>
  <si>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</si>
  <si>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</si>
  <si>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</si>
  <si>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</si>
  <si>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</si>
  <si>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</si>
  <si>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</si>
  <si>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</si>
  <si>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</si>
  <si>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</si>
  <si>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</si>
  <si>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</si>
  <si>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</si>
  <si>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</si>
  <si>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</si>
  <si>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</si>
  <si>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</si>
  <si>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</si>
  <si>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</si>
  <si>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</si>
  <si>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</si>
  <si>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</si>
  <si>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</si>
  <si>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</si>
  <si>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</si>
  <si>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</si>
  <si>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</si>
  <si>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</si>
  <si>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</si>
  <si>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</si>
  <si>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</si>
  <si>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</si>
  <si>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</si>
  <si>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</si>
  <si>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</si>
  <si>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</si>
  <si>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</si>
  <si>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</si>
  <si>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</si>
  <si>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</si>
  <si>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</si>
  <si>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</si>
  <si>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</si>
  <si>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</si>
  <si>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</si>
  <si>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</si>
  <si>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</si>
  <si>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</si>
  <si>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</si>
  <si>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</si>
  <si>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</si>
  <si>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</si>
  <si>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</si>
  <si>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</si>
  <si>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</si>
  <si>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</si>
  <si>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</si>
  <si>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</si>
  <si>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</si>
  <si>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</si>
  <si>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</si>
  <si>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</si>
  <si>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</si>
  <si>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</si>
  <si>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</si>
  <si>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</si>
  <si>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</si>
  <si>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</si>
  <si>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</si>
  <si>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</si>
  <si>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</si>
  <si>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</si>
  <si>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</si>
  <si>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</si>
  <si>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</si>
  <si>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</si>
  <si>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</si>
  <si>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</si>
  <si>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</si>
  <si>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</si>
  <si>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</si>
  <si>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</si>
  <si>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</si>
  <si>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</si>
  <si>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</si>
  <si>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</si>
  <si>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</si>
  <si>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</si>
  <si>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</si>
  <si>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</si>
  <si>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</si>
  <si>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</si>
  <si>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</si>
  <si>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</si>
  <si>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</si>
  <si>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</si>
  <si>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</si>
  <si>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</si>
  <si>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</si>
  <si>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</si>
  <si>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</si>
  <si>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</si>
  <si>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</si>
  <si>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</si>
  <si>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</si>
  <si>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</si>
  <si>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</si>
  <si>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</si>
  <si>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</si>
  <si>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</si>
  <si>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</si>
  <si>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</si>
  <si>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</si>
  <si>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</si>
  <si>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</si>
  <si>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</si>
  <si>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</si>
  <si>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</si>
  <si>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</si>
  <si>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</si>
  <si>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</si>
  <si>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</si>
  <si>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</si>
  <si>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</si>
  <si>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</si>
  <si>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</si>
  <si>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</si>
  <si>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</si>
  <si>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</si>
  <si>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</si>
  <si>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</si>
  <si>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</si>
  <si>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</si>
  <si>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</si>
  <si>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</si>
  <si>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</si>
  <si>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</si>
  <si>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</si>
  <si>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</si>
  <si>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</si>
  <si>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</si>
  <si>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</si>
  <si>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</si>
  <si>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</si>
  <si>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</si>
  <si>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</si>
  <si>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</si>
  <si>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</si>
  <si>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</si>
  <si>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</si>
  <si>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</si>
  <si>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</si>
  <si>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</si>
  <si>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</si>
  <si>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</si>
  <si>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</si>
  <si>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</si>
  <si>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</si>
  <si>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</si>
  <si>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</si>
  <si>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</si>
  <si>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</si>
  <si>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</si>
  <si>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</si>
  <si>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</si>
  <si>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</si>
  <si>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</si>
  <si>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</si>
  <si>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</si>
  <si>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</si>
  <si>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</si>
  <si>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</si>
  <si>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</si>
  <si>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</si>
  <si>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</si>
  <si>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</si>
  <si>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</si>
  <si>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</si>
  <si>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</si>
  <si>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</si>
  <si>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</si>
  <si>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</si>
  <si>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</si>
  <si>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</si>
  <si>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</si>
  <si>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</si>
  <si>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</si>
  <si>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</si>
  <si>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</si>
  <si>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</si>
  <si>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</si>
  <si>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</si>
  <si>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</si>
  <si>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</si>
  <si>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</si>
  <si>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</si>
  <si>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</si>
  <si>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</si>
  <si>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</si>
  <si>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</si>
  <si>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</si>
  <si>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</si>
  <si>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</si>
  <si>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</si>
  <si>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</si>
  <si>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</si>
  <si>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</si>
  <si>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</si>
  <si>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</si>
  <si>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</si>
  <si>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</si>
  <si>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</si>
  <si>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</si>
  <si>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</si>
  <si>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</si>
  <si>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</si>
  <si>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</si>
  <si>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</si>
  <si>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</si>
  <si>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</si>
  <si>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</si>
  <si>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</si>
  <si>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</si>
  <si>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</si>
  <si>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</si>
  <si>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</si>
  <si>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</si>
  <si>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</si>
  <si>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</si>
  <si>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</si>
  <si>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</si>
  <si>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</si>
  <si>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</si>
  <si>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</si>
  <si>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</si>
  <si>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</si>
  <si>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</si>
  <si>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</si>
  <si>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</si>
  <si>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</si>
  <si>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</si>
  <si>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</si>
  <si>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</si>
  <si>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</si>
  <si>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</si>
  <si>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</si>
  <si>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</si>
  <si>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</si>
  <si>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</si>
  <si>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</si>
  <si>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</si>
  <si>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</si>
  <si>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</si>
  <si>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</si>
  <si>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</si>
  <si>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</si>
  <si>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</si>
  <si>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</si>
  <si>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</si>
  <si>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</si>
  <si>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</si>
  <si>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</si>
  <si>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</si>
  <si>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</si>
  <si>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</si>
  <si>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</si>
  <si>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</si>
  <si>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</si>
  <si>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</si>
  <si>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</si>
  <si>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</si>
  <si>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</si>
  <si>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</si>
  <si>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</si>
  <si>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</si>
  <si>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</si>
  <si>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</si>
  <si>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</si>
  <si>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</si>
  <si>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</si>
  <si>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</si>
  <si>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</si>
  <si>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</si>
  <si>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</si>
  <si>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</si>
  <si>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</si>
  <si>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</si>
  <si>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</si>
  <si>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</si>
  <si>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</si>
  <si>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</si>
  <si>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</si>
  <si>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</si>
  <si>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</si>
  <si>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</si>
  <si>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</si>
  <si>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</si>
  <si>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</si>
  <si>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</si>
  <si>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</si>
  <si>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</si>
  <si>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</si>
  <si>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</si>
  <si>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</si>
  <si>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</si>
  <si>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</si>
  <si>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</si>
  <si>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</si>
  <si>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</si>
  <si>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</si>
  <si>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</si>
  <si>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</si>
  <si>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</si>
  <si>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</si>
  <si>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</si>
  <si>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</si>
  <si>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</si>
  <si>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</si>
  <si>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</si>
  <si>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</si>
  <si>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</si>
  <si>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</si>
  <si>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</si>
  <si>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</si>
  <si>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</si>
  <si>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</si>
  <si>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</si>
  <si>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</si>
  <si>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</si>
  <si>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</si>
  <si>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</si>
  <si>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</si>
  <si>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</si>
  <si>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</si>
  <si>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</si>
  <si>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</si>
  <si>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</si>
  <si>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</si>
  <si>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</si>
  <si>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</si>
  <si>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</si>
  <si>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</si>
  <si>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</si>
  <si>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５００スコアリング＆スクリーニング指数連動型上場投信　受益証券</t>
  </si>
  <si>
    <t>NEXT FUNDS S&amp;P 500 Scored &amp; Screened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</si>
  <si>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</si>
  <si>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</si>
  <si>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</si>
  <si>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</si>
  <si>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</si>
  <si>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</si>
  <si>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</si>
  <si>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</si>
  <si>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</si>
  <si>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</si>
  <si>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</si>
  <si>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</si>
  <si>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</si>
  <si>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</si>
  <si>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</si>
  <si>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</si>
  <si>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</si>
  <si>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</si>
  <si>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</si>
  <si>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</si>
  <si>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</si>
  <si>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</si>
  <si>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</si>
  <si>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</si>
  <si>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</si>
  <si>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</si>
  <si>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</si>
  <si>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</si>
  <si>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</si>
  <si>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</si>
  <si>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</si>
  <si>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</si>
  <si>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</si>
  <si>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</si>
  <si>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</si>
  <si>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</si>
  <si>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</si>
  <si>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</si>
  <si>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</si>
  <si>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</si>
  <si>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</si>
  <si>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</si>
  <si>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</si>
  <si>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</si>
  <si>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</si>
  <si>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</si>
  <si>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</si>
  <si>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</si>
  <si>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</si>
  <si>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</si>
  <si>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</si>
  <si>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</si>
  <si>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</si>
  <si>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</si>
  <si>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</si>
  <si>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</si>
  <si>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</si>
  <si>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</si>
  <si>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</si>
  <si>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</si>
  <si>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</si>
  <si>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</si>
  <si>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</si>
  <si>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</si>
  <si>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</si>
  <si>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</si>
  <si>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</si>
  <si>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</si>
  <si>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</si>
  <si>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</si>
  <si>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</si>
  <si>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</si>
  <si>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</si>
  <si>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</si>
  <si>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</si>
  <si>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</si>
  <si>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</si>
  <si>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</si>
  <si>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</si>
  <si>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</si>
  <si>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</si>
  <si>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</si>
  <si>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</si>
  <si>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</si>
  <si>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</si>
  <si>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</si>
  <si>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</si>
  <si>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</si>
  <si>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</si>
  <si>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</si>
  <si>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</si>
  <si>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</si>
  <si>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</si>
  <si>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</si>
  <si>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</si>
  <si>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</si>
  <si>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</si>
  <si>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</si>
  <si>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</si>
  <si>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</si>
  <si>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</si>
  <si>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</si>
  <si>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</si>
  <si>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</si>
  <si>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</si>
  <si>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</si>
  <si>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</si>
  <si>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</si>
  <si>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</si>
  <si>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</si>
  <si>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</si>
  <si>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</si>
  <si>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</si>
  <si>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</si>
  <si>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</si>
  <si>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</si>
  <si>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</si>
  <si>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</si>
  <si>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</si>
  <si>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</si>
  <si>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</si>
  <si>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</si>
  <si>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</si>
  <si>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</si>
  <si>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</si>
  <si>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</si>
  <si>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</si>
  <si>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</si>
  <si>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</si>
  <si>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</si>
  <si>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</si>
  <si>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</si>
  <si>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</si>
  <si>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</si>
  <si>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</si>
  <si>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</si>
  <si>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</si>
  <si>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</si>
  <si>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</si>
  <si>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</si>
  <si>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</si>
  <si>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</si>
  <si>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</si>
  <si>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</si>
  <si>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</si>
  <si>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</si>
  <si>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</si>
  <si>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</si>
  <si>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</si>
  <si>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</si>
  <si>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</si>
  <si>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</si>
  <si>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</si>
  <si>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</si>
  <si>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</si>
  <si>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</si>
  <si>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</si>
  <si>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</si>
  <si>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</si>
  <si>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</si>
  <si>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</si>
  <si>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</si>
  <si>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</si>
  <si>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</si>
  <si>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</si>
  <si>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</si>
  <si>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</si>
  <si>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</si>
  <si>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</si>
  <si>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</si>
  <si>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</si>
  <si>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</si>
  <si>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</si>
  <si>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</si>
  <si>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</si>
  <si>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</si>
  <si>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</si>
  <si>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</si>
  <si>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</si>
  <si>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</si>
  <si>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</si>
  <si>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</si>
  <si>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</si>
  <si>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</si>
  <si>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</si>
  <si>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</si>
  <si>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</si>
  <si>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</si>
  <si>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</si>
  <si>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</si>
  <si>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</si>
  <si>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</si>
  <si>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</si>
  <si>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</si>
  <si>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</si>
  <si>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</si>
  <si>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</si>
  <si>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</si>
  <si>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</si>
  <si>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</si>
  <si>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</si>
  <si>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</si>
  <si>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</si>
  <si>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</si>
  <si>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</si>
  <si>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</si>
  <si>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</si>
  <si>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</si>
  <si>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</si>
  <si>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</si>
  <si>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</si>
  <si>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</si>
  <si>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</si>
  <si>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</si>
  <si>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</si>
  <si>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</si>
  <si>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</si>
  <si>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</si>
  <si>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</si>
  <si>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</si>
  <si>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</si>
  <si>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</si>
  <si>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</si>
  <si>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</si>
  <si>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</si>
  <si>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</si>
  <si>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</si>
  <si>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</si>
  <si>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</si>
  <si>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</si>
  <si>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</si>
  <si>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</si>
  <si>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</si>
  <si>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</si>
  <si>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</si>
  <si>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</si>
  <si>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</si>
  <si>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</si>
  <si>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</si>
  <si>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</si>
  <si>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</si>
  <si>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</si>
  <si>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</si>
  <si>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</si>
  <si>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</si>
  <si>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</si>
  <si>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</si>
  <si>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</si>
  <si>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</si>
  <si>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</si>
  <si>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</si>
  <si>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</si>
  <si>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</si>
  <si>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</si>
  <si>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</si>
  <si>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</si>
  <si>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</si>
  <si>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</si>
  <si>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</si>
  <si>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</si>
  <si>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</si>
  <si>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</si>
  <si>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</si>
  <si>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</si>
  <si>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</si>
  <si>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</si>
  <si>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</si>
  <si>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</si>
  <si>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</si>
  <si>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</si>
  <si>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</si>
  <si>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</si>
  <si>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</si>
  <si>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</si>
  <si>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</si>
  <si>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</si>
  <si>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</si>
  <si>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</si>
  <si>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</si>
  <si>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348A</t>
  </si>
  <si>
    <t>ＭＡＸＩＳ読売３３３日本株上場投信　受益証券</t>
  </si>
  <si>
    <t>MAXIS Yomiuri333 Japan Stock ETF</t>
  </si>
  <si>
    <t>3492</t>
  </si>
  <si>
    <t>タカラレーベン不動産投資法人　投資証券</t>
  </si>
  <si>
    <t>Takara Leben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</si>
  <si>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</si>
  <si>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</si>
  <si>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</si>
  <si>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</si>
  <si>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</si>
  <si>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</si>
  <si>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</si>
  <si>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</si>
  <si>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</si>
  <si>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</si>
  <si>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</si>
  <si>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</si>
  <si>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</si>
  <si>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</si>
  <si>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</si>
  <si>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</si>
  <si>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</si>
  <si>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</si>
  <si>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</si>
  <si>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</si>
  <si>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</si>
  <si>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</si>
  <si>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</si>
  <si>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</si>
  <si>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</si>
  <si>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</si>
  <si>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</si>
  <si>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</si>
  <si>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</si>
  <si>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</si>
  <si>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</si>
  <si>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</si>
  <si>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</si>
  <si>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</si>
  <si>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</si>
  <si>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</si>
  <si>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</si>
  <si>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</si>
  <si>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</si>
  <si>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 xml:space="preserve">新規上場  </t>
  </si>
  <si>
    <t xml:space="preserve">New Listing  </t>
  </si>
  <si>
    <t xml:space="preserve">2025/07/30  </t>
  </si>
  <si>
    <t>394A</t>
  </si>
  <si>
    <t>業界改革厳選ＥＴＦテレビ業界　受益証券</t>
  </si>
  <si>
    <t>Sector Restructuring Select ETF TV</t>
  </si>
  <si>
    <t xml:space="preserve">2025/07/18  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</si>
  <si>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</si>
  <si>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</si>
  <si>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</si>
  <si>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</si>
  <si>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</si>
  <si>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</si>
  <si>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</si>
  <si>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</si>
  <si>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</si>
  <si>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 xml:space="preserve">2025/07/24  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</si>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</sst>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4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3059</f>
        <v>3059.0</v>
      </c>
      <c r="L7" s="34" t="s">
        <v>48</v>
      </c>
      <c r="M7" s="33" t="n">
        <f>3133</f>
        <v>3133.0</v>
      </c>
      <c r="N7" s="34" t="s">
        <v>49</v>
      </c>
      <c r="O7" s="33" t="n">
        <f>2939</f>
        <v>2939.0</v>
      </c>
      <c r="P7" s="34" t="s">
        <v>50</v>
      </c>
      <c r="Q7" s="33" t="n">
        <f>3088</f>
        <v>3088.0</v>
      </c>
      <c r="R7" s="34" t="s">
        <v>51</v>
      </c>
      <c r="S7" s="35" t="n">
        <f>3021.14</f>
        <v>3021.14</v>
      </c>
      <c r="T7" s="32" t="n">
        <f>16748800</f>
        <v>1.67488E7</v>
      </c>
      <c r="U7" s="32" t="n">
        <f>11622050</f>
        <v>1.162205E7</v>
      </c>
      <c r="V7" s="32" t="n">
        <f>50704456229</f>
        <v>5.0704456229E10</v>
      </c>
      <c r="W7" s="32" t="n">
        <f>35222722224</f>
        <v>3.5222722224E10</v>
      </c>
      <c r="X7" s="36" t="n">
        <f>22</f>
        <v>22.0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3027</f>
        <v>3027.0</v>
      </c>
      <c r="L8" s="34" t="s">
        <v>48</v>
      </c>
      <c r="M8" s="33" t="n">
        <f>3102</f>
        <v>3102.0</v>
      </c>
      <c r="N8" s="34" t="s">
        <v>49</v>
      </c>
      <c r="O8" s="33" t="n">
        <f>2909</f>
        <v>2909.0</v>
      </c>
      <c r="P8" s="34" t="s">
        <v>50</v>
      </c>
      <c r="Q8" s="33" t="n">
        <f>3056</f>
        <v>3056.0</v>
      </c>
      <c r="R8" s="34" t="s">
        <v>51</v>
      </c>
      <c r="S8" s="35" t="n">
        <f>2989.3</f>
        <v>2989.3</v>
      </c>
      <c r="T8" s="32" t="n">
        <f>46872360</f>
        <v>4.687236E7</v>
      </c>
      <c r="U8" s="32" t="n">
        <f>13195850</f>
        <v>1.319585E7</v>
      </c>
      <c r="V8" s="32" t="n">
        <f>139890678972</f>
        <v>1.39890678972E11</v>
      </c>
      <c r="W8" s="32" t="n">
        <f>39347406097</f>
        <v>3.9347406097E10</v>
      </c>
      <c r="X8" s="36" t="n">
        <f>22</f>
        <v>22.0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2991</f>
        <v>2991.0</v>
      </c>
      <c r="L9" s="34" t="s">
        <v>48</v>
      </c>
      <c r="M9" s="33" t="n">
        <f>3065</f>
        <v>3065.0</v>
      </c>
      <c r="N9" s="34" t="s">
        <v>49</v>
      </c>
      <c r="O9" s="33" t="n">
        <f>2874</f>
        <v>2874.0</v>
      </c>
      <c r="P9" s="34" t="s">
        <v>50</v>
      </c>
      <c r="Q9" s="33" t="n">
        <f>3021</f>
        <v>3021.0</v>
      </c>
      <c r="R9" s="34" t="s">
        <v>51</v>
      </c>
      <c r="S9" s="35" t="n">
        <f>2948.27</f>
        <v>2948.27</v>
      </c>
      <c r="T9" s="32" t="n">
        <f>18780678</f>
        <v>1.8780678E7</v>
      </c>
      <c r="U9" s="32" t="n">
        <f>12473241</f>
        <v>1.2473241E7</v>
      </c>
      <c r="V9" s="32" t="n">
        <f>55746302556</f>
        <v>5.5746302556E10</v>
      </c>
      <c r="W9" s="32" t="n">
        <f>37139732227</f>
        <v>3.7139732227E10</v>
      </c>
      <c r="X9" s="36" t="n">
        <f>22</f>
        <v>22.0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43880</f>
        <v>43880.0</v>
      </c>
      <c r="L10" s="34" t="s">
        <v>48</v>
      </c>
      <c r="M10" s="33" t="n">
        <f>46990</f>
        <v>46990.0</v>
      </c>
      <c r="N10" s="34" t="s">
        <v>51</v>
      </c>
      <c r="O10" s="33" t="n">
        <f>43200</f>
        <v>43200.0</v>
      </c>
      <c r="P10" s="34" t="s">
        <v>61</v>
      </c>
      <c r="Q10" s="33" t="n">
        <f>46100</f>
        <v>46100.0</v>
      </c>
      <c r="R10" s="34" t="s">
        <v>51</v>
      </c>
      <c r="S10" s="35" t="n">
        <f>45241.82</f>
        <v>45241.82</v>
      </c>
      <c r="T10" s="32" t="n">
        <f>2538</f>
        <v>2538.0</v>
      </c>
      <c r="U10" s="32" t="str">
        <f>"－"</f>
        <v>－</v>
      </c>
      <c r="V10" s="32" t="n">
        <f>115069270</f>
        <v>1.1506927E8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1517</f>
        <v>1517.0</v>
      </c>
      <c r="L11" s="34" t="s">
        <v>48</v>
      </c>
      <c r="M11" s="33" t="n">
        <f>1581</f>
        <v>1581.0</v>
      </c>
      <c r="N11" s="34" t="s">
        <v>49</v>
      </c>
      <c r="O11" s="33" t="n">
        <f>1454.5</f>
        <v>1454.5</v>
      </c>
      <c r="P11" s="34" t="s">
        <v>65</v>
      </c>
      <c r="Q11" s="33" t="n">
        <f>1536.5</f>
        <v>1536.5</v>
      </c>
      <c r="R11" s="34" t="s">
        <v>51</v>
      </c>
      <c r="S11" s="35" t="n">
        <f>1502.16</f>
        <v>1502.16</v>
      </c>
      <c r="T11" s="32" t="n">
        <f>1589990</f>
        <v>1589990.0</v>
      </c>
      <c r="U11" s="32" t="n">
        <f>1295430</f>
        <v>1295430.0</v>
      </c>
      <c r="V11" s="32" t="n">
        <f>2346300091</f>
        <v>2.346300091E9</v>
      </c>
      <c r="W11" s="32" t="n">
        <f>1901234536</f>
        <v>1.901234536E9</v>
      </c>
      <c r="X11" s="36" t="n">
        <f>22</f>
        <v>22.0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570.5</f>
        <v>570.5</v>
      </c>
      <c r="L12" s="34" t="s">
        <v>61</v>
      </c>
      <c r="M12" s="33" t="n">
        <f>574.6</f>
        <v>574.6</v>
      </c>
      <c r="N12" s="34" t="s">
        <v>49</v>
      </c>
      <c r="O12" s="33" t="n">
        <f>534</f>
        <v>534.0</v>
      </c>
      <c r="P12" s="34" t="s">
        <v>69</v>
      </c>
      <c r="Q12" s="33" t="n">
        <f>568</f>
        <v>568.0</v>
      </c>
      <c r="R12" s="34" t="s">
        <v>70</v>
      </c>
      <c r="S12" s="35" t="n">
        <f>555.28</f>
        <v>555.28</v>
      </c>
      <c r="T12" s="32" t="n">
        <f>52000</f>
        <v>52000.0</v>
      </c>
      <c r="U12" s="32" t="str">
        <f>"－"</f>
        <v>－</v>
      </c>
      <c r="V12" s="32" t="n">
        <f>28981500</f>
        <v>2.89815E7</v>
      </c>
      <c r="W12" s="32" t="str">
        <f>"－"</f>
        <v>－</v>
      </c>
      <c r="X12" s="36" t="n">
        <f>11</f>
        <v>11.0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42110</f>
        <v>42110.0</v>
      </c>
      <c r="L13" s="34" t="s">
        <v>48</v>
      </c>
      <c r="M13" s="33" t="n">
        <f>43200</f>
        <v>43200.0</v>
      </c>
      <c r="N13" s="34" t="s">
        <v>49</v>
      </c>
      <c r="O13" s="33" t="n">
        <f>40350</f>
        <v>40350.0</v>
      </c>
      <c r="P13" s="34" t="s">
        <v>65</v>
      </c>
      <c r="Q13" s="33" t="n">
        <f>42190</f>
        <v>42190.0</v>
      </c>
      <c r="R13" s="34" t="s">
        <v>51</v>
      </c>
      <c r="S13" s="35" t="n">
        <f>41450.91</f>
        <v>41450.91</v>
      </c>
      <c r="T13" s="32" t="n">
        <f>1020222</f>
        <v>1020222.0</v>
      </c>
      <c r="U13" s="32" t="n">
        <f>143846</f>
        <v>143846.0</v>
      </c>
      <c r="V13" s="32" t="n">
        <f>42436873840</f>
        <v>4.243687384E10</v>
      </c>
      <c r="W13" s="32" t="n">
        <f>5980040650</f>
        <v>5.98004065E9</v>
      </c>
      <c r="X13" s="36" t="n">
        <f>22</f>
        <v>22.0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42270</f>
        <v>42270.0</v>
      </c>
      <c r="L14" s="34" t="s">
        <v>48</v>
      </c>
      <c r="M14" s="33" t="n">
        <f>43350</f>
        <v>43350.0</v>
      </c>
      <c r="N14" s="34" t="s">
        <v>49</v>
      </c>
      <c r="O14" s="33" t="n">
        <f>40490</f>
        <v>40490.0</v>
      </c>
      <c r="P14" s="34" t="s">
        <v>65</v>
      </c>
      <c r="Q14" s="33" t="n">
        <f>42360</f>
        <v>42360.0</v>
      </c>
      <c r="R14" s="34" t="s">
        <v>51</v>
      </c>
      <c r="S14" s="35" t="n">
        <f>41525.91</f>
        <v>41525.91</v>
      </c>
      <c r="T14" s="32" t="n">
        <f>5353223</f>
        <v>5353223.0</v>
      </c>
      <c r="U14" s="32" t="n">
        <f>997232</f>
        <v>997232.0</v>
      </c>
      <c r="V14" s="32" t="n">
        <f>223821508050</f>
        <v>2.2382150805E11</v>
      </c>
      <c r="W14" s="32" t="n">
        <f>42351494210</f>
        <v>4.235149421E10</v>
      </c>
      <c r="X14" s="36" t="n">
        <f>22</f>
        <v>22.0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8353</f>
        <v>8353.0</v>
      </c>
      <c r="L15" s="34" t="s">
        <v>48</v>
      </c>
      <c r="M15" s="33" t="n">
        <f>9166</f>
        <v>9166.0</v>
      </c>
      <c r="N15" s="34" t="s">
        <v>80</v>
      </c>
      <c r="O15" s="33" t="n">
        <f>8205</f>
        <v>8205.0</v>
      </c>
      <c r="P15" s="34" t="s">
        <v>48</v>
      </c>
      <c r="Q15" s="33" t="n">
        <f>9000</f>
        <v>9000.0</v>
      </c>
      <c r="R15" s="34" t="s">
        <v>51</v>
      </c>
      <c r="S15" s="35" t="n">
        <f>8784.59</f>
        <v>8784.59</v>
      </c>
      <c r="T15" s="32" t="n">
        <f>31814</f>
        <v>31814.0</v>
      </c>
      <c r="U15" s="32" t="n">
        <f>8430</f>
        <v>8430.0</v>
      </c>
      <c r="V15" s="32" t="n">
        <f>284080342</f>
        <v>2.84080342E8</v>
      </c>
      <c r="W15" s="32" t="n">
        <f>76017295</f>
        <v>7.6017295E7</v>
      </c>
      <c r="X15" s="36" t="n">
        <f>22</f>
        <v>22.0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n">
        <f>218</f>
        <v>218.0</v>
      </c>
      <c r="L16" s="34" t="s">
        <v>48</v>
      </c>
      <c r="M16" s="33" t="n">
        <f>223.9</f>
        <v>223.9</v>
      </c>
      <c r="N16" s="34" t="s">
        <v>84</v>
      </c>
      <c r="O16" s="33" t="n">
        <f>200</f>
        <v>200.0</v>
      </c>
      <c r="P16" s="34" t="s">
        <v>50</v>
      </c>
      <c r="Q16" s="33" t="n">
        <f>202.3</f>
        <v>202.3</v>
      </c>
      <c r="R16" s="34" t="s">
        <v>51</v>
      </c>
      <c r="S16" s="35" t="n">
        <f>209.15</f>
        <v>209.15</v>
      </c>
      <c r="T16" s="32" t="n">
        <f>1359500</f>
        <v>1359500.0</v>
      </c>
      <c r="U16" s="32" t="n">
        <f>7700</f>
        <v>7700.0</v>
      </c>
      <c r="V16" s="32" t="n">
        <f>287013230</f>
        <v>2.8701323E8</v>
      </c>
      <c r="W16" s="32" t="n">
        <f>1578170</f>
        <v>1578170.0</v>
      </c>
      <c r="X16" s="36" t="n">
        <f>22</f>
        <v>22.0</v>
      </c>
    </row>
    <row r="17">
      <c r="A17" s="27" t="s">
        <v>42</v>
      </c>
      <c r="B17" s="27" t="s">
        <v>85</v>
      </c>
      <c r="C17" s="27" t="s">
        <v>86</v>
      </c>
      <c r="D17" s="27" t="s">
        <v>87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43900</f>
        <v>43900.0</v>
      </c>
      <c r="L17" s="34" t="s">
        <v>48</v>
      </c>
      <c r="M17" s="33" t="n">
        <f>46410</f>
        <v>46410.0</v>
      </c>
      <c r="N17" s="34" t="s">
        <v>88</v>
      </c>
      <c r="O17" s="33" t="n">
        <f>43800</f>
        <v>43800.0</v>
      </c>
      <c r="P17" s="34" t="s">
        <v>48</v>
      </c>
      <c r="Q17" s="33" t="n">
        <f>45280</f>
        <v>45280.0</v>
      </c>
      <c r="R17" s="34" t="s">
        <v>51</v>
      </c>
      <c r="S17" s="35" t="n">
        <f>45194.55</f>
        <v>45194.55</v>
      </c>
      <c r="T17" s="32" t="n">
        <f>309042</f>
        <v>309042.0</v>
      </c>
      <c r="U17" s="32" t="str">
        <f>"－"</f>
        <v>－</v>
      </c>
      <c r="V17" s="32" t="n">
        <f>13978835660</f>
        <v>1.397883566E10</v>
      </c>
      <c r="W17" s="32" t="str">
        <f>"－"</f>
        <v>－</v>
      </c>
      <c r="X17" s="36" t="n">
        <f>22</f>
        <v>22.0</v>
      </c>
    </row>
    <row r="18">
      <c r="A18" s="27" t="s">
        <v>42</v>
      </c>
      <c r="B18" s="27" t="s">
        <v>89</v>
      </c>
      <c r="C18" s="27" t="s">
        <v>90</v>
      </c>
      <c r="D18" s="27" t="s">
        <v>91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10.0</v>
      </c>
      <c r="K18" s="33" t="n">
        <f>11475</f>
        <v>11475.0</v>
      </c>
      <c r="L18" s="34" t="s">
        <v>48</v>
      </c>
      <c r="M18" s="33" t="n">
        <f>12105</f>
        <v>12105.0</v>
      </c>
      <c r="N18" s="34" t="s">
        <v>88</v>
      </c>
      <c r="O18" s="33" t="n">
        <f>11420</f>
        <v>11420.0</v>
      </c>
      <c r="P18" s="34" t="s">
        <v>48</v>
      </c>
      <c r="Q18" s="33" t="n">
        <f>11765</f>
        <v>11765.0</v>
      </c>
      <c r="R18" s="34" t="s">
        <v>51</v>
      </c>
      <c r="S18" s="35" t="n">
        <f>11768.86</f>
        <v>11768.86</v>
      </c>
      <c r="T18" s="32" t="n">
        <f>654990</f>
        <v>654990.0</v>
      </c>
      <c r="U18" s="32" t="n">
        <f>6060</f>
        <v>6060.0</v>
      </c>
      <c r="V18" s="32" t="n">
        <f>7718918543</f>
        <v>7.718918543E9</v>
      </c>
      <c r="W18" s="32" t="n">
        <f>72898093</f>
        <v>7.2898093E7</v>
      </c>
      <c r="X18" s="36" t="n">
        <f>22</f>
        <v>22.0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4205</f>
        <v>4205.0</v>
      </c>
      <c r="L19" s="34" t="s">
        <v>48</v>
      </c>
      <c r="M19" s="33" t="n">
        <f>4385</f>
        <v>4385.0</v>
      </c>
      <c r="N19" s="34" t="s">
        <v>49</v>
      </c>
      <c r="O19" s="33" t="n">
        <f>4097</f>
        <v>4097.0</v>
      </c>
      <c r="P19" s="34" t="s">
        <v>65</v>
      </c>
      <c r="Q19" s="33" t="n">
        <f>4281</f>
        <v>4281.0</v>
      </c>
      <c r="R19" s="34" t="s">
        <v>51</v>
      </c>
      <c r="S19" s="35" t="n">
        <f>4186.18</f>
        <v>4186.18</v>
      </c>
      <c r="T19" s="32" t="n">
        <f>18958316</f>
        <v>1.8958316E7</v>
      </c>
      <c r="U19" s="32" t="n">
        <f>9682229</f>
        <v>9682229.0</v>
      </c>
      <c r="V19" s="32" t="n">
        <f>79184622883</f>
        <v>7.9184622883E10</v>
      </c>
      <c r="W19" s="32" t="n">
        <f>40300815329</f>
        <v>4.0300815329E10</v>
      </c>
      <c r="X19" s="36" t="n">
        <f>22</f>
        <v>22.0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42300</f>
        <v>42300.0</v>
      </c>
      <c r="L20" s="34" t="s">
        <v>48</v>
      </c>
      <c r="M20" s="33" t="n">
        <f>43410</f>
        <v>43410.0</v>
      </c>
      <c r="N20" s="34" t="s">
        <v>49</v>
      </c>
      <c r="O20" s="33" t="n">
        <f>40530</f>
        <v>40530.0</v>
      </c>
      <c r="P20" s="34" t="s">
        <v>65</v>
      </c>
      <c r="Q20" s="33" t="n">
        <f>42380</f>
        <v>42380.0</v>
      </c>
      <c r="R20" s="34" t="s">
        <v>51</v>
      </c>
      <c r="S20" s="35" t="n">
        <f>41568.18</f>
        <v>41568.18</v>
      </c>
      <c r="T20" s="32" t="n">
        <f>1071969</f>
        <v>1071969.0</v>
      </c>
      <c r="U20" s="32" t="n">
        <f>204648</f>
        <v>204648.0</v>
      </c>
      <c r="V20" s="32" t="n">
        <f>44668781582</f>
        <v>4.4668781582E10</v>
      </c>
      <c r="W20" s="32" t="n">
        <f>8559016542</f>
        <v>8.559016542E9</v>
      </c>
      <c r="X20" s="36" t="n">
        <f>22</f>
        <v>22.0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978</f>
        <v>978.0</v>
      </c>
      <c r="L21" s="34" t="s">
        <v>48</v>
      </c>
      <c r="M21" s="33" t="n">
        <f>1010</f>
        <v>1010.0</v>
      </c>
      <c r="N21" s="34" t="s">
        <v>69</v>
      </c>
      <c r="O21" s="33" t="n">
        <f>969</f>
        <v>969.0</v>
      </c>
      <c r="P21" s="34" t="s">
        <v>61</v>
      </c>
      <c r="Q21" s="33" t="n">
        <f>1004</f>
        <v>1004.0</v>
      </c>
      <c r="R21" s="34" t="s">
        <v>51</v>
      </c>
      <c r="S21" s="35" t="n">
        <f>991.36</f>
        <v>991.36</v>
      </c>
      <c r="T21" s="32" t="n">
        <f>11374320</f>
        <v>1.137432E7</v>
      </c>
      <c r="U21" s="32" t="n">
        <f>10615016</f>
        <v>1.0615016E7</v>
      </c>
      <c r="V21" s="32" t="n">
        <f>11179821080</f>
        <v>1.117982108E10</v>
      </c>
      <c r="W21" s="32" t="n">
        <f>10427044481</f>
        <v>1.0427044481E10</v>
      </c>
      <c r="X21" s="36" t="n">
        <f>22</f>
        <v>22.0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1921</f>
        <v>1921.0</v>
      </c>
      <c r="L22" s="34" t="s">
        <v>48</v>
      </c>
      <c r="M22" s="33" t="n">
        <f>2024.5</f>
        <v>2024.5</v>
      </c>
      <c r="N22" s="34" t="s">
        <v>104</v>
      </c>
      <c r="O22" s="33" t="n">
        <f>1916</f>
        <v>1916.0</v>
      </c>
      <c r="P22" s="34" t="s">
        <v>48</v>
      </c>
      <c r="Q22" s="33" t="n">
        <f>2015</f>
        <v>2015.0</v>
      </c>
      <c r="R22" s="34" t="s">
        <v>51</v>
      </c>
      <c r="S22" s="35" t="n">
        <f>1957.59</f>
        <v>1957.59</v>
      </c>
      <c r="T22" s="32" t="n">
        <f>17218380</f>
        <v>1.721838E7</v>
      </c>
      <c r="U22" s="32" t="n">
        <f>4904600</f>
        <v>4904600.0</v>
      </c>
      <c r="V22" s="32" t="n">
        <f>33777662056</f>
        <v>3.3777662056E10</v>
      </c>
      <c r="W22" s="32" t="n">
        <f>9603244026</f>
        <v>9.603244026E9</v>
      </c>
      <c r="X22" s="36" t="n">
        <f>22</f>
        <v>22.0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1819.5</f>
        <v>1819.5</v>
      </c>
      <c r="L23" s="34" t="s">
        <v>48</v>
      </c>
      <c r="M23" s="33" t="n">
        <f>1896</f>
        <v>1896.0</v>
      </c>
      <c r="N23" s="34" t="s">
        <v>104</v>
      </c>
      <c r="O23" s="33" t="n">
        <f>1803</f>
        <v>1803.0</v>
      </c>
      <c r="P23" s="34" t="s">
        <v>50</v>
      </c>
      <c r="Q23" s="33" t="n">
        <f>1888</f>
        <v>1888.0</v>
      </c>
      <c r="R23" s="34" t="s">
        <v>51</v>
      </c>
      <c r="S23" s="35" t="n">
        <f>1836.5</f>
        <v>1836.5</v>
      </c>
      <c r="T23" s="32" t="n">
        <f>1865200</f>
        <v>1865200.0</v>
      </c>
      <c r="U23" s="32" t="n">
        <f>1255500</f>
        <v>1255500.0</v>
      </c>
      <c r="V23" s="32" t="n">
        <f>3416235966</f>
        <v>3.416235966E9</v>
      </c>
      <c r="W23" s="32" t="n">
        <f>2293909316</f>
        <v>2.293909316E9</v>
      </c>
      <c r="X23" s="36" t="n">
        <f>22</f>
        <v>22.0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41990</f>
        <v>41990.0</v>
      </c>
      <c r="L24" s="34" t="s">
        <v>48</v>
      </c>
      <c r="M24" s="33" t="n">
        <f>43400</f>
        <v>43400.0</v>
      </c>
      <c r="N24" s="34" t="s">
        <v>49</v>
      </c>
      <c r="O24" s="33" t="n">
        <f>40610</f>
        <v>40610.0</v>
      </c>
      <c r="P24" s="34" t="s">
        <v>111</v>
      </c>
      <c r="Q24" s="33" t="n">
        <f>42390</f>
        <v>42390.0</v>
      </c>
      <c r="R24" s="34" t="s">
        <v>51</v>
      </c>
      <c r="S24" s="35" t="n">
        <f>41613.18</f>
        <v>41613.18</v>
      </c>
      <c r="T24" s="32" t="n">
        <f>831171</f>
        <v>831171.0</v>
      </c>
      <c r="U24" s="32" t="n">
        <f>350248</f>
        <v>350248.0</v>
      </c>
      <c r="V24" s="32" t="n">
        <f>34572606111</f>
        <v>3.4572606111E10</v>
      </c>
      <c r="W24" s="32" t="n">
        <f>14509774031</f>
        <v>1.4509774031E10</v>
      </c>
      <c r="X24" s="36" t="n">
        <f>22</f>
        <v>22.0</v>
      </c>
    </row>
    <row r="25">
      <c r="A25" s="27" t="s">
        <v>42</v>
      </c>
      <c r="B25" s="27" t="s">
        <v>112</v>
      </c>
      <c r="C25" s="27" t="s">
        <v>113</v>
      </c>
      <c r="D25" s="27" t="s">
        <v>114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2984</f>
        <v>2984.0</v>
      </c>
      <c r="L25" s="34" t="s">
        <v>48</v>
      </c>
      <c r="M25" s="33" t="n">
        <f>3090</f>
        <v>3090.0</v>
      </c>
      <c r="N25" s="34" t="s">
        <v>49</v>
      </c>
      <c r="O25" s="33" t="n">
        <f>2908</f>
        <v>2908.0</v>
      </c>
      <c r="P25" s="34" t="s">
        <v>111</v>
      </c>
      <c r="Q25" s="33" t="n">
        <f>3048</f>
        <v>3048.0</v>
      </c>
      <c r="R25" s="34" t="s">
        <v>51</v>
      </c>
      <c r="S25" s="35" t="n">
        <f>2977.89</f>
        <v>2977.89</v>
      </c>
      <c r="T25" s="32" t="n">
        <f>4052090</f>
        <v>4052090.0</v>
      </c>
      <c r="U25" s="32" t="n">
        <f>1653670</f>
        <v>1653670.0</v>
      </c>
      <c r="V25" s="32" t="n">
        <f>12110102629</f>
        <v>1.2110102629E10</v>
      </c>
      <c r="W25" s="32" t="n">
        <f>4952915004</f>
        <v>4.952915004E9</v>
      </c>
      <c r="X25" s="36" t="n">
        <f>22</f>
        <v>22.0</v>
      </c>
    </row>
    <row r="26">
      <c r="A26" s="27" t="s">
        <v>42</v>
      </c>
      <c r="B26" s="27" t="s">
        <v>115</v>
      </c>
      <c r="C26" s="27" t="s">
        <v>116</v>
      </c>
      <c r="D26" s="27" t="s">
        <v>117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16545</f>
        <v>16545.0</v>
      </c>
      <c r="L26" s="34" t="s">
        <v>61</v>
      </c>
      <c r="M26" s="33" t="n">
        <f>17210</f>
        <v>17210.0</v>
      </c>
      <c r="N26" s="34" t="s">
        <v>69</v>
      </c>
      <c r="O26" s="33" t="n">
        <f>16520</f>
        <v>16520.0</v>
      </c>
      <c r="P26" s="34" t="s">
        <v>118</v>
      </c>
      <c r="Q26" s="33" t="n">
        <f>16850</f>
        <v>16850.0</v>
      </c>
      <c r="R26" s="34" t="s">
        <v>51</v>
      </c>
      <c r="S26" s="35" t="n">
        <f>16908</f>
        <v>16908.0</v>
      </c>
      <c r="T26" s="32" t="n">
        <f>2633</f>
        <v>2633.0</v>
      </c>
      <c r="U26" s="32" t="str">
        <f>"－"</f>
        <v>－</v>
      </c>
      <c r="V26" s="32" t="n">
        <f>44317970</f>
        <v>4.431797E7</v>
      </c>
      <c r="W26" s="32" t="str">
        <f>"－"</f>
        <v>－</v>
      </c>
      <c r="X26" s="36" t="n">
        <f>20</f>
        <v>20.0</v>
      </c>
    </row>
    <row r="27">
      <c r="A27" s="27" t="s">
        <v>42</v>
      </c>
      <c r="B27" s="27" t="s">
        <v>119</v>
      </c>
      <c r="C27" s="27" t="s">
        <v>120</v>
      </c>
      <c r="D27" s="27" t="s">
        <v>121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259.7</f>
        <v>259.7</v>
      </c>
      <c r="L27" s="34" t="s">
        <v>48</v>
      </c>
      <c r="M27" s="33" t="n">
        <f>268.1</f>
        <v>268.1</v>
      </c>
      <c r="N27" s="34" t="s">
        <v>50</v>
      </c>
      <c r="O27" s="33" t="n">
        <f>234.6</f>
        <v>234.6</v>
      </c>
      <c r="P27" s="34" t="s">
        <v>49</v>
      </c>
      <c r="Q27" s="33" t="n">
        <f>241.4</f>
        <v>241.4</v>
      </c>
      <c r="R27" s="34" t="s">
        <v>51</v>
      </c>
      <c r="S27" s="35" t="n">
        <f>257.07</f>
        <v>257.07</v>
      </c>
      <c r="T27" s="32" t="n">
        <f>39409130</f>
        <v>3.940913E7</v>
      </c>
      <c r="U27" s="32" t="n">
        <f>497450</f>
        <v>497450.0</v>
      </c>
      <c r="V27" s="32" t="n">
        <f>10006287991</f>
        <v>1.0006287991E10</v>
      </c>
      <c r="W27" s="32" t="n">
        <f>128282790</f>
        <v>1.2828279E8</v>
      </c>
      <c r="X27" s="36" t="n">
        <f>22</f>
        <v>22.0</v>
      </c>
    </row>
    <row r="28">
      <c r="A28" s="27" t="s">
        <v>42</v>
      </c>
      <c r="B28" s="27" t="s">
        <v>122</v>
      </c>
      <c r="C28" s="27" t="s">
        <v>123</v>
      </c>
      <c r="D28" s="27" t="s">
        <v>124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9873</f>
        <v>9873.0</v>
      </c>
      <c r="L28" s="34" t="s">
        <v>48</v>
      </c>
      <c r="M28" s="33" t="n">
        <f>10385</f>
        <v>10385.0</v>
      </c>
      <c r="N28" s="34" t="s">
        <v>65</v>
      </c>
      <c r="O28" s="33" t="n">
        <f>9000</f>
        <v>9000.0</v>
      </c>
      <c r="P28" s="34" t="s">
        <v>49</v>
      </c>
      <c r="Q28" s="33" t="n">
        <f>9430</f>
        <v>9430.0</v>
      </c>
      <c r="R28" s="34" t="s">
        <v>51</v>
      </c>
      <c r="S28" s="35" t="n">
        <f>9923.09</f>
        <v>9923.09</v>
      </c>
      <c r="T28" s="32" t="n">
        <f>40698597</f>
        <v>4.0698597E7</v>
      </c>
      <c r="U28" s="32" t="n">
        <f>693937</f>
        <v>693937.0</v>
      </c>
      <c r="V28" s="32" t="n">
        <f>399292254120</f>
        <v>3.9929225412E11</v>
      </c>
      <c r="W28" s="32" t="n">
        <f>6806012014</f>
        <v>6.806012014E9</v>
      </c>
      <c r="X28" s="36" t="n">
        <f>22</f>
        <v>22.0</v>
      </c>
    </row>
    <row r="29">
      <c r="A29" s="27" t="s">
        <v>42</v>
      </c>
      <c r="B29" s="27" t="s">
        <v>125</v>
      </c>
      <c r="C29" s="27" t="s">
        <v>126</v>
      </c>
      <c r="D29" s="27" t="s">
        <v>127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53000</f>
        <v>53000.0</v>
      </c>
      <c r="L29" s="34" t="s">
        <v>48</v>
      </c>
      <c r="M29" s="33" t="n">
        <f>57410</f>
        <v>57410.0</v>
      </c>
      <c r="N29" s="34" t="s">
        <v>49</v>
      </c>
      <c r="O29" s="33" t="n">
        <f>50170</f>
        <v>50170.0</v>
      </c>
      <c r="P29" s="34" t="s">
        <v>65</v>
      </c>
      <c r="Q29" s="33" t="n">
        <f>54790</f>
        <v>54790.0</v>
      </c>
      <c r="R29" s="34" t="s">
        <v>51</v>
      </c>
      <c r="S29" s="35" t="n">
        <f>52423.18</f>
        <v>52423.18</v>
      </c>
      <c r="T29" s="32" t="n">
        <f>234307</f>
        <v>234307.0</v>
      </c>
      <c r="U29" s="32" t="n">
        <f>593</f>
        <v>593.0</v>
      </c>
      <c r="V29" s="32" t="n">
        <f>12502205127</f>
        <v>1.2502205127E10</v>
      </c>
      <c r="W29" s="32" t="n">
        <f>32549627</f>
        <v>3.2549627E7</v>
      </c>
      <c r="X29" s="36" t="n">
        <f>22</f>
        <v>22.0</v>
      </c>
    </row>
    <row r="30">
      <c r="A30" s="27" t="s">
        <v>42</v>
      </c>
      <c r="B30" s="27" t="s">
        <v>128</v>
      </c>
      <c r="C30" s="27" t="s">
        <v>129</v>
      </c>
      <c r="D30" s="27" t="s">
        <v>130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242.5</f>
        <v>242.5</v>
      </c>
      <c r="L30" s="34" t="s">
        <v>48</v>
      </c>
      <c r="M30" s="33" t="n">
        <f>255.1</f>
        <v>255.1</v>
      </c>
      <c r="N30" s="34" t="s">
        <v>65</v>
      </c>
      <c r="O30" s="33" t="n">
        <f>221.1</f>
        <v>221.1</v>
      </c>
      <c r="P30" s="34" t="s">
        <v>49</v>
      </c>
      <c r="Q30" s="33" t="n">
        <f>231.5</f>
        <v>231.5</v>
      </c>
      <c r="R30" s="34" t="s">
        <v>51</v>
      </c>
      <c r="S30" s="35" t="n">
        <f>243.78</f>
        <v>243.78</v>
      </c>
      <c r="T30" s="32" t="n">
        <f>934288800</f>
        <v>9.342888E8</v>
      </c>
      <c r="U30" s="32" t="n">
        <f>9272950</f>
        <v>9272950.0</v>
      </c>
      <c r="V30" s="32" t="n">
        <f>225786882522</f>
        <v>2.25786882522E11</v>
      </c>
      <c r="W30" s="32" t="n">
        <f>2219024763</f>
        <v>2.219024763E9</v>
      </c>
      <c r="X30" s="36" t="n">
        <f>22</f>
        <v>22.0</v>
      </c>
    </row>
    <row r="31">
      <c r="A31" s="27" t="s">
        <v>42</v>
      </c>
      <c r="B31" s="27" t="s">
        <v>131</v>
      </c>
      <c r="C31" s="27" t="s">
        <v>132</v>
      </c>
      <c r="D31" s="27" t="s">
        <v>133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2675</f>
        <v>2675.0</v>
      </c>
      <c r="L31" s="34" t="s">
        <v>48</v>
      </c>
      <c r="M31" s="33" t="n">
        <f>2777</f>
        <v>2777.0</v>
      </c>
      <c r="N31" s="34" t="s">
        <v>49</v>
      </c>
      <c r="O31" s="33" t="n">
        <f>2616</f>
        <v>2616.0</v>
      </c>
      <c r="P31" s="34" t="s">
        <v>50</v>
      </c>
      <c r="Q31" s="33" t="n">
        <f>2745</f>
        <v>2745.0</v>
      </c>
      <c r="R31" s="34" t="s">
        <v>51</v>
      </c>
      <c r="S31" s="35" t="n">
        <f>2667.5</f>
        <v>2667.5</v>
      </c>
      <c r="T31" s="32" t="n">
        <f>654495</f>
        <v>654495.0</v>
      </c>
      <c r="U31" s="32" t="n">
        <f>157900</f>
        <v>157900.0</v>
      </c>
      <c r="V31" s="32" t="n">
        <f>1769839398</f>
        <v>1.769839398E9</v>
      </c>
      <c r="W31" s="32" t="n">
        <f>422173067</f>
        <v>4.22173067E8</v>
      </c>
      <c r="X31" s="36" t="n">
        <f>22</f>
        <v>22.0</v>
      </c>
    </row>
    <row r="32">
      <c r="A32" s="27" t="s">
        <v>42</v>
      </c>
      <c r="B32" s="27" t="s">
        <v>134</v>
      </c>
      <c r="C32" s="27" t="s">
        <v>135</v>
      </c>
      <c r="D32" s="27" t="s">
        <v>136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43140</f>
        <v>43140.0</v>
      </c>
      <c r="L32" s="34" t="s">
        <v>48</v>
      </c>
      <c r="M32" s="33" t="n">
        <f>46820</f>
        <v>46820.0</v>
      </c>
      <c r="N32" s="34" t="s">
        <v>49</v>
      </c>
      <c r="O32" s="33" t="n">
        <f>40910</f>
        <v>40910.0</v>
      </c>
      <c r="P32" s="34" t="s">
        <v>65</v>
      </c>
      <c r="Q32" s="33" t="n">
        <f>44700</f>
        <v>44700.0</v>
      </c>
      <c r="R32" s="34" t="s">
        <v>51</v>
      </c>
      <c r="S32" s="35" t="n">
        <f>42748.64</f>
        <v>42748.64</v>
      </c>
      <c r="T32" s="32" t="n">
        <f>945443</f>
        <v>945443.0</v>
      </c>
      <c r="U32" s="32" t="n">
        <f>20764</f>
        <v>20764.0</v>
      </c>
      <c r="V32" s="32" t="n">
        <f>40579554767</f>
        <v>4.0579554767E10</v>
      </c>
      <c r="W32" s="32" t="n">
        <f>897223997</f>
        <v>8.97223997E8</v>
      </c>
      <c r="X32" s="36" t="n">
        <f>22</f>
        <v>22.0</v>
      </c>
    </row>
    <row r="33">
      <c r="A33" s="27" t="s">
        <v>42</v>
      </c>
      <c r="B33" s="27" t="s">
        <v>137</v>
      </c>
      <c r="C33" s="27" t="s">
        <v>138</v>
      </c>
      <c r="D33" s="27" t="s">
        <v>139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248</f>
        <v>248.0</v>
      </c>
      <c r="L33" s="34" t="s">
        <v>48</v>
      </c>
      <c r="M33" s="33" t="n">
        <f>262</f>
        <v>262.0</v>
      </c>
      <c r="N33" s="34" t="s">
        <v>65</v>
      </c>
      <c r="O33" s="33" t="n">
        <f>226</f>
        <v>226.0</v>
      </c>
      <c r="P33" s="34" t="s">
        <v>49</v>
      </c>
      <c r="Q33" s="33" t="n">
        <f>236</f>
        <v>236.0</v>
      </c>
      <c r="R33" s="34" t="s">
        <v>51</v>
      </c>
      <c r="S33" s="35" t="n">
        <f>249.68</f>
        <v>249.68</v>
      </c>
      <c r="T33" s="32" t="n">
        <f>55729842</f>
        <v>5.5729842E7</v>
      </c>
      <c r="U33" s="32" t="n">
        <f>531758</f>
        <v>531758.0</v>
      </c>
      <c r="V33" s="32" t="n">
        <f>13757234084</f>
        <v>1.3757234084E10</v>
      </c>
      <c r="W33" s="32" t="n">
        <f>129326130</f>
        <v>1.2932613E8</v>
      </c>
      <c r="X33" s="36" t="n">
        <f>22</f>
        <v>22.0</v>
      </c>
    </row>
    <row r="34">
      <c r="A34" s="27" t="s">
        <v>42</v>
      </c>
      <c r="B34" s="27" t="s">
        <v>140</v>
      </c>
      <c r="C34" s="27" t="s">
        <v>141</v>
      </c>
      <c r="D34" s="27" t="s">
        <v>142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38420</f>
        <v>38420.0</v>
      </c>
      <c r="L34" s="34" t="s">
        <v>48</v>
      </c>
      <c r="M34" s="33" t="n">
        <f>42170</f>
        <v>42170.0</v>
      </c>
      <c r="N34" s="34" t="s">
        <v>49</v>
      </c>
      <c r="O34" s="33" t="n">
        <f>37160</f>
        <v>37160.0</v>
      </c>
      <c r="P34" s="34" t="s">
        <v>50</v>
      </c>
      <c r="Q34" s="33" t="n">
        <f>40950</f>
        <v>40950.0</v>
      </c>
      <c r="R34" s="34" t="s">
        <v>51</v>
      </c>
      <c r="S34" s="35" t="n">
        <f>38728.64</f>
        <v>38728.64</v>
      </c>
      <c r="T34" s="32" t="n">
        <f>153957</f>
        <v>153957.0</v>
      </c>
      <c r="U34" s="32" t="n">
        <f>2109</f>
        <v>2109.0</v>
      </c>
      <c r="V34" s="32" t="n">
        <f>5921149865</f>
        <v>5.921149865E9</v>
      </c>
      <c r="W34" s="32" t="n">
        <f>83562765</f>
        <v>8.3562765E7</v>
      </c>
      <c r="X34" s="36" t="n">
        <f>22</f>
        <v>22.0</v>
      </c>
    </row>
    <row r="35">
      <c r="A35" s="27" t="s">
        <v>42</v>
      </c>
      <c r="B35" s="27" t="s">
        <v>143</v>
      </c>
      <c r="C35" s="27" t="s">
        <v>144</v>
      </c>
      <c r="D35" s="27" t="s">
        <v>145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378</f>
        <v>378.0</v>
      </c>
      <c r="L35" s="34" t="s">
        <v>48</v>
      </c>
      <c r="M35" s="33" t="n">
        <f>390</f>
        <v>390.0</v>
      </c>
      <c r="N35" s="34" t="s">
        <v>50</v>
      </c>
      <c r="O35" s="33" t="n">
        <f>341</f>
        <v>341.0</v>
      </c>
      <c r="P35" s="34" t="s">
        <v>49</v>
      </c>
      <c r="Q35" s="33" t="n">
        <f>350</f>
        <v>350.0</v>
      </c>
      <c r="R35" s="34" t="s">
        <v>51</v>
      </c>
      <c r="S35" s="35" t="n">
        <f>373.91</f>
        <v>373.91</v>
      </c>
      <c r="T35" s="32" t="n">
        <f>3438834</f>
        <v>3438834.0</v>
      </c>
      <c r="U35" s="32" t="n">
        <f>7881</f>
        <v>7881.0</v>
      </c>
      <c r="V35" s="32" t="n">
        <f>1265113573</f>
        <v>1.265113573E9</v>
      </c>
      <c r="W35" s="32" t="n">
        <f>2978126</f>
        <v>2978126.0</v>
      </c>
      <c r="X35" s="36" t="n">
        <f>22</f>
        <v>22.0</v>
      </c>
    </row>
    <row r="36">
      <c r="A36" s="27" t="s">
        <v>42</v>
      </c>
      <c r="B36" s="27" t="s">
        <v>146</v>
      </c>
      <c r="C36" s="27" t="s">
        <v>147</v>
      </c>
      <c r="D36" s="27" t="s">
        <v>148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40800</f>
        <v>40800.0</v>
      </c>
      <c r="L36" s="34" t="s">
        <v>48</v>
      </c>
      <c r="M36" s="33" t="n">
        <f>42180</f>
        <v>42180.0</v>
      </c>
      <c r="N36" s="34" t="s">
        <v>49</v>
      </c>
      <c r="O36" s="33" t="n">
        <f>39460</f>
        <v>39460.0</v>
      </c>
      <c r="P36" s="34" t="s">
        <v>65</v>
      </c>
      <c r="Q36" s="33" t="n">
        <f>41210</f>
        <v>41210.0</v>
      </c>
      <c r="R36" s="34" t="s">
        <v>51</v>
      </c>
      <c r="S36" s="35" t="n">
        <f>40327.73</f>
        <v>40327.73</v>
      </c>
      <c r="T36" s="32" t="n">
        <f>238916</f>
        <v>238916.0</v>
      </c>
      <c r="U36" s="32" t="n">
        <f>80959</f>
        <v>80959.0</v>
      </c>
      <c r="V36" s="32" t="n">
        <f>9702475020</f>
        <v>9.70247502E9</v>
      </c>
      <c r="W36" s="32" t="n">
        <f>3279064870</f>
        <v>3.27906487E9</v>
      </c>
      <c r="X36" s="36" t="n">
        <f>22</f>
        <v>22.0</v>
      </c>
    </row>
    <row r="37">
      <c r="A37" s="27" t="s">
        <v>42</v>
      </c>
      <c r="B37" s="27" t="s">
        <v>149</v>
      </c>
      <c r="C37" s="27" t="s">
        <v>150</v>
      </c>
      <c r="D37" s="27" t="s">
        <v>151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40560</f>
        <v>40560.0</v>
      </c>
      <c r="L37" s="34" t="s">
        <v>48</v>
      </c>
      <c r="M37" s="33" t="n">
        <f>42380</f>
        <v>42380.0</v>
      </c>
      <c r="N37" s="34" t="s">
        <v>49</v>
      </c>
      <c r="O37" s="33" t="n">
        <f>39750</f>
        <v>39750.0</v>
      </c>
      <c r="P37" s="34" t="s">
        <v>65</v>
      </c>
      <c r="Q37" s="33" t="n">
        <f>41590</f>
        <v>41590.0</v>
      </c>
      <c r="R37" s="34" t="s">
        <v>51</v>
      </c>
      <c r="S37" s="35" t="n">
        <f>40597.73</f>
        <v>40597.73</v>
      </c>
      <c r="T37" s="32" t="n">
        <f>223991</f>
        <v>223991.0</v>
      </c>
      <c r="U37" s="32" t="n">
        <f>151712</f>
        <v>151712.0</v>
      </c>
      <c r="V37" s="32" t="n">
        <f>9043084907</f>
        <v>9.043084907E9</v>
      </c>
      <c r="W37" s="32" t="n">
        <f>6097499617</f>
        <v>6.097499617E9</v>
      </c>
      <c r="X37" s="36" t="n">
        <f>22</f>
        <v>22.0</v>
      </c>
    </row>
    <row r="38">
      <c r="A38" s="27" t="s">
        <v>42</v>
      </c>
      <c r="B38" s="27" t="s">
        <v>152</v>
      </c>
      <c r="C38" s="27" t="s">
        <v>153</v>
      </c>
      <c r="D38" s="27" t="s">
        <v>154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1828.5</f>
        <v>1828.5</v>
      </c>
      <c r="L38" s="34" t="s">
        <v>48</v>
      </c>
      <c r="M38" s="33" t="n">
        <f>1923</f>
        <v>1923.0</v>
      </c>
      <c r="N38" s="34" t="s">
        <v>104</v>
      </c>
      <c r="O38" s="33" t="n">
        <f>1823</f>
        <v>1823.0</v>
      </c>
      <c r="P38" s="34" t="s">
        <v>48</v>
      </c>
      <c r="Q38" s="33" t="n">
        <f>1920</f>
        <v>1920.0</v>
      </c>
      <c r="R38" s="34" t="s">
        <v>51</v>
      </c>
      <c r="S38" s="35" t="n">
        <f>1862.77</f>
        <v>1862.77</v>
      </c>
      <c r="T38" s="32" t="n">
        <f>5311930</f>
        <v>5311930.0</v>
      </c>
      <c r="U38" s="32" t="n">
        <f>2467310</f>
        <v>2467310.0</v>
      </c>
      <c r="V38" s="32" t="n">
        <f>9901042217</f>
        <v>9.901042217E9</v>
      </c>
      <c r="W38" s="32" t="n">
        <f>4607947387</f>
        <v>4.607947387E9</v>
      </c>
      <c r="X38" s="36" t="n">
        <f>22</f>
        <v>22.0</v>
      </c>
    </row>
    <row r="39">
      <c r="A39" s="27" t="s">
        <v>42</v>
      </c>
      <c r="B39" s="27" t="s">
        <v>155</v>
      </c>
      <c r="C39" s="27" t="s">
        <v>156</v>
      </c>
      <c r="D39" s="27" t="s">
        <v>157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2273</f>
        <v>2273.0</v>
      </c>
      <c r="L39" s="34" t="s">
        <v>48</v>
      </c>
      <c r="M39" s="33" t="n">
        <f>2357</f>
        <v>2357.0</v>
      </c>
      <c r="N39" s="34" t="s">
        <v>51</v>
      </c>
      <c r="O39" s="33" t="n">
        <f>2260</f>
        <v>2260.0</v>
      </c>
      <c r="P39" s="34" t="s">
        <v>48</v>
      </c>
      <c r="Q39" s="33" t="n">
        <f>2355</f>
        <v>2355.0</v>
      </c>
      <c r="R39" s="34" t="s">
        <v>51</v>
      </c>
      <c r="S39" s="35" t="n">
        <f>2298.14</f>
        <v>2298.14</v>
      </c>
      <c r="T39" s="32" t="n">
        <f>16834</f>
        <v>16834.0</v>
      </c>
      <c r="U39" s="32" t="n">
        <f>190</f>
        <v>190.0</v>
      </c>
      <c r="V39" s="32" t="n">
        <f>38459068</f>
        <v>3.8459068E7</v>
      </c>
      <c r="W39" s="32" t="n">
        <f>436542</f>
        <v>436542.0</v>
      </c>
      <c r="X39" s="36" t="n">
        <f>22</f>
        <v>22.0</v>
      </c>
    </row>
    <row r="40">
      <c r="A40" s="27" t="s">
        <v>42</v>
      </c>
      <c r="B40" s="27" t="s">
        <v>158</v>
      </c>
      <c r="C40" s="27" t="s">
        <v>159</v>
      </c>
      <c r="D40" s="27" t="s">
        <v>160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1975</f>
        <v>1975.0</v>
      </c>
      <c r="L40" s="34" t="s">
        <v>48</v>
      </c>
      <c r="M40" s="33" t="n">
        <f>2022</f>
        <v>2022.0</v>
      </c>
      <c r="N40" s="34" t="s">
        <v>51</v>
      </c>
      <c r="O40" s="33" t="n">
        <f>1950</f>
        <v>1950.0</v>
      </c>
      <c r="P40" s="34" t="s">
        <v>84</v>
      </c>
      <c r="Q40" s="33" t="n">
        <f>1984</f>
        <v>1984.0</v>
      </c>
      <c r="R40" s="34" t="s">
        <v>51</v>
      </c>
      <c r="S40" s="35" t="n">
        <f>1985.55</f>
        <v>1985.55</v>
      </c>
      <c r="T40" s="32" t="n">
        <f>4604</f>
        <v>4604.0</v>
      </c>
      <c r="U40" s="32" t="str">
        <f>"－"</f>
        <v>－</v>
      </c>
      <c r="V40" s="32" t="n">
        <f>9167847</f>
        <v>9167847.0</v>
      </c>
      <c r="W40" s="32" t="str">
        <f>"－"</f>
        <v>－</v>
      </c>
      <c r="X40" s="36" t="n">
        <f>22</f>
        <v>22.0</v>
      </c>
    </row>
    <row r="41">
      <c r="A41" s="27" t="s">
        <v>42</v>
      </c>
      <c r="B41" s="27" t="s">
        <v>161</v>
      </c>
      <c r="C41" s="27" t="s">
        <v>162</v>
      </c>
      <c r="D41" s="27" t="s">
        <v>163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2284</f>
        <v>2284.0</v>
      </c>
      <c r="L41" s="34" t="s">
        <v>48</v>
      </c>
      <c r="M41" s="33" t="n">
        <f>2341</f>
        <v>2341.0</v>
      </c>
      <c r="N41" s="34" t="s">
        <v>65</v>
      </c>
      <c r="O41" s="33" t="n">
        <f>2183</f>
        <v>2183.0</v>
      </c>
      <c r="P41" s="34" t="s">
        <v>49</v>
      </c>
      <c r="Q41" s="33" t="n">
        <f>2231</f>
        <v>2231.0</v>
      </c>
      <c r="R41" s="34" t="s">
        <v>51</v>
      </c>
      <c r="S41" s="35" t="n">
        <f>2289.5</f>
        <v>2289.5</v>
      </c>
      <c r="T41" s="32" t="n">
        <f>3545780</f>
        <v>3545780.0</v>
      </c>
      <c r="U41" s="32" t="n">
        <f>1929723</f>
        <v>1929723.0</v>
      </c>
      <c r="V41" s="32" t="n">
        <f>8092439155</f>
        <v>8.092439155E9</v>
      </c>
      <c r="W41" s="32" t="n">
        <f>4400925998</f>
        <v>4.400925998E9</v>
      </c>
      <c r="X41" s="36" t="n">
        <f>22</f>
        <v>22.0</v>
      </c>
    </row>
    <row r="42">
      <c r="A42" s="27" t="s">
        <v>42</v>
      </c>
      <c r="B42" s="27" t="s">
        <v>164</v>
      </c>
      <c r="C42" s="27" t="s">
        <v>165</v>
      </c>
      <c r="D42" s="27" t="s">
        <v>166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2704</f>
        <v>2704.0</v>
      </c>
      <c r="L42" s="34" t="s">
        <v>48</v>
      </c>
      <c r="M42" s="33" t="n">
        <f>2743</f>
        <v>2743.0</v>
      </c>
      <c r="N42" s="34" t="s">
        <v>167</v>
      </c>
      <c r="O42" s="33" t="n">
        <f>2573</f>
        <v>2573.0</v>
      </c>
      <c r="P42" s="34" t="s">
        <v>49</v>
      </c>
      <c r="Q42" s="33" t="n">
        <f>2610</f>
        <v>2610.0</v>
      </c>
      <c r="R42" s="34" t="s">
        <v>51</v>
      </c>
      <c r="S42" s="35" t="n">
        <f>2689.68</f>
        <v>2689.68</v>
      </c>
      <c r="T42" s="32" t="n">
        <f>547916</f>
        <v>547916.0</v>
      </c>
      <c r="U42" s="32" t="n">
        <f>350</f>
        <v>350.0</v>
      </c>
      <c r="V42" s="32" t="n">
        <f>1457668027</f>
        <v>1.457668027E9</v>
      </c>
      <c r="W42" s="32" t="n">
        <f>947160</f>
        <v>947160.0</v>
      </c>
      <c r="X42" s="36" t="n">
        <f>22</f>
        <v>22.0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33190</f>
        <v>33190.0</v>
      </c>
      <c r="L43" s="34" t="s">
        <v>48</v>
      </c>
      <c r="M43" s="33" t="n">
        <f>36070</f>
        <v>36070.0</v>
      </c>
      <c r="N43" s="34" t="s">
        <v>49</v>
      </c>
      <c r="O43" s="33" t="n">
        <f>31510</f>
        <v>31510.0</v>
      </c>
      <c r="P43" s="34" t="s">
        <v>65</v>
      </c>
      <c r="Q43" s="33" t="n">
        <f>34390</f>
        <v>34390.0</v>
      </c>
      <c r="R43" s="34" t="s">
        <v>51</v>
      </c>
      <c r="S43" s="35" t="n">
        <f>32914.09</f>
        <v>32914.09</v>
      </c>
      <c r="T43" s="32" t="n">
        <f>6555325</f>
        <v>6555325.0</v>
      </c>
      <c r="U43" s="32" t="n">
        <f>4167</f>
        <v>4167.0</v>
      </c>
      <c r="V43" s="32" t="n">
        <f>216378863435</f>
        <v>2.16378863435E11</v>
      </c>
      <c r="W43" s="32" t="n">
        <f>139157745</f>
        <v>1.39157745E8</v>
      </c>
      <c r="X43" s="36" t="n">
        <f>22</f>
        <v>22.0</v>
      </c>
    </row>
    <row r="44">
      <c r="A44" s="27" t="s">
        <v>42</v>
      </c>
      <c r="B44" s="27" t="s">
        <v>171</v>
      </c>
      <c r="C44" s="27" t="s">
        <v>172</v>
      </c>
      <c r="D44" s="27" t="s">
        <v>173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398</f>
        <v>398.0</v>
      </c>
      <c r="L44" s="34" t="s">
        <v>48</v>
      </c>
      <c r="M44" s="33" t="n">
        <f>419</f>
        <v>419.0</v>
      </c>
      <c r="N44" s="34" t="s">
        <v>65</v>
      </c>
      <c r="O44" s="33" t="n">
        <f>362</f>
        <v>362.0</v>
      </c>
      <c r="P44" s="34" t="s">
        <v>49</v>
      </c>
      <c r="Q44" s="33" t="n">
        <f>380</f>
        <v>380.0</v>
      </c>
      <c r="R44" s="34" t="s">
        <v>51</v>
      </c>
      <c r="S44" s="35" t="n">
        <f>399.64</f>
        <v>399.64</v>
      </c>
      <c r="T44" s="32" t="n">
        <f>276265934</f>
        <v>2.76265934E8</v>
      </c>
      <c r="U44" s="32" t="n">
        <f>4488122</f>
        <v>4488122.0</v>
      </c>
      <c r="V44" s="32" t="n">
        <f>109979759911</f>
        <v>1.09979759911E11</v>
      </c>
      <c r="W44" s="32" t="n">
        <f>1767781415</f>
        <v>1.767781415E9</v>
      </c>
      <c r="X44" s="36" t="n">
        <f>22</f>
        <v>22.0</v>
      </c>
    </row>
    <row r="45">
      <c r="A45" s="27" t="s">
        <v>42</v>
      </c>
      <c r="B45" s="27" t="s">
        <v>174</v>
      </c>
      <c r="C45" s="27" t="s">
        <v>175</v>
      </c>
      <c r="D45" s="27" t="s">
        <v>176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488</f>
        <v>488.0</v>
      </c>
      <c r="L45" s="34" t="s">
        <v>48</v>
      </c>
      <c r="M45" s="33" t="n">
        <f>502</f>
        <v>502.0</v>
      </c>
      <c r="N45" s="34" t="s">
        <v>65</v>
      </c>
      <c r="O45" s="33" t="n">
        <f>440</f>
        <v>440.0</v>
      </c>
      <c r="P45" s="34" t="s">
        <v>49</v>
      </c>
      <c r="Q45" s="33" t="n">
        <f>451</f>
        <v>451.0</v>
      </c>
      <c r="R45" s="34" t="s">
        <v>51</v>
      </c>
      <c r="S45" s="35" t="n">
        <f>481.32</f>
        <v>481.32</v>
      </c>
      <c r="T45" s="32" t="n">
        <f>131421</f>
        <v>131421.0</v>
      </c>
      <c r="U45" s="32" t="str">
        <f>"－"</f>
        <v>－</v>
      </c>
      <c r="V45" s="32" t="n">
        <f>60390647</f>
        <v>6.0390647E7</v>
      </c>
      <c r="W45" s="32" t="str">
        <f>"－"</f>
        <v>－</v>
      </c>
      <c r="X45" s="36" t="n">
        <f>22</f>
        <v>22.0</v>
      </c>
    </row>
    <row r="46">
      <c r="A46" s="27" t="s">
        <v>42</v>
      </c>
      <c r="B46" s="27" t="s">
        <v>177</v>
      </c>
      <c r="C46" s="27" t="s">
        <v>178</v>
      </c>
      <c r="D46" s="27" t="s">
        <v>179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467</f>
        <v>467.0</v>
      </c>
      <c r="L46" s="34" t="s">
        <v>48</v>
      </c>
      <c r="M46" s="33" t="n">
        <f>484.6</f>
        <v>484.6</v>
      </c>
      <c r="N46" s="34" t="s">
        <v>180</v>
      </c>
      <c r="O46" s="33" t="n">
        <f>427.7</f>
        <v>427.7</v>
      </c>
      <c r="P46" s="34" t="s">
        <v>49</v>
      </c>
      <c r="Q46" s="33" t="n">
        <f>445</f>
        <v>445.0</v>
      </c>
      <c r="R46" s="34" t="s">
        <v>51</v>
      </c>
      <c r="S46" s="35" t="n">
        <f>464.35</f>
        <v>464.35</v>
      </c>
      <c r="T46" s="32" t="n">
        <f>183250</f>
        <v>183250.0</v>
      </c>
      <c r="U46" s="32" t="n">
        <f>3540</f>
        <v>3540.0</v>
      </c>
      <c r="V46" s="32" t="n">
        <f>82613290</f>
        <v>8.261329E7</v>
      </c>
      <c r="W46" s="32" t="n">
        <f>1595572</f>
        <v>1595572.0</v>
      </c>
      <c r="X46" s="36" t="n">
        <f>22</f>
        <v>22.0</v>
      </c>
    </row>
    <row r="47">
      <c r="A47" s="27" t="s">
        <v>42</v>
      </c>
      <c r="B47" s="27" t="s">
        <v>181</v>
      </c>
      <c r="C47" s="27" t="s">
        <v>182</v>
      </c>
      <c r="D47" s="27" t="s">
        <v>183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191</f>
        <v>191.0</v>
      </c>
      <c r="L47" s="34" t="s">
        <v>48</v>
      </c>
      <c r="M47" s="33" t="n">
        <f>197</f>
        <v>197.0</v>
      </c>
      <c r="N47" s="34" t="s">
        <v>50</v>
      </c>
      <c r="O47" s="33" t="n">
        <f>174</f>
        <v>174.0</v>
      </c>
      <c r="P47" s="34" t="s">
        <v>49</v>
      </c>
      <c r="Q47" s="33" t="n">
        <f>180</f>
        <v>180.0</v>
      </c>
      <c r="R47" s="34" t="s">
        <v>51</v>
      </c>
      <c r="S47" s="35" t="n">
        <f>189.95</f>
        <v>189.95</v>
      </c>
      <c r="T47" s="32" t="n">
        <f>278305</f>
        <v>278305.0</v>
      </c>
      <c r="U47" s="32" t="str">
        <f>"－"</f>
        <v>－</v>
      </c>
      <c r="V47" s="32" t="n">
        <f>51140074</f>
        <v>5.1140074E7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184</v>
      </c>
      <c r="C48" s="27" t="s">
        <v>185</v>
      </c>
      <c r="D48" s="27" t="s">
        <v>186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2927</f>
        <v>2927.0</v>
      </c>
      <c r="L48" s="34" t="s">
        <v>48</v>
      </c>
      <c r="M48" s="33" t="n">
        <f>3030</f>
        <v>3030.0</v>
      </c>
      <c r="N48" s="34" t="s">
        <v>49</v>
      </c>
      <c r="O48" s="33" t="n">
        <f>2845.5</f>
        <v>2845.5</v>
      </c>
      <c r="P48" s="34" t="s">
        <v>50</v>
      </c>
      <c r="Q48" s="33" t="n">
        <f>2989.5</f>
        <v>2989.5</v>
      </c>
      <c r="R48" s="34" t="s">
        <v>51</v>
      </c>
      <c r="S48" s="35" t="n">
        <f>2910.27</f>
        <v>2910.27</v>
      </c>
      <c r="T48" s="32" t="n">
        <f>1692240</f>
        <v>1692240.0</v>
      </c>
      <c r="U48" s="32" t="n">
        <f>190020</f>
        <v>190020.0</v>
      </c>
      <c r="V48" s="32" t="n">
        <f>4973867720</f>
        <v>4.97386772E9</v>
      </c>
      <c r="W48" s="32" t="n">
        <f>568963570</f>
        <v>5.6896357E8</v>
      </c>
      <c r="X48" s="36" t="n">
        <f>22</f>
        <v>22.0</v>
      </c>
    </row>
    <row r="49">
      <c r="A49" s="27" t="s">
        <v>42</v>
      </c>
      <c r="B49" s="27" t="s">
        <v>187</v>
      </c>
      <c r="C49" s="27" t="s">
        <v>188</v>
      </c>
      <c r="D49" s="27" t="s">
        <v>189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26325</f>
        <v>26325.0</v>
      </c>
      <c r="L49" s="34" t="s">
        <v>48</v>
      </c>
      <c r="M49" s="33" t="n">
        <f>27150</f>
        <v>27150.0</v>
      </c>
      <c r="N49" s="34" t="s">
        <v>49</v>
      </c>
      <c r="O49" s="33" t="n">
        <f>25595</f>
        <v>25595.0</v>
      </c>
      <c r="P49" s="34" t="s">
        <v>50</v>
      </c>
      <c r="Q49" s="33" t="n">
        <f>26775</f>
        <v>26775.0</v>
      </c>
      <c r="R49" s="34" t="s">
        <v>51</v>
      </c>
      <c r="S49" s="35" t="n">
        <f>26158.41</f>
        <v>26158.41</v>
      </c>
      <c r="T49" s="32" t="n">
        <f>11619</f>
        <v>11619.0</v>
      </c>
      <c r="U49" s="32" t="str">
        <f>"－"</f>
        <v>－</v>
      </c>
      <c r="V49" s="32" t="n">
        <f>302743330</f>
        <v>3.0274333E8</v>
      </c>
      <c r="W49" s="32" t="str">
        <f>"－"</f>
        <v>－</v>
      </c>
      <c r="X49" s="36" t="n">
        <f>22</f>
        <v>22.0</v>
      </c>
    </row>
    <row r="50">
      <c r="A50" s="27" t="s">
        <v>42</v>
      </c>
      <c r="B50" s="27" t="s">
        <v>190</v>
      </c>
      <c r="C50" s="27" t="s">
        <v>191</v>
      </c>
      <c r="D50" s="27" t="s">
        <v>192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295</f>
        <v>295.0</v>
      </c>
      <c r="L50" s="34" t="s">
        <v>48</v>
      </c>
      <c r="M50" s="33" t="n">
        <f>309.3</f>
        <v>309.3</v>
      </c>
      <c r="N50" s="34" t="s">
        <v>49</v>
      </c>
      <c r="O50" s="33" t="n">
        <f>290.2</f>
        <v>290.2</v>
      </c>
      <c r="P50" s="34" t="s">
        <v>50</v>
      </c>
      <c r="Q50" s="33" t="n">
        <f>304.9</f>
        <v>304.9</v>
      </c>
      <c r="R50" s="34" t="s">
        <v>51</v>
      </c>
      <c r="S50" s="35" t="n">
        <f>296.32</f>
        <v>296.32</v>
      </c>
      <c r="T50" s="32" t="n">
        <f>73584040</f>
        <v>7.358404E7</v>
      </c>
      <c r="U50" s="32" t="n">
        <f>34407440</f>
        <v>3.440744E7</v>
      </c>
      <c r="V50" s="32" t="n">
        <f>22115403638</f>
        <v>2.2115403638E10</v>
      </c>
      <c r="W50" s="32" t="n">
        <f>10471572590</f>
        <v>1.047157259E10</v>
      </c>
      <c r="X50" s="36" t="n">
        <f>22</f>
        <v>22.0</v>
      </c>
    </row>
    <row r="51">
      <c r="A51" s="27" t="s">
        <v>42</v>
      </c>
      <c r="B51" s="27" t="s">
        <v>193</v>
      </c>
      <c r="C51" s="27" t="s">
        <v>194</v>
      </c>
      <c r="D51" s="27" t="s">
        <v>195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1844</f>
        <v>1844.0</v>
      </c>
      <c r="L51" s="34" t="s">
        <v>48</v>
      </c>
      <c r="M51" s="33" t="n">
        <f>1941</f>
        <v>1941.0</v>
      </c>
      <c r="N51" s="34" t="s">
        <v>104</v>
      </c>
      <c r="O51" s="33" t="n">
        <f>1838</f>
        <v>1838.0</v>
      </c>
      <c r="P51" s="34" t="s">
        <v>48</v>
      </c>
      <c r="Q51" s="33" t="n">
        <f>1933</f>
        <v>1933.0</v>
      </c>
      <c r="R51" s="34" t="s">
        <v>51</v>
      </c>
      <c r="S51" s="35" t="n">
        <f>1877.91</f>
        <v>1877.91</v>
      </c>
      <c r="T51" s="32" t="n">
        <f>20635018</f>
        <v>2.0635018E7</v>
      </c>
      <c r="U51" s="32" t="n">
        <f>17293893</f>
        <v>1.7293893E7</v>
      </c>
      <c r="V51" s="32" t="n">
        <f>38988202499</f>
        <v>3.8988202499E10</v>
      </c>
      <c r="W51" s="32" t="n">
        <f>32717721436</f>
        <v>3.2717721436E10</v>
      </c>
      <c r="X51" s="36" t="n">
        <f>22</f>
        <v>22.0</v>
      </c>
    </row>
    <row r="52">
      <c r="A52" s="27" t="s">
        <v>42</v>
      </c>
      <c r="B52" s="27" t="s">
        <v>196</v>
      </c>
      <c r="C52" s="27" t="s">
        <v>197</v>
      </c>
      <c r="D52" s="27" t="s">
        <v>198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2657</f>
        <v>2657.0</v>
      </c>
      <c r="L52" s="34" t="s">
        <v>48</v>
      </c>
      <c r="M52" s="33" t="n">
        <f>2741</f>
        <v>2741.0</v>
      </c>
      <c r="N52" s="34" t="s">
        <v>49</v>
      </c>
      <c r="O52" s="33" t="n">
        <f>2609</f>
        <v>2609.0</v>
      </c>
      <c r="P52" s="34" t="s">
        <v>69</v>
      </c>
      <c r="Q52" s="33" t="n">
        <f>2710</f>
        <v>2710.0</v>
      </c>
      <c r="R52" s="34" t="s">
        <v>51</v>
      </c>
      <c r="S52" s="35" t="n">
        <f>2652.45</f>
        <v>2652.45</v>
      </c>
      <c r="T52" s="32" t="n">
        <f>131973</f>
        <v>131973.0</v>
      </c>
      <c r="U52" s="32" t="n">
        <f>72467</f>
        <v>72467.0</v>
      </c>
      <c r="V52" s="32" t="n">
        <f>359118386</f>
        <v>3.59118386E8</v>
      </c>
      <c r="W52" s="32" t="n">
        <f>198041987</f>
        <v>1.98041987E8</v>
      </c>
      <c r="X52" s="36" t="n">
        <f>22</f>
        <v>22.0</v>
      </c>
    </row>
    <row r="53">
      <c r="A53" s="27" t="s">
        <v>42</v>
      </c>
      <c r="B53" s="27" t="s">
        <v>199</v>
      </c>
      <c r="C53" s="27" t="s">
        <v>200</v>
      </c>
      <c r="D53" s="27" t="s">
        <v>201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3843</f>
        <v>3843.0</v>
      </c>
      <c r="L53" s="34" t="s">
        <v>48</v>
      </c>
      <c r="M53" s="33" t="n">
        <f>4065</f>
        <v>4065.0</v>
      </c>
      <c r="N53" s="34" t="s">
        <v>49</v>
      </c>
      <c r="O53" s="33" t="n">
        <f>3791</f>
        <v>3791.0</v>
      </c>
      <c r="P53" s="34" t="s">
        <v>180</v>
      </c>
      <c r="Q53" s="33" t="n">
        <f>3975</f>
        <v>3975.0</v>
      </c>
      <c r="R53" s="34" t="s">
        <v>51</v>
      </c>
      <c r="S53" s="35" t="n">
        <f>3874.27</f>
        <v>3874.27</v>
      </c>
      <c r="T53" s="32" t="n">
        <f>2252099</f>
        <v>2252099.0</v>
      </c>
      <c r="U53" s="32" t="n">
        <f>927724</f>
        <v>927724.0</v>
      </c>
      <c r="V53" s="32" t="n">
        <f>8787055168</f>
        <v>8.787055168E9</v>
      </c>
      <c r="W53" s="32" t="n">
        <f>3650001031</f>
        <v>3.650001031E9</v>
      </c>
      <c r="X53" s="36" t="n">
        <f>22</f>
        <v>22.0</v>
      </c>
    </row>
    <row r="54">
      <c r="A54" s="27" t="s">
        <v>42</v>
      </c>
      <c r="B54" s="27" t="s">
        <v>202</v>
      </c>
      <c r="C54" s="27" t="s">
        <v>203</v>
      </c>
      <c r="D54" s="27" t="s">
        <v>204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35260</f>
        <v>35260.0</v>
      </c>
      <c r="L54" s="34" t="s">
        <v>167</v>
      </c>
      <c r="M54" s="33" t="n">
        <f>36480</f>
        <v>36480.0</v>
      </c>
      <c r="N54" s="34" t="s">
        <v>205</v>
      </c>
      <c r="O54" s="33" t="n">
        <f>35010</f>
        <v>35010.0</v>
      </c>
      <c r="P54" s="34" t="s">
        <v>167</v>
      </c>
      <c r="Q54" s="33" t="n">
        <f>36280</f>
        <v>36280.0</v>
      </c>
      <c r="R54" s="34" t="s">
        <v>65</v>
      </c>
      <c r="S54" s="35" t="n">
        <f>35667.5</f>
        <v>35667.5</v>
      </c>
      <c r="T54" s="32" t="n">
        <f>35</f>
        <v>35.0</v>
      </c>
      <c r="U54" s="32" t="str">
        <f>"－"</f>
        <v>－</v>
      </c>
      <c r="V54" s="32" t="n">
        <f>1248820</f>
        <v>1248820.0</v>
      </c>
      <c r="W54" s="32" t="str">
        <f>"－"</f>
        <v>－</v>
      </c>
      <c r="X54" s="36" t="n">
        <f>4</f>
        <v>4.0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27965</f>
        <v>27965.0</v>
      </c>
      <c r="L55" s="34" t="s">
        <v>48</v>
      </c>
      <c r="M55" s="33" t="n">
        <f>29065</f>
        <v>29065.0</v>
      </c>
      <c r="N55" s="34" t="s">
        <v>49</v>
      </c>
      <c r="O55" s="33" t="n">
        <f>27720</f>
        <v>27720.0</v>
      </c>
      <c r="P55" s="34" t="s">
        <v>65</v>
      </c>
      <c r="Q55" s="33" t="n">
        <f>28825</f>
        <v>28825.0</v>
      </c>
      <c r="R55" s="34" t="s">
        <v>51</v>
      </c>
      <c r="S55" s="35" t="n">
        <f>28160.5</f>
        <v>28160.5</v>
      </c>
      <c r="T55" s="32" t="n">
        <f>1776</f>
        <v>1776.0</v>
      </c>
      <c r="U55" s="32" t="str">
        <f>"－"</f>
        <v>－</v>
      </c>
      <c r="V55" s="32" t="n">
        <f>50895555</f>
        <v>5.0895555E7</v>
      </c>
      <c r="W55" s="32" t="str">
        <f>"－"</f>
        <v>－</v>
      </c>
      <c r="X55" s="36" t="n">
        <f>10</f>
        <v>10.0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2941</f>
        <v>2941.0</v>
      </c>
      <c r="L56" s="34" t="s">
        <v>48</v>
      </c>
      <c r="M56" s="33" t="n">
        <f>2993</f>
        <v>2993.0</v>
      </c>
      <c r="N56" s="34" t="s">
        <v>49</v>
      </c>
      <c r="O56" s="33" t="n">
        <f>2857</f>
        <v>2857.0</v>
      </c>
      <c r="P56" s="34" t="s">
        <v>212</v>
      </c>
      <c r="Q56" s="33" t="n">
        <f>2956</f>
        <v>2956.0</v>
      </c>
      <c r="R56" s="34" t="s">
        <v>51</v>
      </c>
      <c r="S56" s="35" t="n">
        <f>2908.3</f>
        <v>2908.3</v>
      </c>
      <c r="T56" s="32" t="n">
        <f>737</f>
        <v>737.0</v>
      </c>
      <c r="U56" s="32" t="str">
        <f>"－"</f>
        <v>－</v>
      </c>
      <c r="V56" s="32" t="n">
        <f>2164063</f>
        <v>2164063.0</v>
      </c>
      <c r="W56" s="32" t="str">
        <f>"－"</f>
        <v>－</v>
      </c>
      <c r="X56" s="36" t="n">
        <f>20</f>
        <v>20.0</v>
      </c>
    </row>
    <row r="57">
      <c r="A57" s="27" t="s">
        <v>42</v>
      </c>
      <c r="B57" s="27" t="s">
        <v>213</v>
      </c>
      <c r="C57" s="27" t="s">
        <v>214</v>
      </c>
      <c r="D57" s="27" t="s">
        <v>215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1662</f>
        <v>1662.0</v>
      </c>
      <c r="L57" s="34" t="s">
        <v>48</v>
      </c>
      <c r="M57" s="33" t="n">
        <f>1664</f>
        <v>1664.0</v>
      </c>
      <c r="N57" s="34" t="s">
        <v>48</v>
      </c>
      <c r="O57" s="33" t="n">
        <f>1614</f>
        <v>1614.0</v>
      </c>
      <c r="P57" s="34" t="s">
        <v>69</v>
      </c>
      <c r="Q57" s="33" t="n">
        <f>1629</f>
        <v>1629.0</v>
      </c>
      <c r="R57" s="34" t="s">
        <v>51</v>
      </c>
      <c r="S57" s="35" t="n">
        <f>1633.05</f>
        <v>1633.05</v>
      </c>
      <c r="T57" s="32" t="n">
        <f>7740176</f>
        <v>7740176.0</v>
      </c>
      <c r="U57" s="32" t="n">
        <f>6287120</f>
        <v>6287120.0</v>
      </c>
      <c r="V57" s="32" t="n">
        <f>12598020417</f>
        <v>1.2598020417E10</v>
      </c>
      <c r="W57" s="32" t="n">
        <f>10222258942</f>
        <v>1.0222258942E10</v>
      </c>
      <c r="X57" s="36" t="n">
        <f>22</f>
        <v>22.0</v>
      </c>
    </row>
    <row r="58">
      <c r="A58" s="27" t="s">
        <v>42</v>
      </c>
      <c r="B58" s="27" t="s">
        <v>216</v>
      </c>
      <c r="C58" s="27" t="s">
        <v>217</v>
      </c>
      <c r="D58" s="27" t="s">
        <v>218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2931</f>
        <v>2931.0</v>
      </c>
      <c r="L58" s="34" t="s">
        <v>48</v>
      </c>
      <c r="M58" s="33" t="n">
        <f>3005</f>
        <v>3005.0</v>
      </c>
      <c r="N58" s="34" t="s">
        <v>49</v>
      </c>
      <c r="O58" s="33" t="n">
        <f>2874</f>
        <v>2874.0</v>
      </c>
      <c r="P58" s="34" t="s">
        <v>212</v>
      </c>
      <c r="Q58" s="33" t="n">
        <f>2940</f>
        <v>2940.0</v>
      </c>
      <c r="R58" s="34" t="s">
        <v>51</v>
      </c>
      <c r="S58" s="35" t="n">
        <f>2915.53</f>
        <v>2915.53</v>
      </c>
      <c r="T58" s="32" t="n">
        <f>1317</f>
        <v>1317.0</v>
      </c>
      <c r="U58" s="32" t="str">
        <f>"－"</f>
        <v>－</v>
      </c>
      <c r="V58" s="32" t="n">
        <f>3828462</f>
        <v>3828462.0</v>
      </c>
      <c r="W58" s="32" t="str">
        <f>"－"</f>
        <v>－</v>
      </c>
      <c r="X58" s="36" t="n">
        <f>19</f>
        <v>19.0</v>
      </c>
    </row>
    <row r="59">
      <c r="A59" s="27" t="s">
        <v>42</v>
      </c>
      <c r="B59" s="27" t="s">
        <v>219</v>
      </c>
      <c r="C59" s="27" t="s">
        <v>220</v>
      </c>
      <c r="D59" s="27" t="s">
        <v>221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2900</f>
        <v>2900.0</v>
      </c>
      <c r="L59" s="34" t="s">
        <v>48</v>
      </c>
      <c r="M59" s="33" t="n">
        <f>2947.5</f>
        <v>2947.5</v>
      </c>
      <c r="N59" s="34" t="s">
        <v>49</v>
      </c>
      <c r="O59" s="33" t="n">
        <f>2815</f>
        <v>2815.0</v>
      </c>
      <c r="P59" s="34" t="s">
        <v>50</v>
      </c>
      <c r="Q59" s="33" t="n">
        <f>2914.5</f>
        <v>2914.5</v>
      </c>
      <c r="R59" s="34" t="s">
        <v>51</v>
      </c>
      <c r="S59" s="35" t="n">
        <f>2868.5</f>
        <v>2868.5</v>
      </c>
      <c r="T59" s="32" t="n">
        <f>11720</f>
        <v>11720.0</v>
      </c>
      <c r="U59" s="32" t="str">
        <f>"－"</f>
        <v>－</v>
      </c>
      <c r="V59" s="32" t="n">
        <f>33774570</f>
        <v>3.377457E7</v>
      </c>
      <c r="W59" s="32" t="str">
        <f>"－"</f>
        <v>－</v>
      </c>
      <c r="X59" s="36" t="n">
        <f>22</f>
        <v>22.0</v>
      </c>
    </row>
    <row r="60">
      <c r="A60" s="27" t="s">
        <v>42</v>
      </c>
      <c r="B60" s="27" t="s">
        <v>222</v>
      </c>
      <c r="C60" s="27" t="s">
        <v>223</v>
      </c>
      <c r="D60" s="27" t="s">
        <v>224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41260</f>
        <v>41260.0</v>
      </c>
      <c r="L60" s="34" t="s">
        <v>61</v>
      </c>
      <c r="M60" s="33" t="n">
        <f>43600</f>
        <v>43600.0</v>
      </c>
      <c r="N60" s="34" t="s">
        <v>49</v>
      </c>
      <c r="O60" s="33" t="n">
        <f>40840</f>
        <v>40840.0</v>
      </c>
      <c r="P60" s="34" t="s">
        <v>69</v>
      </c>
      <c r="Q60" s="33" t="n">
        <f>43600</f>
        <v>43600.0</v>
      </c>
      <c r="R60" s="34" t="s">
        <v>49</v>
      </c>
      <c r="S60" s="35" t="n">
        <f>41940</f>
        <v>41940.0</v>
      </c>
      <c r="T60" s="32" t="n">
        <f>26</f>
        <v>26.0</v>
      </c>
      <c r="U60" s="32" t="str">
        <f>"－"</f>
        <v>－</v>
      </c>
      <c r="V60" s="32" t="n">
        <f>1082000</f>
        <v>1082000.0</v>
      </c>
      <c r="W60" s="32" t="str">
        <f>"－"</f>
        <v>－</v>
      </c>
      <c r="X60" s="36" t="n">
        <f>3</f>
        <v>3.0</v>
      </c>
    </row>
    <row r="61">
      <c r="A61" s="27" t="s">
        <v>42</v>
      </c>
      <c r="B61" s="27" t="s">
        <v>225</v>
      </c>
      <c r="C61" s="27" t="s">
        <v>226</v>
      </c>
      <c r="D61" s="27" t="s">
        <v>227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22800</f>
        <v>22800.0</v>
      </c>
      <c r="L61" s="34" t="s">
        <v>48</v>
      </c>
      <c r="M61" s="33" t="n">
        <f>22900</f>
        <v>22900.0</v>
      </c>
      <c r="N61" s="34" t="s">
        <v>180</v>
      </c>
      <c r="O61" s="33" t="n">
        <f>22345</f>
        <v>22345.0</v>
      </c>
      <c r="P61" s="34" t="s">
        <v>49</v>
      </c>
      <c r="Q61" s="33" t="n">
        <f>22870</f>
        <v>22870.0</v>
      </c>
      <c r="R61" s="34" t="s">
        <v>51</v>
      </c>
      <c r="S61" s="35" t="n">
        <f>22631.14</f>
        <v>22631.14</v>
      </c>
      <c r="T61" s="32" t="n">
        <f>123546</f>
        <v>123546.0</v>
      </c>
      <c r="U61" s="32" t="n">
        <f>93758</f>
        <v>93758.0</v>
      </c>
      <c r="V61" s="32" t="n">
        <f>2816960500</f>
        <v>2.8169605E9</v>
      </c>
      <c r="W61" s="32" t="n">
        <f>2141050450</f>
        <v>2.14105045E9</v>
      </c>
      <c r="X61" s="36" t="n">
        <f>22</f>
        <v>22.0</v>
      </c>
    </row>
    <row r="62">
      <c r="A62" s="27" t="s">
        <v>42</v>
      </c>
      <c r="B62" s="27" t="s">
        <v>228</v>
      </c>
      <c r="C62" s="27" t="s">
        <v>229</v>
      </c>
      <c r="D62" s="27" t="s">
        <v>230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12885</f>
        <v>12885.0</v>
      </c>
      <c r="L62" s="34" t="s">
        <v>48</v>
      </c>
      <c r="M62" s="33" t="n">
        <f>12905</f>
        <v>12905.0</v>
      </c>
      <c r="N62" s="34" t="s">
        <v>48</v>
      </c>
      <c r="O62" s="33" t="n">
        <f>12385</f>
        <v>12385.0</v>
      </c>
      <c r="P62" s="34" t="s">
        <v>69</v>
      </c>
      <c r="Q62" s="33" t="n">
        <f>12495</f>
        <v>12495.0</v>
      </c>
      <c r="R62" s="34" t="s">
        <v>51</v>
      </c>
      <c r="S62" s="35" t="n">
        <f>12568.64</f>
        <v>12568.64</v>
      </c>
      <c r="T62" s="32" t="n">
        <f>330134</f>
        <v>330134.0</v>
      </c>
      <c r="U62" s="32" t="n">
        <f>275003</f>
        <v>275003.0</v>
      </c>
      <c r="V62" s="32" t="n">
        <f>4140886123</f>
        <v>4.140886123E9</v>
      </c>
      <c r="W62" s="32" t="n">
        <f>3440856128</f>
        <v>3.440856128E9</v>
      </c>
      <c r="X62" s="36" t="n">
        <f>22</f>
        <v>22.0</v>
      </c>
    </row>
    <row r="63">
      <c r="A63" s="27" t="s">
        <v>42</v>
      </c>
      <c r="B63" s="27" t="s">
        <v>231</v>
      </c>
      <c r="C63" s="27" t="s">
        <v>232</v>
      </c>
      <c r="D63" s="27" t="s">
        <v>233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1839</f>
        <v>1839.0</v>
      </c>
      <c r="L63" s="34" t="s">
        <v>48</v>
      </c>
      <c r="M63" s="33" t="n">
        <f>1938</f>
        <v>1938.0</v>
      </c>
      <c r="N63" s="34" t="s">
        <v>104</v>
      </c>
      <c r="O63" s="33" t="n">
        <f>1835</f>
        <v>1835.0</v>
      </c>
      <c r="P63" s="34" t="s">
        <v>48</v>
      </c>
      <c r="Q63" s="33" t="n">
        <f>1933</f>
        <v>1933.0</v>
      </c>
      <c r="R63" s="34" t="s">
        <v>51</v>
      </c>
      <c r="S63" s="35" t="n">
        <f>1873.45</f>
        <v>1873.45</v>
      </c>
      <c r="T63" s="32" t="n">
        <f>2651587</f>
        <v>2651587.0</v>
      </c>
      <c r="U63" s="32" t="n">
        <f>1108928</f>
        <v>1108928.0</v>
      </c>
      <c r="V63" s="32" t="n">
        <f>5000373461</f>
        <v>5.000373461E9</v>
      </c>
      <c r="W63" s="32" t="n">
        <f>2093406436</f>
        <v>2.093406436E9</v>
      </c>
      <c r="X63" s="36" t="n">
        <f>22</f>
        <v>22.0</v>
      </c>
    </row>
    <row r="64">
      <c r="A64" s="27" t="s">
        <v>42</v>
      </c>
      <c r="B64" s="27" t="s">
        <v>234</v>
      </c>
      <c r="C64" s="27" t="s">
        <v>235</v>
      </c>
      <c r="D64" s="27" t="s">
        <v>236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2249</f>
        <v>2249.0</v>
      </c>
      <c r="L64" s="34" t="s">
        <v>48</v>
      </c>
      <c r="M64" s="33" t="n">
        <f>2394</f>
        <v>2394.0</v>
      </c>
      <c r="N64" s="34" t="s">
        <v>49</v>
      </c>
      <c r="O64" s="33" t="n">
        <f>2233</f>
        <v>2233.0</v>
      </c>
      <c r="P64" s="34" t="s">
        <v>180</v>
      </c>
      <c r="Q64" s="33" t="n">
        <f>2361</f>
        <v>2361.0</v>
      </c>
      <c r="R64" s="34" t="s">
        <v>51</v>
      </c>
      <c r="S64" s="35" t="n">
        <f>2295.09</f>
        <v>2295.09</v>
      </c>
      <c r="T64" s="32" t="n">
        <f>12795693</f>
        <v>1.2795693E7</v>
      </c>
      <c r="U64" s="32" t="n">
        <f>3548309</f>
        <v>3548309.0</v>
      </c>
      <c r="V64" s="32" t="n">
        <f>29556064109</f>
        <v>2.9556064109E10</v>
      </c>
      <c r="W64" s="32" t="n">
        <f>8238456945</f>
        <v>8.238456945E9</v>
      </c>
      <c r="X64" s="36" t="n">
        <f>22</f>
        <v>22.0</v>
      </c>
    </row>
    <row r="65">
      <c r="A65" s="27" t="s">
        <v>42</v>
      </c>
      <c r="B65" s="27" t="s">
        <v>237</v>
      </c>
      <c r="C65" s="27" t="s">
        <v>238</v>
      </c>
      <c r="D65" s="27" t="s">
        <v>239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7280</f>
        <v>7280.0</v>
      </c>
      <c r="L65" s="34" t="s">
        <v>84</v>
      </c>
      <c r="M65" s="33" t="n">
        <f>7500</f>
        <v>7500.0</v>
      </c>
      <c r="N65" s="34" t="s">
        <v>50</v>
      </c>
      <c r="O65" s="33" t="n">
        <f>7280</f>
        <v>7280.0</v>
      </c>
      <c r="P65" s="34" t="s">
        <v>84</v>
      </c>
      <c r="Q65" s="33" t="n">
        <f>7472</f>
        <v>7472.0</v>
      </c>
      <c r="R65" s="34" t="s">
        <v>51</v>
      </c>
      <c r="S65" s="35" t="n">
        <f>7426.2</f>
        <v>7426.2</v>
      </c>
      <c r="T65" s="32" t="n">
        <f>164</f>
        <v>164.0</v>
      </c>
      <c r="U65" s="32" t="str">
        <f>"－"</f>
        <v>－</v>
      </c>
      <c r="V65" s="32" t="n">
        <f>1228271</f>
        <v>1228271.0</v>
      </c>
      <c r="W65" s="32" t="str">
        <f>"－"</f>
        <v>－</v>
      </c>
      <c r="X65" s="36" t="n">
        <f>5</f>
        <v>5.0</v>
      </c>
    </row>
    <row r="66">
      <c r="A66" s="27" t="s">
        <v>42</v>
      </c>
      <c r="B66" s="27" t="s">
        <v>240</v>
      </c>
      <c r="C66" s="27" t="s">
        <v>241</v>
      </c>
      <c r="D66" s="27" t="s">
        <v>242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20470</f>
        <v>20470.0</v>
      </c>
      <c r="L66" s="34" t="s">
        <v>48</v>
      </c>
      <c r="M66" s="33" t="n">
        <f>20590</f>
        <v>20590.0</v>
      </c>
      <c r="N66" s="34" t="s">
        <v>48</v>
      </c>
      <c r="O66" s="33" t="n">
        <f>19295</f>
        <v>19295.0</v>
      </c>
      <c r="P66" s="34" t="s">
        <v>167</v>
      </c>
      <c r="Q66" s="33" t="n">
        <f>20255</f>
        <v>20255.0</v>
      </c>
      <c r="R66" s="34" t="s">
        <v>51</v>
      </c>
      <c r="S66" s="35" t="n">
        <f>19839.09</f>
        <v>19839.09</v>
      </c>
      <c r="T66" s="32" t="n">
        <f>36263</f>
        <v>36263.0</v>
      </c>
      <c r="U66" s="32" t="str">
        <f>"－"</f>
        <v>－</v>
      </c>
      <c r="V66" s="32" t="n">
        <f>702779310</f>
        <v>7.0277931E8</v>
      </c>
      <c r="W66" s="32" t="str">
        <f>"－"</f>
        <v>－</v>
      </c>
      <c r="X66" s="36" t="n">
        <f>22</f>
        <v>22.0</v>
      </c>
    </row>
    <row r="67">
      <c r="A67" s="27" t="s">
        <v>42</v>
      </c>
      <c r="B67" s="27" t="s">
        <v>243</v>
      </c>
      <c r="C67" s="27" t="s">
        <v>244</v>
      </c>
      <c r="D67" s="27" t="s">
        <v>245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32220</f>
        <v>32220.0</v>
      </c>
      <c r="L67" s="34" t="s">
        <v>48</v>
      </c>
      <c r="M67" s="33" t="n">
        <f>34080</f>
        <v>34080.0</v>
      </c>
      <c r="N67" s="34" t="s">
        <v>246</v>
      </c>
      <c r="O67" s="33" t="n">
        <f>32000</f>
        <v>32000.0</v>
      </c>
      <c r="P67" s="34" t="s">
        <v>61</v>
      </c>
      <c r="Q67" s="33" t="n">
        <f>33950</f>
        <v>33950.0</v>
      </c>
      <c r="R67" s="34" t="s">
        <v>51</v>
      </c>
      <c r="S67" s="35" t="n">
        <f>33146.82</f>
        <v>33146.82</v>
      </c>
      <c r="T67" s="32" t="n">
        <f>41036</f>
        <v>41036.0</v>
      </c>
      <c r="U67" s="32" t="n">
        <f>25106</f>
        <v>25106.0</v>
      </c>
      <c r="V67" s="32" t="n">
        <f>1364017070</f>
        <v>1.36401707E9</v>
      </c>
      <c r="W67" s="32" t="n">
        <f>834544660</f>
        <v>8.3454466E8</v>
      </c>
      <c r="X67" s="36" t="n">
        <f>22</f>
        <v>22.0</v>
      </c>
    </row>
    <row r="68">
      <c r="A68" s="27" t="s">
        <v>42</v>
      </c>
      <c r="B68" s="27" t="s">
        <v>247</v>
      </c>
      <c r="C68" s="27" t="s">
        <v>248</v>
      </c>
      <c r="D68" s="27" t="s">
        <v>249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10330</f>
        <v>10330.0</v>
      </c>
      <c r="L68" s="34" t="s">
        <v>48</v>
      </c>
      <c r="M68" s="33" t="n">
        <f>11000</f>
        <v>11000.0</v>
      </c>
      <c r="N68" s="34" t="s">
        <v>250</v>
      </c>
      <c r="O68" s="33" t="n">
        <f>10215</f>
        <v>10215.0</v>
      </c>
      <c r="P68" s="34" t="s">
        <v>48</v>
      </c>
      <c r="Q68" s="33" t="n">
        <f>10620</f>
        <v>10620.0</v>
      </c>
      <c r="R68" s="34" t="s">
        <v>51</v>
      </c>
      <c r="S68" s="35" t="n">
        <f>10532.5</f>
        <v>10532.5</v>
      </c>
      <c r="T68" s="32" t="n">
        <f>14020</f>
        <v>14020.0</v>
      </c>
      <c r="U68" s="32" t="n">
        <f>43</f>
        <v>43.0</v>
      </c>
      <c r="V68" s="32" t="n">
        <f>147664657</f>
        <v>1.47664657E8</v>
      </c>
      <c r="W68" s="32" t="n">
        <f>454422</f>
        <v>454422.0</v>
      </c>
      <c r="X68" s="36" t="n">
        <f>22</f>
        <v>22.0</v>
      </c>
    </row>
    <row r="69">
      <c r="A69" s="27" t="s">
        <v>42</v>
      </c>
      <c r="B69" s="27" t="s">
        <v>251</v>
      </c>
      <c r="C69" s="27" t="s">
        <v>252</v>
      </c>
      <c r="D69" s="27" t="s">
        <v>253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1756</f>
        <v>1756.0</v>
      </c>
      <c r="L69" s="34" t="s">
        <v>48</v>
      </c>
      <c r="M69" s="33" t="n">
        <f>1769</f>
        <v>1769.0</v>
      </c>
      <c r="N69" s="34" t="s">
        <v>61</v>
      </c>
      <c r="O69" s="33" t="n">
        <f>1711</f>
        <v>1711.0</v>
      </c>
      <c r="P69" s="34" t="s">
        <v>69</v>
      </c>
      <c r="Q69" s="33" t="n">
        <f>1740</f>
        <v>1740.0</v>
      </c>
      <c r="R69" s="34" t="s">
        <v>51</v>
      </c>
      <c r="S69" s="35" t="n">
        <f>1740.05</f>
        <v>1740.05</v>
      </c>
      <c r="T69" s="32" t="n">
        <f>2008253</f>
        <v>2008253.0</v>
      </c>
      <c r="U69" s="32" t="n">
        <f>1355009</f>
        <v>1355009.0</v>
      </c>
      <c r="V69" s="32" t="n">
        <f>3475162540</f>
        <v>3.47516254E9</v>
      </c>
      <c r="W69" s="32" t="n">
        <f>2344435358</f>
        <v>2.344435358E9</v>
      </c>
      <c r="X69" s="36" t="n">
        <f>22</f>
        <v>22.0</v>
      </c>
    </row>
    <row r="70">
      <c r="A70" s="27" t="s">
        <v>42</v>
      </c>
      <c r="B70" s="27" t="s">
        <v>254</v>
      </c>
      <c r="C70" s="27" t="s">
        <v>255</v>
      </c>
      <c r="D70" s="27" t="s">
        <v>256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1841</f>
        <v>1841.0</v>
      </c>
      <c r="L70" s="34" t="s">
        <v>48</v>
      </c>
      <c r="M70" s="33" t="n">
        <f>1856</f>
        <v>1856.0</v>
      </c>
      <c r="N70" s="34" t="s">
        <v>167</v>
      </c>
      <c r="O70" s="33" t="n">
        <f>1804</f>
        <v>1804.0</v>
      </c>
      <c r="P70" s="34" t="s">
        <v>69</v>
      </c>
      <c r="Q70" s="33" t="n">
        <f>1816</f>
        <v>1816.0</v>
      </c>
      <c r="R70" s="34" t="s">
        <v>51</v>
      </c>
      <c r="S70" s="35" t="n">
        <f>1823.45</f>
        <v>1823.45</v>
      </c>
      <c r="T70" s="32" t="n">
        <f>344632</f>
        <v>344632.0</v>
      </c>
      <c r="U70" s="32" t="str">
        <f>"－"</f>
        <v>－</v>
      </c>
      <c r="V70" s="32" t="n">
        <f>628600522</f>
        <v>6.28600522E8</v>
      </c>
      <c r="W70" s="32" t="str">
        <f>"－"</f>
        <v>－</v>
      </c>
      <c r="X70" s="36" t="n">
        <f>22</f>
        <v>22.0</v>
      </c>
    </row>
    <row r="71">
      <c r="A71" s="27" t="s">
        <v>42</v>
      </c>
      <c r="B71" s="27" t="s">
        <v>257</v>
      </c>
      <c r="C71" s="27" t="s">
        <v>258</v>
      </c>
      <c r="D71" s="27" t="s">
        <v>259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22645</f>
        <v>22645.0</v>
      </c>
      <c r="L71" s="34" t="s">
        <v>48</v>
      </c>
      <c r="M71" s="33" t="n">
        <f>23500</f>
        <v>23500.0</v>
      </c>
      <c r="N71" s="34" t="s">
        <v>49</v>
      </c>
      <c r="O71" s="33" t="n">
        <f>21935</f>
        <v>21935.0</v>
      </c>
      <c r="P71" s="34" t="s">
        <v>50</v>
      </c>
      <c r="Q71" s="33" t="n">
        <f>23130</f>
        <v>23130.0</v>
      </c>
      <c r="R71" s="34" t="s">
        <v>51</v>
      </c>
      <c r="S71" s="35" t="n">
        <f>22479.09</f>
        <v>22479.09</v>
      </c>
      <c r="T71" s="32" t="n">
        <f>22079</f>
        <v>22079.0</v>
      </c>
      <c r="U71" s="32" t="n">
        <f>21001</f>
        <v>21001.0</v>
      </c>
      <c r="V71" s="32" t="n">
        <f>512058550</f>
        <v>5.1205855E8</v>
      </c>
      <c r="W71" s="32" t="n">
        <f>487646685</f>
        <v>4.87646685E8</v>
      </c>
      <c r="X71" s="36" t="n">
        <f>22</f>
        <v>22.0</v>
      </c>
    </row>
    <row r="72">
      <c r="A72" s="27" t="s">
        <v>42</v>
      </c>
      <c r="B72" s="27" t="s">
        <v>260</v>
      </c>
      <c r="C72" s="27" t="s">
        <v>261</v>
      </c>
      <c r="D72" s="27" t="s">
        <v>262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9003</f>
        <v>9003.0</v>
      </c>
      <c r="L72" s="34" t="s">
        <v>48</v>
      </c>
      <c r="M72" s="33" t="n">
        <f>9147</f>
        <v>9147.0</v>
      </c>
      <c r="N72" s="34" t="s">
        <v>65</v>
      </c>
      <c r="O72" s="33" t="n">
        <f>8960</f>
        <v>8960.0</v>
      </c>
      <c r="P72" s="34" t="s">
        <v>212</v>
      </c>
      <c r="Q72" s="33" t="n">
        <f>8972</f>
        <v>8972.0</v>
      </c>
      <c r="R72" s="34" t="s">
        <v>51</v>
      </c>
      <c r="S72" s="35" t="n">
        <f>9034.09</f>
        <v>9034.09</v>
      </c>
      <c r="T72" s="32" t="n">
        <f>3633</f>
        <v>3633.0</v>
      </c>
      <c r="U72" s="32" t="n">
        <f>56</f>
        <v>56.0</v>
      </c>
      <c r="V72" s="32" t="n">
        <f>32767486</f>
        <v>3.2767486E7</v>
      </c>
      <c r="W72" s="32" t="n">
        <f>503502</f>
        <v>503502.0</v>
      </c>
      <c r="X72" s="36" t="n">
        <f>22</f>
        <v>22.0</v>
      </c>
    </row>
    <row r="73">
      <c r="A73" s="27" t="s">
        <v>42</v>
      </c>
      <c r="B73" s="27" t="s">
        <v>263</v>
      </c>
      <c r="C73" s="27" t="s">
        <v>264</v>
      </c>
      <c r="D73" s="27" t="s">
        <v>265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14430</f>
        <v>14430.0</v>
      </c>
      <c r="L73" s="34" t="s">
        <v>48</v>
      </c>
      <c r="M73" s="33" t="n">
        <f>15220</f>
        <v>15220.0</v>
      </c>
      <c r="N73" s="34" t="s">
        <v>88</v>
      </c>
      <c r="O73" s="33" t="n">
        <f>14390</f>
        <v>14390.0</v>
      </c>
      <c r="P73" s="34" t="s">
        <v>48</v>
      </c>
      <c r="Q73" s="33" t="n">
        <f>14855</f>
        <v>14855.0</v>
      </c>
      <c r="R73" s="34" t="s">
        <v>51</v>
      </c>
      <c r="S73" s="35" t="n">
        <f>14831.36</f>
        <v>14831.36</v>
      </c>
      <c r="T73" s="32" t="n">
        <f>7074377</f>
        <v>7074377.0</v>
      </c>
      <c r="U73" s="32" t="n">
        <f>554917</f>
        <v>554917.0</v>
      </c>
      <c r="V73" s="32" t="n">
        <f>104913585751</f>
        <v>1.04913585751E11</v>
      </c>
      <c r="W73" s="32" t="n">
        <f>8299767341</f>
        <v>8.299767341E9</v>
      </c>
      <c r="X73" s="36" t="n">
        <f>22</f>
        <v>22.0</v>
      </c>
    </row>
    <row r="74">
      <c r="A74" s="27" t="s">
        <v>42</v>
      </c>
      <c r="B74" s="27" t="s">
        <v>266</v>
      </c>
      <c r="C74" s="27" t="s">
        <v>267</v>
      </c>
      <c r="D74" s="27" t="s">
        <v>268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5858</f>
        <v>5858.0</v>
      </c>
      <c r="L74" s="34" t="s">
        <v>48</v>
      </c>
      <c r="M74" s="33" t="n">
        <f>6533</f>
        <v>6533.0</v>
      </c>
      <c r="N74" s="34" t="s">
        <v>269</v>
      </c>
      <c r="O74" s="33" t="n">
        <f>5750</f>
        <v>5750.0</v>
      </c>
      <c r="P74" s="34" t="s">
        <v>61</v>
      </c>
      <c r="Q74" s="33" t="n">
        <f>5877</f>
        <v>5877.0</v>
      </c>
      <c r="R74" s="34" t="s">
        <v>51</v>
      </c>
      <c r="S74" s="35" t="n">
        <f>6066.73</f>
        <v>6066.73</v>
      </c>
      <c r="T74" s="32" t="n">
        <f>1708345</f>
        <v>1708345.0</v>
      </c>
      <c r="U74" s="32" t="n">
        <f>6600</f>
        <v>6600.0</v>
      </c>
      <c r="V74" s="32" t="n">
        <f>10438859177</f>
        <v>1.0438859177E10</v>
      </c>
      <c r="W74" s="32" t="n">
        <f>40418855</f>
        <v>4.0418855E7</v>
      </c>
      <c r="X74" s="36" t="n">
        <f>22</f>
        <v>22.0</v>
      </c>
    </row>
    <row r="75">
      <c r="A75" s="27" t="s">
        <v>42</v>
      </c>
      <c r="B75" s="27" t="s">
        <v>270</v>
      </c>
      <c r="C75" s="27" t="s">
        <v>271</v>
      </c>
      <c r="D75" s="27" t="s">
        <v>272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15370</f>
        <v>15370.0</v>
      </c>
      <c r="L75" s="34" t="s">
        <v>48</v>
      </c>
      <c r="M75" s="33" t="n">
        <f>17290</f>
        <v>17290.0</v>
      </c>
      <c r="N75" s="34" t="s">
        <v>212</v>
      </c>
      <c r="O75" s="33" t="n">
        <f>15215</f>
        <v>15215.0</v>
      </c>
      <c r="P75" s="34" t="s">
        <v>48</v>
      </c>
      <c r="Q75" s="33" t="n">
        <f>16370</f>
        <v>16370.0</v>
      </c>
      <c r="R75" s="34" t="s">
        <v>51</v>
      </c>
      <c r="S75" s="35" t="n">
        <f>16395.91</f>
        <v>16395.91</v>
      </c>
      <c r="T75" s="32" t="n">
        <f>838434</f>
        <v>838434.0</v>
      </c>
      <c r="U75" s="32" t="n">
        <f>10996</f>
        <v>10996.0</v>
      </c>
      <c r="V75" s="32" t="n">
        <f>13856114436</f>
        <v>1.3856114436E10</v>
      </c>
      <c r="W75" s="32" t="n">
        <f>179909541</f>
        <v>1.79909541E8</v>
      </c>
      <c r="X75" s="36" t="n">
        <f>22</f>
        <v>22.0</v>
      </c>
    </row>
    <row r="76">
      <c r="A76" s="27" t="s">
        <v>42</v>
      </c>
      <c r="B76" s="27" t="s">
        <v>273</v>
      </c>
      <c r="C76" s="27" t="s">
        <v>274</v>
      </c>
      <c r="D76" s="27" t="s">
        <v>275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46960</f>
        <v>46960.0</v>
      </c>
      <c r="L76" s="34" t="s">
        <v>48</v>
      </c>
      <c r="M76" s="33" t="n">
        <f>56370</f>
        <v>56370.0</v>
      </c>
      <c r="N76" s="34" t="s">
        <v>269</v>
      </c>
      <c r="O76" s="33" t="n">
        <f>45800</f>
        <v>45800.0</v>
      </c>
      <c r="P76" s="34" t="s">
        <v>61</v>
      </c>
      <c r="Q76" s="33" t="n">
        <f>51760</f>
        <v>51760.0</v>
      </c>
      <c r="R76" s="34" t="s">
        <v>51</v>
      </c>
      <c r="S76" s="35" t="n">
        <f>50011.82</f>
        <v>50011.82</v>
      </c>
      <c r="T76" s="32" t="n">
        <f>46755</f>
        <v>46755.0</v>
      </c>
      <c r="U76" s="32" t="n">
        <f>520</f>
        <v>520.0</v>
      </c>
      <c r="V76" s="32" t="n">
        <f>2380643674</f>
        <v>2.380643674E9</v>
      </c>
      <c r="W76" s="32" t="n">
        <f>27173974</f>
        <v>2.7173974E7</v>
      </c>
      <c r="X76" s="36" t="n">
        <f>22</f>
        <v>22.0</v>
      </c>
    </row>
    <row r="77">
      <c r="A77" s="27" t="s">
        <v>42</v>
      </c>
      <c r="B77" s="27" t="s">
        <v>276</v>
      </c>
      <c r="C77" s="27" t="s">
        <v>277</v>
      </c>
      <c r="D77" s="27" t="s">
        <v>278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33010</f>
        <v>33010.0</v>
      </c>
      <c r="L77" s="34" t="s">
        <v>48</v>
      </c>
      <c r="M77" s="33" t="n">
        <f>35730</f>
        <v>35730.0</v>
      </c>
      <c r="N77" s="34" t="s">
        <v>51</v>
      </c>
      <c r="O77" s="33" t="n">
        <f>32650</f>
        <v>32650.0</v>
      </c>
      <c r="P77" s="34" t="s">
        <v>61</v>
      </c>
      <c r="Q77" s="33" t="n">
        <f>35640</f>
        <v>35640.0</v>
      </c>
      <c r="R77" s="34" t="s">
        <v>51</v>
      </c>
      <c r="S77" s="35" t="n">
        <f>34163.18</f>
        <v>34163.18</v>
      </c>
      <c r="T77" s="32" t="n">
        <f>1026122</f>
        <v>1026122.0</v>
      </c>
      <c r="U77" s="32" t="n">
        <f>18897</f>
        <v>18897.0</v>
      </c>
      <c r="V77" s="32" t="n">
        <f>35278846139</f>
        <v>3.5278846139E10</v>
      </c>
      <c r="W77" s="32" t="n">
        <f>658309219</f>
        <v>6.58309219E8</v>
      </c>
      <c r="X77" s="36" t="n">
        <f>22</f>
        <v>22.0</v>
      </c>
    </row>
    <row r="78">
      <c r="A78" s="27" t="s">
        <v>42</v>
      </c>
      <c r="B78" s="27" t="s">
        <v>279</v>
      </c>
      <c r="C78" s="27" t="s">
        <v>280</v>
      </c>
      <c r="D78" s="27" t="s">
        <v>281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62150</f>
        <v>62150.0</v>
      </c>
      <c r="L78" s="34" t="s">
        <v>48</v>
      </c>
      <c r="M78" s="33" t="n">
        <f>65570</f>
        <v>65570.0</v>
      </c>
      <c r="N78" s="34" t="s">
        <v>70</v>
      </c>
      <c r="O78" s="33" t="n">
        <f>62000</f>
        <v>62000.0</v>
      </c>
      <c r="P78" s="34" t="s">
        <v>48</v>
      </c>
      <c r="Q78" s="33" t="n">
        <f>65140</f>
        <v>65140.0</v>
      </c>
      <c r="R78" s="34" t="s">
        <v>51</v>
      </c>
      <c r="S78" s="35" t="n">
        <f>64098.18</f>
        <v>64098.18</v>
      </c>
      <c r="T78" s="32" t="n">
        <f>48993</f>
        <v>48993.0</v>
      </c>
      <c r="U78" s="32" t="n">
        <f>783</f>
        <v>783.0</v>
      </c>
      <c r="V78" s="32" t="n">
        <f>3141395879</f>
        <v>3.141395879E9</v>
      </c>
      <c r="W78" s="32" t="n">
        <f>49933259</f>
        <v>4.9933259E7</v>
      </c>
      <c r="X78" s="36" t="n">
        <f>22</f>
        <v>22.0</v>
      </c>
    </row>
    <row r="79">
      <c r="A79" s="27" t="s">
        <v>42</v>
      </c>
      <c r="B79" s="27" t="s">
        <v>282</v>
      </c>
      <c r="C79" s="27" t="s">
        <v>283</v>
      </c>
      <c r="D79" s="27" t="s">
        <v>284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9701</f>
        <v>9701.0</v>
      </c>
      <c r="L79" s="34" t="s">
        <v>48</v>
      </c>
      <c r="M79" s="33" t="n">
        <f>10430</f>
        <v>10430.0</v>
      </c>
      <c r="N79" s="34" t="s">
        <v>51</v>
      </c>
      <c r="O79" s="33" t="n">
        <f>9669</f>
        <v>9669.0</v>
      </c>
      <c r="P79" s="34" t="s">
        <v>48</v>
      </c>
      <c r="Q79" s="33" t="n">
        <f>10400</f>
        <v>10400.0</v>
      </c>
      <c r="R79" s="34" t="s">
        <v>51</v>
      </c>
      <c r="S79" s="35" t="n">
        <f>10049.05</f>
        <v>10049.05</v>
      </c>
      <c r="T79" s="32" t="n">
        <f>884450</f>
        <v>884450.0</v>
      </c>
      <c r="U79" s="32" t="n">
        <f>257757</f>
        <v>257757.0</v>
      </c>
      <c r="V79" s="32" t="n">
        <f>8981804675</f>
        <v>8.981804675E9</v>
      </c>
      <c r="W79" s="32" t="n">
        <f>2675591080</f>
        <v>2.67559108E9</v>
      </c>
      <c r="X79" s="36" t="n">
        <f>22</f>
        <v>22.0</v>
      </c>
    </row>
    <row r="80">
      <c r="A80" s="27" t="s">
        <v>42</v>
      </c>
      <c r="B80" s="27" t="s">
        <v>285</v>
      </c>
      <c r="C80" s="27" t="s">
        <v>286</v>
      </c>
      <c r="D80" s="27" t="s">
        <v>287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6022</f>
        <v>6022.0</v>
      </c>
      <c r="L80" s="34" t="s">
        <v>48</v>
      </c>
      <c r="M80" s="33" t="n">
        <f>6400</f>
        <v>6400.0</v>
      </c>
      <c r="N80" s="34" t="s">
        <v>51</v>
      </c>
      <c r="O80" s="33" t="n">
        <f>6000</f>
        <v>6000.0</v>
      </c>
      <c r="P80" s="34" t="s">
        <v>61</v>
      </c>
      <c r="Q80" s="33" t="n">
        <f>6381</f>
        <v>6381.0</v>
      </c>
      <c r="R80" s="34" t="s">
        <v>51</v>
      </c>
      <c r="S80" s="35" t="n">
        <f>6206.68</f>
        <v>6206.68</v>
      </c>
      <c r="T80" s="32" t="n">
        <f>124130</f>
        <v>124130.0</v>
      </c>
      <c r="U80" s="32" t="n">
        <f>18840</f>
        <v>18840.0</v>
      </c>
      <c r="V80" s="32" t="n">
        <f>769735216</f>
        <v>7.69735216E8</v>
      </c>
      <c r="W80" s="32" t="n">
        <f>116300906</f>
        <v>1.16300906E8</v>
      </c>
      <c r="X80" s="36" t="n">
        <f>22</f>
        <v>22.0</v>
      </c>
    </row>
    <row r="81">
      <c r="A81" s="27" t="s">
        <v>42</v>
      </c>
      <c r="B81" s="27" t="s">
        <v>288</v>
      </c>
      <c r="C81" s="27" t="s">
        <v>289</v>
      </c>
      <c r="D81" s="27" t="s">
        <v>290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5850</f>
        <v>5850.0</v>
      </c>
      <c r="L81" s="34" t="s">
        <v>48</v>
      </c>
      <c r="M81" s="33" t="n">
        <f>5980</f>
        <v>5980.0</v>
      </c>
      <c r="N81" s="34" t="s">
        <v>49</v>
      </c>
      <c r="O81" s="33" t="n">
        <f>5725</f>
        <v>5725.0</v>
      </c>
      <c r="P81" s="34" t="s">
        <v>180</v>
      </c>
      <c r="Q81" s="33" t="n">
        <f>5869</f>
        <v>5869.0</v>
      </c>
      <c r="R81" s="34" t="s">
        <v>51</v>
      </c>
      <c r="S81" s="35" t="n">
        <f>5846.81</f>
        <v>5846.81</v>
      </c>
      <c r="T81" s="32" t="n">
        <f>6450</f>
        <v>6450.0</v>
      </c>
      <c r="U81" s="32" t="n">
        <f>420</f>
        <v>420.0</v>
      </c>
      <c r="V81" s="32" t="n">
        <f>37761550</f>
        <v>3.776155E7</v>
      </c>
      <c r="W81" s="32" t="n">
        <f>2470080</f>
        <v>2470080.0</v>
      </c>
      <c r="X81" s="36" t="n">
        <f>21</f>
        <v>21.0</v>
      </c>
    </row>
    <row r="82">
      <c r="A82" s="27" t="s">
        <v>42</v>
      </c>
      <c r="B82" s="27" t="s">
        <v>291</v>
      </c>
      <c r="C82" s="27" t="s">
        <v>292</v>
      </c>
      <c r="D82" s="27" t="s">
        <v>293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4979</f>
        <v>4979.0</v>
      </c>
      <c r="L82" s="34" t="s">
        <v>48</v>
      </c>
      <c r="M82" s="33" t="n">
        <f>5292</f>
        <v>5292.0</v>
      </c>
      <c r="N82" s="34" t="s">
        <v>51</v>
      </c>
      <c r="O82" s="33" t="n">
        <f>4953</f>
        <v>4953.0</v>
      </c>
      <c r="P82" s="34" t="s">
        <v>48</v>
      </c>
      <c r="Q82" s="33" t="n">
        <f>5272</f>
        <v>5272.0</v>
      </c>
      <c r="R82" s="34" t="s">
        <v>51</v>
      </c>
      <c r="S82" s="35" t="n">
        <f>5135.32</f>
        <v>5135.32</v>
      </c>
      <c r="T82" s="32" t="n">
        <f>148680</f>
        <v>148680.0</v>
      </c>
      <c r="U82" s="32" t="n">
        <f>340</f>
        <v>340.0</v>
      </c>
      <c r="V82" s="32" t="n">
        <f>766047160</f>
        <v>7.6604716E8</v>
      </c>
      <c r="W82" s="32" t="n">
        <f>1788630</f>
        <v>1788630.0</v>
      </c>
      <c r="X82" s="36" t="n">
        <f>22</f>
        <v>22.0</v>
      </c>
    </row>
    <row r="83">
      <c r="A83" s="27" t="s">
        <v>42</v>
      </c>
      <c r="B83" s="27" t="s">
        <v>294</v>
      </c>
      <c r="C83" s="27" t="s">
        <v>295</v>
      </c>
      <c r="D83" s="27" t="s">
        <v>296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2258</f>
        <v>2258.0</v>
      </c>
      <c r="L83" s="34" t="s">
        <v>48</v>
      </c>
      <c r="M83" s="33" t="n">
        <f>2363</f>
        <v>2363.0</v>
      </c>
      <c r="N83" s="34" t="s">
        <v>49</v>
      </c>
      <c r="O83" s="33" t="n">
        <f>2248</f>
        <v>2248.0</v>
      </c>
      <c r="P83" s="34" t="s">
        <v>118</v>
      </c>
      <c r="Q83" s="33" t="n">
        <f>2345</f>
        <v>2345.0</v>
      </c>
      <c r="R83" s="34" t="s">
        <v>51</v>
      </c>
      <c r="S83" s="35" t="n">
        <f>2323.09</f>
        <v>2323.09</v>
      </c>
      <c r="T83" s="32" t="n">
        <f>39877</f>
        <v>39877.0</v>
      </c>
      <c r="U83" s="32" t="n">
        <f>170</f>
        <v>170.0</v>
      </c>
      <c r="V83" s="32" t="n">
        <f>92253648</f>
        <v>9.2253648E7</v>
      </c>
      <c r="W83" s="32" t="n">
        <f>398742</f>
        <v>398742.0</v>
      </c>
      <c r="X83" s="36" t="n">
        <f>22</f>
        <v>22.0</v>
      </c>
    </row>
    <row r="84">
      <c r="A84" s="27" t="s">
        <v>42</v>
      </c>
      <c r="B84" s="27" t="s">
        <v>297</v>
      </c>
      <c r="C84" s="27" t="s">
        <v>298</v>
      </c>
      <c r="D84" s="27" t="s">
        <v>299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88870</f>
        <v>88870.0</v>
      </c>
      <c r="L84" s="34" t="s">
        <v>48</v>
      </c>
      <c r="M84" s="33" t="n">
        <f>95550</f>
        <v>95550.0</v>
      </c>
      <c r="N84" s="34" t="s">
        <v>51</v>
      </c>
      <c r="O84" s="33" t="n">
        <f>88540</f>
        <v>88540.0</v>
      </c>
      <c r="P84" s="34" t="s">
        <v>48</v>
      </c>
      <c r="Q84" s="33" t="n">
        <f>95240</f>
        <v>95240.0</v>
      </c>
      <c r="R84" s="34" t="s">
        <v>51</v>
      </c>
      <c r="S84" s="35" t="n">
        <f>92065</f>
        <v>92065.0</v>
      </c>
      <c r="T84" s="32" t="n">
        <f>61112</f>
        <v>61112.0</v>
      </c>
      <c r="U84" s="32" t="n">
        <f>692</f>
        <v>692.0</v>
      </c>
      <c r="V84" s="32" t="n">
        <f>5641333980</f>
        <v>5.64133398E9</v>
      </c>
      <c r="W84" s="32" t="n">
        <f>63501650</f>
        <v>6.350165E7</v>
      </c>
      <c r="X84" s="36" t="n">
        <f>22</f>
        <v>22.0</v>
      </c>
    </row>
    <row r="85">
      <c r="A85" s="27" t="s">
        <v>42</v>
      </c>
      <c r="B85" s="27" t="s">
        <v>300</v>
      </c>
      <c r="C85" s="27" t="s">
        <v>301</v>
      </c>
      <c r="D85" s="27" t="s">
        <v>302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3139</f>
        <v>3139.0</v>
      </c>
      <c r="L85" s="34" t="s">
        <v>48</v>
      </c>
      <c r="M85" s="33" t="n">
        <f>3521</f>
        <v>3521.0</v>
      </c>
      <c r="N85" s="34" t="s">
        <v>51</v>
      </c>
      <c r="O85" s="33" t="n">
        <f>3062</f>
        <v>3062.0</v>
      </c>
      <c r="P85" s="34" t="s">
        <v>50</v>
      </c>
      <c r="Q85" s="33" t="n">
        <f>3468</f>
        <v>3468.0</v>
      </c>
      <c r="R85" s="34" t="s">
        <v>51</v>
      </c>
      <c r="S85" s="35" t="n">
        <f>3255.86</f>
        <v>3255.86</v>
      </c>
      <c r="T85" s="32" t="n">
        <f>11078</f>
        <v>11078.0</v>
      </c>
      <c r="U85" s="32" t="str">
        <f>"－"</f>
        <v>－</v>
      </c>
      <c r="V85" s="32" t="n">
        <f>36458751</f>
        <v>3.6458751E7</v>
      </c>
      <c r="W85" s="32" t="str">
        <f>"－"</f>
        <v>－</v>
      </c>
      <c r="X85" s="36" t="n">
        <f>22</f>
        <v>22.0</v>
      </c>
    </row>
    <row r="86">
      <c r="A86" s="27" t="s">
        <v>42</v>
      </c>
      <c r="B86" s="27" t="s">
        <v>303</v>
      </c>
      <c r="C86" s="27" t="s">
        <v>304</v>
      </c>
      <c r="D86" s="27" t="s">
        <v>305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5066</f>
        <v>5066.0</v>
      </c>
      <c r="L86" s="34" t="s">
        <v>48</v>
      </c>
      <c r="M86" s="33" t="n">
        <f>5338</f>
        <v>5338.0</v>
      </c>
      <c r="N86" s="34" t="s">
        <v>51</v>
      </c>
      <c r="O86" s="33" t="n">
        <f>5030</f>
        <v>5030.0</v>
      </c>
      <c r="P86" s="34" t="s">
        <v>48</v>
      </c>
      <c r="Q86" s="33" t="n">
        <f>5220</f>
        <v>5220.0</v>
      </c>
      <c r="R86" s="34" t="s">
        <v>51</v>
      </c>
      <c r="S86" s="35" t="n">
        <f>5190.27</f>
        <v>5190.27</v>
      </c>
      <c r="T86" s="32" t="n">
        <f>3968</f>
        <v>3968.0</v>
      </c>
      <c r="U86" s="32" t="str">
        <f>"－"</f>
        <v>－</v>
      </c>
      <c r="V86" s="32" t="n">
        <f>20644991</f>
        <v>2.0644991E7</v>
      </c>
      <c r="W86" s="32" t="str">
        <f>"－"</f>
        <v>－</v>
      </c>
      <c r="X86" s="36" t="n">
        <f>22</f>
        <v>22.0</v>
      </c>
    </row>
    <row r="87">
      <c r="A87" s="27" t="s">
        <v>42</v>
      </c>
      <c r="B87" s="27" t="s">
        <v>306</v>
      </c>
      <c r="C87" s="27" t="s">
        <v>307</v>
      </c>
      <c r="D87" s="27" t="s">
        <v>308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2519</f>
        <v>2519.0</v>
      </c>
      <c r="L87" s="34" t="s">
        <v>48</v>
      </c>
      <c r="M87" s="33" t="n">
        <f>2520</f>
        <v>2520.0</v>
      </c>
      <c r="N87" s="34" t="s">
        <v>48</v>
      </c>
      <c r="O87" s="33" t="n">
        <f>2380</f>
        <v>2380.0</v>
      </c>
      <c r="P87" s="34" t="s">
        <v>167</v>
      </c>
      <c r="Q87" s="33" t="n">
        <f>2455</f>
        <v>2455.0</v>
      </c>
      <c r="R87" s="34" t="s">
        <v>51</v>
      </c>
      <c r="S87" s="35" t="n">
        <f>2432.91</f>
        <v>2432.91</v>
      </c>
      <c r="T87" s="32" t="n">
        <f>335318</f>
        <v>335318.0</v>
      </c>
      <c r="U87" s="32" t="n">
        <f>298</f>
        <v>298.0</v>
      </c>
      <c r="V87" s="32" t="n">
        <f>815897984</f>
        <v>8.15897984E8</v>
      </c>
      <c r="W87" s="32" t="n">
        <f>726693</f>
        <v>726693.0</v>
      </c>
      <c r="X87" s="36" t="n">
        <f>22</f>
        <v>22.0</v>
      </c>
    </row>
    <row r="88">
      <c r="A88" s="27" t="s">
        <v>42</v>
      </c>
      <c r="B88" s="27" t="s">
        <v>309</v>
      </c>
      <c r="C88" s="27" t="s">
        <v>310</v>
      </c>
      <c r="D88" s="27" t="s">
        <v>311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49490</f>
        <v>49490.0</v>
      </c>
      <c r="L88" s="34" t="s">
        <v>48</v>
      </c>
      <c r="M88" s="33" t="n">
        <f>50580</f>
        <v>50580.0</v>
      </c>
      <c r="N88" s="34" t="s">
        <v>69</v>
      </c>
      <c r="O88" s="33" t="n">
        <f>49450</f>
        <v>49450.0</v>
      </c>
      <c r="P88" s="34" t="s">
        <v>48</v>
      </c>
      <c r="Q88" s="33" t="n">
        <f>50240</f>
        <v>50240.0</v>
      </c>
      <c r="R88" s="34" t="s">
        <v>51</v>
      </c>
      <c r="S88" s="35" t="n">
        <f>50021.82</f>
        <v>50021.82</v>
      </c>
      <c r="T88" s="32" t="n">
        <f>11964</f>
        <v>11964.0</v>
      </c>
      <c r="U88" s="32" t="n">
        <f>673</f>
        <v>673.0</v>
      </c>
      <c r="V88" s="32" t="n">
        <f>598956450</f>
        <v>5.9895645E8</v>
      </c>
      <c r="W88" s="32" t="n">
        <f>33880320</f>
        <v>3.388032E7</v>
      </c>
      <c r="X88" s="36" t="n">
        <f>22</f>
        <v>22.0</v>
      </c>
    </row>
    <row r="89">
      <c r="A89" s="27" t="s">
        <v>42</v>
      </c>
      <c r="B89" s="27" t="s">
        <v>312</v>
      </c>
      <c r="C89" s="27" t="s">
        <v>313</v>
      </c>
      <c r="D89" s="27" t="s">
        <v>314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498.3</f>
        <v>498.3</v>
      </c>
      <c r="L89" s="34" t="s">
        <v>48</v>
      </c>
      <c r="M89" s="33" t="n">
        <f>547</f>
        <v>547.0</v>
      </c>
      <c r="N89" s="34" t="s">
        <v>49</v>
      </c>
      <c r="O89" s="33" t="n">
        <f>481.9</f>
        <v>481.9</v>
      </c>
      <c r="P89" s="34" t="s">
        <v>50</v>
      </c>
      <c r="Q89" s="33" t="n">
        <f>530.3</f>
        <v>530.3</v>
      </c>
      <c r="R89" s="34" t="s">
        <v>51</v>
      </c>
      <c r="S89" s="35" t="n">
        <f>502.58</f>
        <v>502.58</v>
      </c>
      <c r="T89" s="32" t="n">
        <f>70415520</f>
        <v>7.041552E7</v>
      </c>
      <c r="U89" s="32" t="n">
        <f>27660</f>
        <v>27660.0</v>
      </c>
      <c r="V89" s="32" t="n">
        <f>35801466427</f>
        <v>3.5801466427E10</v>
      </c>
      <c r="W89" s="32" t="n">
        <f>14500097</f>
        <v>1.4500097E7</v>
      </c>
      <c r="X89" s="36" t="n">
        <f>22</f>
        <v>22.0</v>
      </c>
    </row>
    <row r="90">
      <c r="A90" s="27" t="s">
        <v>42</v>
      </c>
      <c r="B90" s="27" t="s">
        <v>315</v>
      </c>
      <c r="C90" s="27" t="s">
        <v>316</v>
      </c>
      <c r="D90" s="27" t="s">
        <v>317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1133.5</f>
        <v>1133.5</v>
      </c>
      <c r="L90" s="34" t="s">
        <v>48</v>
      </c>
      <c r="M90" s="33" t="n">
        <f>1150.5</f>
        <v>1150.5</v>
      </c>
      <c r="N90" s="34" t="s">
        <v>50</v>
      </c>
      <c r="O90" s="33" t="n">
        <f>1077</f>
        <v>1077.0</v>
      </c>
      <c r="P90" s="34" t="s">
        <v>49</v>
      </c>
      <c r="Q90" s="33" t="n">
        <f>1091.5</f>
        <v>1091.5</v>
      </c>
      <c r="R90" s="34" t="s">
        <v>51</v>
      </c>
      <c r="S90" s="35" t="n">
        <f>1126.11</f>
        <v>1126.11</v>
      </c>
      <c r="T90" s="32" t="n">
        <f>1325780</f>
        <v>1325780.0</v>
      </c>
      <c r="U90" s="32" t="n">
        <f>2160</f>
        <v>2160.0</v>
      </c>
      <c r="V90" s="32" t="n">
        <f>1481121726</f>
        <v>1.481121726E9</v>
      </c>
      <c r="W90" s="32" t="n">
        <f>2372301</f>
        <v>2372301.0</v>
      </c>
      <c r="X90" s="36" t="n">
        <f>22</f>
        <v>22.0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28010</f>
        <v>28010.0</v>
      </c>
      <c r="L91" s="34" t="s">
        <v>48</v>
      </c>
      <c r="M91" s="33" t="n">
        <f>30430</f>
        <v>30430.0</v>
      </c>
      <c r="N91" s="34" t="s">
        <v>49</v>
      </c>
      <c r="O91" s="33" t="n">
        <f>26590</f>
        <v>26590.0</v>
      </c>
      <c r="P91" s="34" t="s">
        <v>65</v>
      </c>
      <c r="Q91" s="33" t="n">
        <f>29015</f>
        <v>29015.0</v>
      </c>
      <c r="R91" s="34" t="s">
        <v>51</v>
      </c>
      <c r="S91" s="35" t="n">
        <f>27779.77</f>
        <v>27779.77</v>
      </c>
      <c r="T91" s="32" t="n">
        <f>79392601</f>
        <v>7.9392601E7</v>
      </c>
      <c r="U91" s="32" t="n">
        <f>519812</f>
        <v>519812.0</v>
      </c>
      <c r="V91" s="32" t="n">
        <f>2222661328682</f>
        <v>2.222661328682E12</v>
      </c>
      <c r="W91" s="32" t="n">
        <f>14791014282</f>
        <v>1.4791014282E10</v>
      </c>
      <c r="X91" s="36" t="n">
        <f>22</f>
        <v>22.0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536</f>
        <v>536.0</v>
      </c>
      <c r="L92" s="34" t="s">
        <v>48</v>
      </c>
      <c r="M92" s="33" t="n">
        <f>550</f>
        <v>550.0</v>
      </c>
      <c r="N92" s="34" t="s">
        <v>65</v>
      </c>
      <c r="O92" s="33" t="n">
        <f>512</f>
        <v>512.0</v>
      </c>
      <c r="P92" s="34" t="s">
        <v>49</v>
      </c>
      <c r="Q92" s="33" t="n">
        <f>525</f>
        <v>525.0</v>
      </c>
      <c r="R92" s="34" t="s">
        <v>51</v>
      </c>
      <c r="S92" s="35" t="n">
        <f>537.55</f>
        <v>537.55</v>
      </c>
      <c r="T92" s="32" t="n">
        <f>31058495</f>
        <v>3.1058495E7</v>
      </c>
      <c r="U92" s="32" t="n">
        <f>7879349</f>
        <v>7879349.0</v>
      </c>
      <c r="V92" s="32" t="n">
        <f>16553739312</f>
        <v>1.6553739312E10</v>
      </c>
      <c r="W92" s="32" t="n">
        <f>4188474078</f>
        <v>4.188474078E9</v>
      </c>
      <c r="X92" s="36" t="n">
        <f>22</f>
        <v>22.0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7011</f>
        <v>7011.0</v>
      </c>
      <c r="L93" s="34" t="s">
        <v>48</v>
      </c>
      <c r="M93" s="33" t="n">
        <f>8030</f>
        <v>8030.0</v>
      </c>
      <c r="N93" s="34" t="s">
        <v>49</v>
      </c>
      <c r="O93" s="33" t="n">
        <f>6710</f>
        <v>6710.0</v>
      </c>
      <c r="P93" s="34" t="s">
        <v>167</v>
      </c>
      <c r="Q93" s="33" t="n">
        <f>7489</f>
        <v>7489.0</v>
      </c>
      <c r="R93" s="34" t="s">
        <v>51</v>
      </c>
      <c r="S93" s="35" t="n">
        <f>7376.77</f>
        <v>7376.77</v>
      </c>
      <c r="T93" s="32" t="n">
        <f>191180</f>
        <v>191180.0</v>
      </c>
      <c r="U93" s="32" t="str">
        <f>"－"</f>
        <v>－</v>
      </c>
      <c r="V93" s="32" t="n">
        <f>1426859510</f>
        <v>1.42685951E9</v>
      </c>
      <c r="W93" s="32" t="str">
        <f>"－"</f>
        <v>－</v>
      </c>
      <c r="X93" s="36" t="n">
        <f>22</f>
        <v>22.0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7608</f>
        <v>7608.0</v>
      </c>
      <c r="L94" s="34" t="s">
        <v>48</v>
      </c>
      <c r="M94" s="33" t="n">
        <f>7847</f>
        <v>7847.0</v>
      </c>
      <c r="N94" s="34" t="s">
        <v>330</v>
      </c>
      <c r="O94" s="33" t="n">
        <f>7220</f>
        <v>7220.0</v>
      </c>
      <c r="P94" s="34" t="s">
        <v>49</v>
      </c>
      <c r="Q94" s="33" t="n">
        <f>7666</f>
        <v>7666.0</v>
      </c>
      <c r="R94" s="34" t="s">
        <v>51</v>
      </c>
      <c r="S94" s="35" t="n">
        <f>7606.95</f>
        <v>7606.95</v>
      </c>
      <c r="T94" s="32" t="n">
        <f>26760</f>
        <v>26760.0</v>
      </c>
      <c r="U94" s="32" t="str">
        <f>"－"</f>
        <v>－</v>
      </c>
      <c r="V94" s="32" t="n">
        <f>201428160</f>
        <v>2.0142816E8</v>
      </c>
      <c r="W94" s="32" t="str">
        <f>"－"</f>
        <v>－</v>
      </c>
      <c r="X94" s="36" t="n">
        <f>22</f>
        <v>22.0</v>
      </c>
    </row>
    <row r="95">
      <c r="A95" s="27" t="s">
        <v>42</v>
      </c>
      <c r="B95" s="27" t="s">
        <v>331</v>
      </c>
      <c r="C95" s="27" t="s">
        <v>332</v>
      </c>
      <c r="D95" s="27" t="s">
        <v>333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38440</f>
        <v>38440.0</v>
      </c>
      <c r="L95" s="34" t="s">
        <v>48</v>
      </c>
      <c r="M95" s="33" t="n">
        <f>41130</f>
        <v>41130.0</v>
      </c>
      <c r="N95" s="34" t="s">
        <v>49</v>
      </c>
      <c r="O95" s="33" t="n">
        <f>38200</f>
        <v>38200.0</v>
      </c>
      <c r="P95" s="34" t="s">
        <v>48</v>
      </c>
      <c r="Q95" s="33" t="n">
        <f>40680</f>
        <v>40680.0</v>
      </c>
      <c r="R95" s="34" t="s">
        <v>51</v>
      </c>
      <c r="S95" s="35" t="n">
        <f>39385</f>
        <v>39385.0</v>
      </c>
      <c r="T95" s="32" t="n">
        <f>106746</f>
        <v>106746.0</v>
      </c>
      <c r="U95" s="32" t="n">
        <f>49333</f>
        <v>49333.0</v>
      </c>
      <c r="V95" s="32" t="n">
        <f>4208554037</f>
        <v>4.208554037E9</v>
      </c>
      <c r="W95" s="32" t="n">
        <f>1945472537</f>
        <v>1.945472537E9</v>
      </c>
      <c r="X95" s="36" t="n">
        <f>22</f>
        <v>22.0</v>
      </c>
    </row>
    <row r="96">
      <c r="A96" s="27" t="s">
        <v>42</v>
      </c>
      <c r="B96" s="27" t="s">
        <v>334</v>
      </c>
      <c r="C96" s="27" t="s">
        <v>335</v>
      </c>
      <c r="D96" s="27" t="s">
        <v>336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3247</f>
        <v>3247.0</v>
      </c>
      <c r="L96" s="34" t="s">
        <v>48</v>
      </c>
      <c r="M96" s="33" t="n">
        <f>3355</f>
        <v>3355.0</v>
      </c>
      <c r="N96" s="34" t="s">
        <v>49</v>
      </c>
      <c r="O96" s="33" t="n">
        <f>3135</f>
        <v>3135.0</v>
      </c>
      <c r="P96" s="34" t="s">
        <v>65</v>
      </c>
      <c r="Q96" s="33" t="n">
        <f>3285</f>
        <v>3285.0</v>
      </c>
      <c r="R96" s="34" t="s">
        <v>51</v>
      </c>
      <c r="S96" s="35" t="n">
        <f>3204.5</f>
        <v>3204.5</v>
      </c>
      <c r="T96" s="32" t="n">
        <f>581454</f>
        <v>581454.0</v>
      </c>
      <c r="U96" s="32" t="n">
        <f>152</f>
        <v>152.0</v>
      </c>
      <c r="V96" s="32" t="n">
        <f>1871261983</f>
        <v>1.871261983E9</v>
      </c>
      <c r="W96" s="32" t="n">
        <f>487480</f>
        <v>487480.0</v>
      </c>
      <c r="X96" s="36" t="n">
        <f>22</f>
        <v>22.0</v>
      </c>
    </row>
    <row r="97">
      <c r="A97" s="27" t="s">
        <v>42</v>
      </c>
      <c r="B97" s="27" t="s">
        <v>337</v>
      </c>
      <c r="C97" s="27" t="s">
        <v>338</v>
      </c>
      <c r="D97" s="27" t="s">
        <v>339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301.5</f>
        <v>301.5</v>
      </c>
      <c r="L97" s="34" t="s">
        <v>48</v>
      </c>
      <c r="M97" s="33" t="n">
        <f>327.6</f>
        <v>327.6</v>
      </c>
      <c r="N97" s="34" t="s">
        <v>49</v>
      </c>
      <c r="O97" s="33" t="n">
        <f>286.2</f>
        <v>286.2</v>
      </c>
      <c r="P97" s="34" t="s">
        <v>65</v>
      </c>
      <c r="Q97" s="33" t="n">
        <f>312.4</f>
        <v>312.4</v>
      </c>
      <c r="R97" s="34" t="s">
        <v>51</v>
      </c>
      <c r="S97" s="35" t="n">
        <f>298.97</f>
        <v>298.97</v>
      </c>
      <c r="T97" s="32" t="n">
        <f>597179630</f>
        <v>5.9717963E8</v>
      </c>
      <c r="U97" s="32" t="n">
        <f>14919650</f>
        <v>1.491965E7</v>
      </c>
      <c r="V97" s="32" t="n">
        <f>179287990288</f>
        <v>1.79287990288E11</v>
      </c>
      <c r="W97" s="32" t="n">
        <f>4498195146</f>
        <v>4.498195146E9</v>
      </c>
      <c r="X97" s="36" t="n">
        <f>22</f>
        <v>22.0</v>
      </c>
    </row>
    <row r="98">
      <c r="A98" s="27" t="s">
        <v>42</v>
      </c>
      <c r="B98" s="27" t="s">
        <v>340</v>
      </c>
      <c r="C98" s="27" t="s">
        <v>341</v>
      </c>
      <c r="D98" s="27" t="s">
        <v>342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1424.5</f>
        <v>1424.5</v>
      </c>
      <c r="L98" s="34" t="s">
        <v>48</v>
      </c>
      <c r="M98" s="33" t="n">
        <f>1460.5</f>
        <v>1460.5</v>
      </c>
      <c r="N98" s="34" t="s">
        <v>65</v>
      </c>
      <c r="O98" s="33" t="n">
        <f>1361</f>
        <v>1361.0</v>
      </c>
      <c r="P98" s="34" t="s">
        <v>49</v>
      </c>
      <c r="Q98" s="33" t="n">
        <f>1393</f>
        <v>1393.0</v>
      </c>
      <c r="R98" s="34" t="s">
        <v>51</v>
      </c>
      <c r="S98" s="35" t="n">
        <f>1428</f>
        <v>1428.0</v>
      </c>
      <c r="T98" s="32" t="n">
        <f>7838300</f>
        <v>7838300.0</v>
      </c>
      <c r="U98" s="32" t="n">
        <f>2401430</f>
        <v>2401430.0</v>
      </c>
      <c r="V98" s="32" t="n">
        <f>11159347242</f>
        <v>1.1159347242E10</v>
      </c>
      <c r="W98" s="32" t="n">
        <f>3409014047</f>
        <v>3.409014047E9</v>
      </c>
      <c r="X98" s="36" t="n">
        <f>22</f>
        <v>22.0</v>
      </c>
    </row>
    <row r="99">
      <c r="A99" s="27" t="s">
        <v>42</v>
      </c>
      <c r="B99" s="27" t="s">
        <v>343</v>
      </c>
      <c r="C99" s="27" t="s">
        <v>344</v>
      </c>
      <c r="D99" s="27" t="s">
        <v>345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1939</f>
        <v>1939.0</v>
      </c>
      <c r="L99" s="34" t="s">
        <v>48</v>
      </c>
      <c r="M99" s="33" t="n">
        <f>1987</f>
        <v>1987.0</v>
      </c>
      <c r="N99" s="34" t="s">
        <v>51</v>
      </c>
      <c r="O99" s="33" t="n">
        <f>1887.5</f>
        <v>1887.5</v>
      </c>
      <c r="P99" s="34" t="s">
        <v>65</v>
      </c>
      <c r="Q99" s="33" t="n">
        <f>1987</f>
        <v>1987.0</v>
      </c>
      <c r="R99" s="34" t="s">
        <v>51</v>
      </c>
      <c r="S99" s="35" t="n">
        <f>1925</f>
        <v>1925.0</v>
      </c>
      <c r="T99" s="32" t="n">
        <f>3400</f>
        <v>3400.0</v>
      </c>
      <c r="U99" s="32" t="str">
        <f>"－"</f>
        <v>－</v>
      </c>
      <c r="V99" s="32" t="n">
        <f>6635350</f>
        <v>6635350.0</v>
      </c>
      <c r="W99" s="32" t="str">
        <f>"－"</f>
        <v>－</v>
      </c>
      <c r="X99" s="36" t="n">
        <f>15</f>
        <v>15.0</v>
      </c>
    </row>
    <row r="100">
      <c r="A100" s="27" t="s">
        <v>42</v>
      </c>
      <c r="B100" s="27" t="s">
        <v>346</v>
      </c>
      <c r="C100" s="27" t="s">
        <v>347</v>
      </c>
      <c r="D100" s="27" t="s">
        <v>348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2287</f>
        <v>2287.0</v>
      </c>
      <c r="L100" s="34" t="s">
        <v>48</v>
      </c>
      <c r="M100" s="33" t="n">
        <f>2340</f>
        <v>2340.0</v>
      </c>
      <c r="N100" s="34" t="s">
        <v>49</v>
      </c>
      <c r="O100" s="33" t="n">
        <f>2210</f>
        <v>2210.0</v>
      </c>
      <c r="P100" s="34" t="s">
        <v>50</v>
      </c>
      <c r="Q100" s="33" t="n">
        <f>2310</f>
        <v>2310.0</v>
      </c>
      <c r="R100" s="34" t="s">
        <v>51</v>
      </c>
      <c r="S100" s="35" t="n">
        <f>2257.41</f>
        <v>2257.41</v>
      </c>
      <c r="T100" s="32" t="n">
        <f>203231</f>
        <v>203231.0</v>
      </c>
      <c r="U100" s="32" t="n">
        <f>200002</f>
        <v>200002.0</v>
      </c>
      <c r="V100" s="32" t="n">
        <f>458987095</f>
        <v>4.58987095E8</v>
      </c>
      <c r="W100" s="32" t="n">
        <f>451635527</f>
        <v>4.51635527E8</v>
      </c>
      <c r="X100" s="36" t="n">
        <f>22</f>
        <v>22.0</v>
      </c>
    </row>
    <row r="101">
      <c r="A101" s="27" t="s">
        <v>42</v>
      </c>
      <c r="B101" s="27" t="s">
        <v>349</v>
      </c>
      <c r="C101" s="27" t="s">
        <v>350</v>
      </c>
      <c r="D101" s="27" t="s">
        <v>351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25930</f>
        <v>25930.0</v>
      </c>
      <c r="L101" s="34" t="s">
        <v>48</v>
      </c>
      <c r="M101" s="33" t="n">
        <f>26995</f>
        <v>26995.0</v>
      </c>
      <c r="N101" s="34" t="s">
        <v>49</v>
      </c>
      <c r="O101" s="33" t="n">
        <f>25410</f>
        <v>25410.0</v>
      </c>
      <c r="P101" s="34" t="s">
        <v>50</v>
      </c>
      <c r="Q101" s="33" t="n">
        <f>26625</f>
        <v>26625.0</v>
      </c>
      <c r="R101" s="34" t="s">
        <v>51</v>
      </c>
      <c r="S101" s="35" t="n">
        <f>25912.27</f>
        <v>25912.27</v>
      </c>
      <c r="T101" s="32" t="n">
        <f>247307</f>
        <v>247307.0</v>
      </c>
      <c r="U101" s="32" t="n">
        <f>183160</f>
        <v>183160.0</v>
      </c>
      <c r="V101" s="32" t="n">
        <f>6365463284</f>
        <v>6.365463284E9</v>
      </c>
      <c r="W101" s="32" t="n">
        <f>4706102864</f>
        <v>4.706102864E9</v>
      </c>
      <c r="X101" s="36" t="n">
        <f>22</f>
        <v>22.0</v>
      </c>
    </row>
    <row r="102">
      <c r="A102" s="27" t="s">
        <v>42</v>
      </c>
      <c r="B102" s="27" t="s">
        <v>352</v>
      </c>
      <c r="C102" s="27" t="s">
        <v>353</v>
      </c>
      <c r="D102" s="27" t="s">
        <v>354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2402</f>
        <v>2402.0</v>
      </c>
      <c r="L102" s="34" t="s">
        <v>48</v>
      </c>
      <c r="M102" s="33" t="n">
        <f>2468</f>
        <v>2468.0</v>
      </c>
      <c r="N102" s="34" t="s">
        <v>49</v>
      </c>
      <c r="O102" s="33" t="n">
        <f>2326</f>
        <v>2326.0</v>
      </c>
      <c r="P102" s="34" t="s">
        <v>50</v>
      </c>
      <c r="Q102" s="33" t="n">
        <f>2434</f>
        <v>2434.0</v>
      </c>
      <c r="R102" s="34" t="s">
        <v>51</v>
      </c>
      <c r="S102" s="35" t="n">
        <f>2376.55</f>
        <v>2376.55</v>
      </c>
      <c r="T102" s="32" t="n">
        <f>683186</f>
        <v>683186.0</v>
      </c>
      <c r="U102" s="32" t="n">
        <f>535169</f>
        <v>535169.0</v>
      </c>
      <c r="V102" s="32" t="n">
        <f>1655718337</f>
        <v>1.655718337E9</v>
      </c>
      <c r="W102" s="32" t="n">
        <f>1300336583</f>
        <v>1.300336583E9</v>
      </c>
      <c r="X102" s="36" t="n">
        <f>22</f>
        <v>22.0</v>
      </c>
    </row>
    <row r="103">
      <c r="A103" s="27" t="s">
        <v>42</v>
      </c>
      <c r="B103" s="27" t="s">
        <v>355</v>
      </c>
      <c r="C103" s="27" t="s">
        <v>356</v>
      </c>
      <c r="D103" s="27" t="s">
        <v>357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26845</f>
        <v>26845.0</v>
      </c>
      <c r="L103" s="34" t="s">
        <v>48</v>
      </c>
      <c r="M103" s="33" t="n">
        <f>27610</f>
        <v>27610.0</v>
      </c>
      <c r="N103" s="34" t="s">
        <v>49</v>
      </c>
      <c r="O103" s="33" t="n">
        <f>26075</f>
        <v>26075.0</v>
      </c>
      <c r="P103" s="34" t="s">
        <v>111</v>
      </c>
      <c r="Q103" s="33" t="n">
        <f>27200</f>
        <v>27200.0</v>
      </c>
      <c r="R103" s="34" t="s">
        <v>51</v>
      </c>
      <c r="S103" s="35" t="n">
        <f>26660.23</f>
        <v>26660.23</v>
      </c>
      <c r="T103" s="32" t="n">
        <f>78941</f>
        <v>78941.0</v>
      </c>
      <c r="U103" s="32" t="n">
        <f>50774</f>
        <v>50774.0</v>
      </c>
      <c r="V103" s="32" t="n">
        <f>2135554700</f>
        <v>2.1355547E9</v>
      </c>
      <c r="W103" s="32" t="n">
        <f>1384018395</f>
        <v>1.384018395E9</v>
      </c>
      <c r="X103" s="36" t="n">
        <f>22</f>
        <v>22.0</v>
      </c>
    </row>
    <row r="104">
      <c r="A104" s="27" t="s">
        <v>42</v>
      </c>
      <c r="B104" s="27" t="s">
        <v>358</v>
      </c>
      <c r="C104" s="27" t="s">
        <v>359</v>
      </c>
      <c r="D104" s="27" t="s">
        <v>360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1826.5</f>
        <v>1826.5</v>
      </c>
      <c r="L104" s="34" t="s">
        <v>48</v>
      </c>
      <c r="M104" s="33" t="n">
        <f>1904.5</f>
        <v>1904.5</v>
      </c>
      <c r="N104" s="34" t="s">
        <v>104</v>
      </c>
      <c r="O104" s="33" t="n">
        <f>1822</f>
        <v>1822.0</v>
      </c>
      <c r="P104" s="34" t="s">
        <v>48</v>
      </c>
      <c r="Q104" s="33" t="n">
        <f>1900.5</f>
        <v>1900.5</v>
      </c>
      <c r="R104" s="34" t="s">
        <v>51</v>
      </c>
      <c r="S104" s="35" t="n">
        <f>1850.23</f>
        <v>1850.23</v>
      </c>
      <c r="T104" s="32" t="n">
        <f>2898870</f>
        <v>2898870.0</v>
      </c>
      <c r="U104" s="32" t="n">
        <f>1970520</f>
        <v>1970520.0</v>
      </c>
      <c r="V104" s="32" t="n">
        <f>5397126937</f>
        <v>5.397126937E9</v>
      </c>
      <c r="W104" s="32" t="n">
        <f>3663893932</f>
        <v>3.663893932E9</v>
      </c>
      <c r="X104" s="36" t="n">
        <f>22</f>
        <v>22.0</v>
      </c>
    </row>
    <row r="105">
      <c r="A105" s="27" t="s">
        <v>42</v>
      </c>
      <c r="B105" s="27" t="s">
        <v>361</v>
      </c>
      <c r="C105" s="27" t="s">
        <v>362</v>
      </c>
      <c r="D105" s="27" t="s">
        <v>363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str">
        <f>"－"</f>
        <v>－</v>
      </c>
      <c r="L105" s="34"/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5" t="str">
        <f>"－"</f>
        <v>－</v>
      </c>
      <c r="T105" s="32" t="str">
        <f>"－"</f>
        <v>－</v>
      </c>
      <c r="U105" s="32" t="str">
        <f>"－"</f>
        <v>－</v>
      </c>
      <c r="V105" s="32" t="str">
        <f>"－"</f>
        <v>－</v>
      </c>
      <c r="W105" s="32" t="str">
        <f>"－"</f>
        <v>－</v>
      </c>
      <c r="X105" s="36" t="str">
        <f>"－"</f>
        <v>－</v>
      </c>
    </row>
    <row r="106">
      <c r="A106" s="27" t="s">
        <v>42</v>
      </c>
      <c r="B106" s="27" t="s">
        <v>364</v>
      </c>
      <c r="C106" s="27" t="s">
        <v>365</v>
      </c>
      <c r="D106" s="27" t="s">
        <v>366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1829.5</f>
        <v>1829.5</v>
      </c>
      <c r="L106" s="34" t="s">
        <v>48</v>
      </c>
      <c r="M106" s="33" t="n">
        <f>1926</f>
        <v>1926.0</v>
      </c>
      <c r="N106" s="34" t="s">
        <v>104</v>
      </c>
      <c r="O106" s="33" t="n">
        <f>1824</f>
        <v>1824.0</v>
      </c>
      <c r="P106" s="34" t="s">
        <v>48</v>
      </c>
      <c r="Q106" s="33" t="n">
        <f>1917.5</f>
        <v>1917.5</v>
      </c>
      <c r="R106" s="34" t="s">
        <v>51</v>
      </c>
      <c r="S106" s="35" t="n">
        <f>1862.61</f>
        <v>1862.61</v>
      </c>
      <c r="T106" s="32" t="n">
        <f>10464430</f>
        <v>1.046443E7</v>
      </c>
      <c r="U106" s="32" t="n">
        <f>7816800</f>
        <v>7816800.0</v>
      </c>
      <c r="V106" s="32" t="n">
        <f>19427229127</f>
        <v>1.9427229127E10</v>
      </c>
      <c r="W106" s="32" t="n">
        <f>14498804347</f>
        <v>1.4498804347E10</v>
      </c>
      <c r="X106" s="36" t="n">
        <f>22</f>
        <v>22.0</v>
      </c>
    </row>
    <row r="107">
      <c r="A107" s="27" t="s">
        <v>42</v>
      </c>
      <c r="B107" s="27" t="s">
        <v>367</v>
      </c>
      <c r="C107" s="27" t="s">
        <v>368</v>
      </c>
      <c r="D107" s="27" t="s">
        <v>369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26565</f>
        <v>26565.0</v>
      </c>
      <c r="L107" s="34" t="s">
        <v>48</v>
      </c>
      <c r="M107" s="33" t="n">
        <f>27350</f>
        <v>27350.0</v>
      </c>
      <c r="N107" s="34" t="s">
        <v>49</v>
      </c>
      <c r="O107" s="33" t="n">
        <f>25800</f>
        <v>25800.0</v>
      </c>
      <c r="P107" s="34" t="s">
        <v>50</v>
      </c>
      <c r="Q107" s="33" t="n">
        <f>26925</f>
        <v>26925.0</v>
      </c>
      <c r="R107" s="34" t="s">
        <v>51</v>
      </c>
      <c r="S107" s="35" t="n">
        <f>26366.82</f>
        <v>26366.82</v>
      </c>
      <c r="T107" s="32" t="n">
        <f>4000</f>
        <v>4000.0</v>
      </c>
      <c r="U107" s="32" t="n">
        <f>3</f>
        <v>3.0</v>
      </c>
      <c r="V107" s="32" t="n">
        <f>106272205</f>
        <v>1.06272205E8</v>
      </c>
      <c r="W107" s="32" t="n">
        <f>78755</f>
        <v>78755.0</v>
      </c>
      <c r="X107" s="36" t="n">
        <f>22</f>
        <v>22.0</v>
      </c>
    </row>
    <row r="108">
      <c r="A108" s="27" t="s">
        <v>42</v>
      </c>
      <c r="B108" s="27" t="s">
        <v>370</v>
      </c>
      <c r="C108" s="27" t="s">
        <v>371</v>
      </c>
      <c r="D108" s="27" t="s">
        <v>372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538.8</f>
        <v>538.8</v>
      </c>
      <c r="L108" s="34" t="s">
        <v>48</v>
      </c>
      <c r="M108" s="33" t="n">
        <f>562</f>
        <v>562.0</v>
      </c>
      <c r="N108" s="34" t="s">
        <v>49</v>
      </c>
      <c r="O108" s="33" t="n">
        <f>526</f>
        <v>526.0</v>
      </c>
      <c r="P108" s="34" t="s">
        <v>50</v>
      </c>
      <c r="Q108" s="33" t="n">
        <f>550.8</f>
        <v>550.8</v>
      </c>
      <c r="R108" s="34" t="s">
        <v>51</v>
      </c>
      <c r="S108" s="35" t="n">
        <f>537.02</f>
        <v>537.02</v>
      </c>
      <c r="T108" s="32" t="n">
        <f>2004430</f>
        <v>2004430.0</v>
      </c>
      <c r="U108" s="32" t="n">
        <f>1866000</f>
        <v>1866000.0</v>
      </c>
      <c r="V108" s="32" t="n">
        <f>1103546955</f>
        <v>1.103546955E9</v>
      </c>
      <c r="W108" s="32" t="n">
        <f>1028569850</f>
        <v>1.02856985E9</v>
      </c>
      <c r="X108" s="36" t="n">
        <f>22</f>
        <v>22.0</v>
      </c>
    </row>
    <row r="109">
      <c r="A109" s="27" t="s">
        <v>42</v>
      </c>
      <c r="B109" s="27" t="s">
        <v>373</v>
      </c>
      <c r="C109" s="27" t="s">
        <v>374</v>
      </c>
      <c r="D109" s="27" t="s">
        <v>375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100.0</v>
      </c>
      <c r="K109" s="33" t="n">
        <f>408.4</f>
        <v>408.4</v>
      </c>
      <c r="L109" s="34" t="s">
        <v>48</v>
      </c>
      <c r="M109" s="33" t="n">
        <f>430.8</f>
        <v>430.8</v>
      </c>
      <c r="N109" s="34" t="s">
        <v>49</v>
      </c>
      <c r="O109" s="33" t="n">
        <f>390.6</f>
        <v>390.6</v>
      </c>
      <c r="P109" s="34" t="s">
        <v>65</v>
      </c>
      <c r="Q109" s="33" t="n">
        <f>418.6</f>
        <v>418.6</v>
      </c>
      <c r="R109" s="34" t="s">
        <v>51</v>
      </c>
      <c r="S109" s="35" t="n">
        <f>408.75</f>
        <v>408.75</v>
      </c>
      <c r="T109" s="32" t="n">
        <f>80254500</f>
        <v>8.02545E7</v>
      </c>
      <c r="U109" s="32" t="n">
        <f>20299400</f>
        <v>2.02994E7</v>
      </c>
      <c r="V109" s="32" t="n">
        <f>33276822981</f>
        <v>3.3276822981E10</v>
      </c>
      <c r="W109" s="32" t="n">
        <f>8599207321</f>
        <v>8.599207321E9</v>
      </c>
      <c r="X109" s="36" t="n">
        <f>22</f>
        <v>22.0</v>
      </c>
    </row>
    <row r="110">
      <c r="A110" s="27" t="s">
        <v>42</v>
      </c>
      <c r="B110" s="27" t="s">
        <v>376</v>
      </c>
      <c r="C110" s="27" t="s">
        <v>377</v>
      </c>
      <c r="D110" s="27" t="s">
        <v>378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38940</f>
        <v>38940.0</v>
      </c>
      <c r="L110" s="34" t="s">
        <v>48</v>
      </c>
      <c r="M110" s="33" t="n">
        <f>39040</f>
        <v>39040.0</v>
      </c>
      <c r="N110" s="34" t="s">
        <v>48</v>
      </c>
      <c r="O110" s="33" t="n">
        <f>37380</f>
        <v>37380.0</v>
      </c>
      <c r="P110" s="34" t="s">
        <v>65</v>
      </c>
      <c r="Q110" s="33" t="n">
        <f>38220</f>
        <v>38220.0</v>
      </c>
      <c r="R110" s="34" t="s">
        <v>51</v>
      </c>
      <c r="S110" s="35" t="n">
        <f>38201.82</f>
        <v>38201.82</v>
      </c>
      <c r="T110" s="32" t="n">
        <f>9465</f>
        <v>9465.0</v>
      </c>
      <c r="U110" s="32" t="n">
        <f>4524</f>
        <v>4524.0</v>
      </c>
      <c r="V110" s="32" t="n">
        <f>362181116</f>
        <v>3.62181116E8</v>
      </c>
      <c r="W110" s="32" t="n">
        <f>173934746</f>
        <v>1.73934746E8</v>
      </c>
      <c r="X110" s="36" t="n">
        <f>22</f>
        <v>22.0</v>
      </c>
    </row>
    <row r="111">
      <c r="A111" s="27" t="s">
        <v>42</v>
      </c>
      <c r="B111" s="27" t="s">
        <v>379</v>
      </c>
      <c r="C111" s="27" t="s">
        <v>380</v>
      </c>
      <c r="D111" s="27" t="s">
        <v>381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20090</f>
        <v>20090.0</v>
      </c>
      <c r="L111" s="34" t="s">
        <v>48</v>
      </c>
      <c r="M111" s="33" t="n">
        <f>21290</f>
        <v>21290.0</v>
      </c>
      <c r="N111" s="34" t="s">
        <v>51</v>
      </c>
      <c r="O111" s="33" t="n">
        <f>19855</f>
        <v>19855.0</v>
      </c>
      <c r="P111" s="34" t="s">
        <v>111</v>
      </c>
      <c r="Q111" s="33" t="n">
        <f>21240</f>
        <v>21240.0</v>
      </c>
      <c r="R111" s="34" t="s">
        <v>51</v>
      </c>
      <c r="S111" s="35" t="n">
        <f>20521.59</f>
        <v>20521.59</v>
      </c>
      <c r="T111" s="32" t="n">
        <f>18503</f>
        <v>18503.0</v>
      </c>
      <c r="U111" s="32" t="n">
        <f>18</f>
        <v>18.0</v>
      </c>
      <c r="V111" s="32" t="n">
        <f>378792206</f>
        <v>3.78792206E8</v>
      </c>
      <c r="W111" s="32" t="n">
        <f>372606</f>
        <v>372606.0</v>
      </c>
      <c r="X111" s="36" t="n">
        <f>22</f>
        <v>22.0</v>
      </c>
    </row>
    <row r="112">
      <c r="A112" s="27" t="s">
        <v>42</v>
      </c>
      <c r="B112" s="27" t="s">
        <v>382</v>
      </c>
      <c r="C112" s="27" t="s">
        <v>383</v>
      </c>
      <c r="D112" s="27" t="s">
        <v>384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33490</f>
        <v>33490.0</v>
      </c>
      <c r="L112" s="34" t="s">
        <v>48</v>
      </c>
      <c r="M112" s="33" t="n">
        <f>34210</f>
        <v>34210.0</v>
      </c>
      <c r="N112" s="34" t="s">
        <v>205</v>
      </c>
      <c r="O112" s="33" t="n">
        <f>32720</f>
        <v>32720.0</v>
      </c>
      <c r="P112" s="34" t="s">
        <v>111</v>
      </c>
      <c r="Q112" s="33" t="n">
        <f>34020</f>
        <v>34020.0</v>
      </c>
      <c r="R112" s="34" t="s">
        <v>51</v>
      </c>
      <c r="S112" s="35" t="n">
        <f>33515.45</f>
        <v>33515.45</v>
      </c>
      <c r="T112" s="32" t="n">
        <f>6386</f>
        <v>6386.0</v>
      </c>
      <c r="U112" s="32" t="n">
        <f>920</f>
        <v>920.0</v>
      </c>
      <c r="V112" s="32" t="n">
        <f>213994649</f>
        <v>2.13994649E8</v>
      </c>
      <c r="W112" s="32" t="n">
        <f>30433739</f>
        <v>3.0433739E7</v>
      </c>
      <c r="X112" s="36" t="n">
        <f>22</f>
        <v>22.0</v>
      </c>
    </row>
    <row r="113">
      <c r="A113" s="27" t="s">
        <v>42</v>
      </c>
      <c r="B113" s="27" t="s">
        <v>385</v>
      </c>
      <c r="C113" s="27" t="s">
        <v>386</v>
      </c>
      <c r="D113" s="27" t="s">
        <v>387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28760</f>
        <v>28760.0</v>
      </c>
      <c r="L113" s="34" t="s">
        <v>48</v>
      </c>
      <c r="M113" s="33" t="n">
        <f>29215</f>
        <v>29215.0</v>
      </c>
      <c r="N113" s="34" t="s">
        <v>49</v>
      </c>
      <c r="O113" s="33" t="n">
        <f>27655</f>
        <v>27655.0</v>
      </c>
      <c r="P113" s="34" t="s">
        <v>111</v>
      </c>
      <c r="Q113" s="33" t="n">
        <f>28530</f>
        <v>28530.0</v>
      </c>
      <c r="R113" s="34" t="s">
        <v>51</v>
      </c>
      <c r="S113" s="35" t="n">
        <f>28435.23</f>
        <v>28435.23</v>
      </c>
      <c r="T113" s="32" t="n">
        <f>16437</f>
        <v>16437.0</v>
      </c>
      <c r="U113" s="32" t="n">
        <f>1</f>
        <v>1.0</v>
      </c>
      <c r="V113" s="32" t="n">
        <f>468418360</f>
        <v>4.6841836E8</v>
      </c>
      <c r="W113" s="32" t="n">
        <f>28735</f>
        <v>28735.0</v>
      </c>
      <c r="X113" s="36" t="n">
        <f>22</f>
        <v>22.0</v>
      </c>
    </row>
    <row r="114">
      <c r="A114" s="27" t="s">
        <v>42</v>
      </c>
      <c r="B114" s="27" t="s">
        <v>388</v>
      </c>
      <c r="C114" s="27" t="s">
        <v>389</v>
      </c>
      <c r="D114" s="27" t="s">
        <v>390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26115</f>
        <v>26115.0</v>
      </c>
      <c r="L114" s="34" t="s">
        <v>48</v>
      </c>
      <c r="M114" s="33" t="n">
        <f>26330</f>
        <v>26330.0</v>
      </c>
      <c r="N114" s="34" t="s">
        <v>51</v>
      </c>
      <c r="O114" s="33" t="n">
        <f>24740</f>
        <v>24740.0</v>
      </c>
      <c r="P114" s="34" t="s">
        <v>65</v>
      </c>
      <c r="Q114" s="33" t="n">
        <f>26310</f>
        <v>26310.0</v>
      </c>
      <c r="R114" s="34" t="s">
        <v>51</v>
      </c>
      <c r="S114" s="35" t="n">
        <f>25513.41</f>
        <v>25513.41</v>
      </c>
      <c r="T114" s="32" t="n">
        <f>16431</f>
        <v>16431.0</v>
      </c>
      <c r="U114" s="32" t="n">
        <f>127</f>
        <v>127.0</v>
      </c>
      <c r="V114" s="32" t="n">
        <f>418027549</f>
        <v>4.18027549E8</v>
      </c>
      <c r="W114" s="32" t="n">
        <f>3205429</f>
        <v>3205429.0</v>
      </c>
      <c r="X114" s="36" t="n">
        <f>22</f>
        <v>22.0</v>
      </c>
    </row>
    <row r="115">
      <c r="A115" s="27" t="s">
        <v>42</v>
      </c>
      <c r="B115" s="27" t="s">
        <v>391</v>
      </c>
      <c r="C115" s="27" t="s">
        <v>392</v>
      </c>
      <c r="D115" s="27" t="s">
        <v>393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29405</f>
        <v>29405.0</v>
      </c>
      <c r="L115" s="34" t="s">
        <v>48</v>
      </c>
      <c r="M115" s="33" t="n">
        <f>32050</f>
        <v>32050.0</v>
      </c>
      <c r="N115" s="34" t="s">
        <v>49</v>
      </c>
      <c r="O115" s="33" t="n">
        <f>28525</f>
        <v>28525.0</v>
      </c>
      <c r="P115" s="34" t="s">
        <v>212</v>
      </c>
      <c r="Q115" s="33" t="n">
        <f>30280</f>
        <v>30280.0</v>
      </c>
      <c r="R115" s="34" t="s">
        <v>51</v>
      </c>
      <c r="S115" s="35" t="n">
        <f>29757.5</f>
        <v>29757.5</v>
      </c>
      <c r="T115" s="32" t="n">
        <f>122404</f>
        <v>122404.0</v>
      </c>
      <c r="U115" s="32" t="n">
        <f>95314</f>
        <v>95314.0</v>
      </c>
      <c r="V115" s="32" t="n">
        <f>3729876016</f>
        <v>3.729876016E9</v>
      </c>
      <c r="W115" s="32" t="n">
        <f>2904327101</f>
        <v>2.904327101E9</v>
      </c>
      <c r="X115" s="36" t="n">
        <f>22</f>
        <v>22.0</v>
      </c>
    </row>
    <row r="116">
      <c r="A116" s="27" t="s">
        <v>42</v>
      </c>
      <c r="B116" s="27" t="s">
        <v>394</v>
      </c>
      <c r="C116" s="27" t="s">
        <v>395</v>
      </c>
      <c r="D116" s="27" t="s">
        <v>396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27700</f>
        <v>27700.0</v>
      </c>
      <c r="L116" s="34" t="s">
        <v>48</v>
      </c>
      <c r="M116" s="33" t="n">
        <f>30550</f>
        <v>30550.0</v>
      </c>
      <c r="N116" s="34" t="s">
        <v>51</v>
      </c>
      <c r="O116" s="33" t="n">
        <f>27425</f>
        <v>27425.0</v>
      </c>
      <c r="P116" s="34" t="s">
        <v>61</v>
      </c>
      <c r="Q116" s="33" t="n">
        <f>30550</f>
        <v>30550.0</v>
      </c>
      <c r="R116" s="34" t="s">
        <v>51</v>
      </c>
      <c r="S116" s="35" t="n">
        <f>28575.91</f>
        <v>28575.91</v>
      </c>
      <c r="T116" s="32" t="n">
        <f>9471</f>
        <v>9471.0</v>
      </c>
      <c r="U116" s="32" t="n">
        <f>16</f>
        <v>16.0</v>
      </c>
      <c r="V116" s="32" t="n">
        <f>276677226</f>
        <v>2.76677226E8</v>
      </c>
      <c r="W116" s="32" t="n">
        <f>476116</f>
        <v>476116.0</v>
      </c>
      <c r="X116" s="36" t="n">
        <f>22</f>
        <v>22.0</v>
      </c>
    </row>
    <row r="117">
      <c r="A117" s="27" t="s">
        <v>42</v>
      </c>
      <c r="B117" s="27" t="s">
        <v>397</v>
      </c>
      <c r="C117" s="27" t="s">
        <v>398</v>
      </c>
      <c r="D117" s="27" t="s">
        <v>399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66900</f>
        <v>66900.0</v>
      </c>
      <c r="L117" s="34" t="s">
        <v>48</v>
      </c>
      <c r="M117" s="33" t="n">
        <f>67170</f>
        <v>67170.0</v>
      </c>
      <c r="N117" s="34" t="s">
        <v>49</v>
      </c>
      <c r="O117" s="33" t="n">
        <f>62450</f>
        <v>62450.0</v>
      </c>
      <c r="P117" s="34" t="s">
        <v>65</v>
      </c>
      <c r="Q117" s="33" t="n">
        <f>66520</f>
        <v>66520.0</v>
      </c>
      <c r="R117" s="34" t="s">
        <v>51</v>
      </c>
      <c r="S117" s="35" t="n">
        <f>65126.82</f>
        <v>65126.82</v>
      </c>
      <c r="T117" s="32" t="n">
        <f>16411</f>
        <v>16411.0</v>
      </c>
      <c r="U117" s="32" t="n">
        <f>12080</f>
        <v>12080.0</v>
      </c>
      <c r="V117" s="32" t="n">
        <f>1081822091</f>
        <v>1.081822091E9</v>
      </c>
      <c r="W117" s="32" t="n">
        <f>798990041</f>
        <v>7.98990041E8</v>
      </c>
      <c r="X117" s="36" t="n">
        <f>22</f>
        <v>22.0</v>
      </c>
    </row>
    <row r="118">
      <c r="A118" s="27" t="s">
        <v>42</v>
      </c>
      <c r="B118" s="27" t="s">
        <v>400</v>
      </c>
      <c r="C118" s="27" t="s">
        <v>401</v>
      </c>
      <c r="D118" s="27" t="s">
        <v>402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39780</f>
        <v>39780.0</v>
      </c>
      <c r="L118" s="34" t="s">
        <v>48</v>
      </c>
      <c r="M118" s="33" t="n">
        <f>41060</f>
        <v>41060.0</v>
      </c>
      <c r="N118" s="34" t="s">
        <v>49</v>
      </c>
      <c r="O118" s="33" t="n">
        <f>38140</f>
        <v>38140.0</v>
      </c>
      <c r="P118" s="34" t="s">
        <v>65</v>
      </c>
      <c r="Q118" s="33" t="n">
        <f>40270</f>
        <v>40270.0</v>
      </c>
      <c r="R118" s="34" t="s">
        <v>51</v>
      </c>
      <c r="S118" s="35" t="n">
        <f>39230</f>
        <v>39230.0</v>
      </c>
      <c r="T118" s="32" t="n">
        <f>12614</f>
        <v>12614.0</v>
      </c>
      <c r="U118" s="32" t="n">
        <f>5014</f>
        <v>5014.0</v>
      </c>
      <c r="V118" s="32" t="n">
        <f>491402559</f>
        <v>4.91402559E8</v>
      </c>
      <c r="W118" s="32" t="n">
        <f>193822389</f>
        <v>1.93822389E8</v>
      </c>
      <c r="X118" s="36" t="n">
        <f>22</f>
        <v>22.0</v>
      </c>
    </row>
    <row r="119">
      <c r="A119" s="27" t="s">
        <v>42</v>
      </c>
      <c r="B119" s="27" t="s">
        <v>403</v>
      </c>
      <c r="C119" s="27" t="s">
        <v>404</v>
      </c>
      <c r="D119" s="27" t="s">
        <v>405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41500</f>
        <v>41500.0</v>
      </c>
      <c r="L119" s="34" t="s">
        <v>48</v>
      </c>
      <c r="M119" s="33" t="n">
        <f>41500</f>
        <v>41500.0</v>
      </c>
      <c r="N119" s="34" t="s">
        <v>48</v>
      </c>
      <c r="O119" s="33" t="n">
        <f>38990</f>
        <v>38990.0</v>
      </c>
      <c r="P119" s="34" t="s">
        <v>250</v>
      </c>
      <c r="Q119" s="33" t="n">
        <f>40660</f>
        <v>40660.0</v>
      </c>
      <c r="R119" s="34" t="s">
        <v>51</v>
      </c>
      <c r="S119" s="35" t="n">
        <f>40251.36</f>
        <v>40251.36</v>
      </c>
      <c r="T119" s="32" t="n">
        <f>7265</f>
        <v>7265.0</v>
      </c>
      <c r="U119" s="32" t="str">
        <f>"－"</f>
        <v>－</v>
      </c>
      <c r="V119" s="32" t="n">
        <f>293145440</f>
        <v>2.9314544E8</v>
      </c>
      <c r="W119" s="32" t="str">
        <f>"－"</f>
        <v>－</v>
      </c>
      <c r="X119" s="36" t="n">
        <f>22</f>
        <v>22.0</v>
      </c>
    </row>
    <row r="120">
      <c r="A120" s="27" t="s">
        <v>42</v>
      </c>
      <c r="B120" s="27" t="s">
        <v>406</v>
      </c>
      <c r="C120" s="27" t="s">
        <v>407</v>
      </c>
      <c r="D120" s="27" t="s">
        <v>408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8519</f>
        <v>8519.0</v>
      </c>
      <c r="L120" s="34" t="s">
        <v>48</v>
      </c>
      <c r="M120" s="33" t="n">
        <f>9072</f>
        <v>9072.0</v>
      </c>
      <c r="N120" s="34" t="s">
        <v>51</v>
      </c>
      <c r="O120" s="33" t="n">
        <f>8417</f>
        <v>8417.0</v>
      </c>
      <c r="P120" s="34" t="s">
        <v>65</v>
      </c>
      <c r="Q120" s="33" t="n">
        <f>8967</f>
        <v>8967.0</v>
      </c>
      <c r="R120" s="34" t="s">
        <v>51</v>
      </c>
      <c r="S120" s="35" t="n">
        <f>8767.5</f>
        <v>8767.5</v>
      </c>
      <c r="T120" s="32" t="n">
        <f>46484</f>
        <v>46484.0</v>
      </c>
      <c r="U120" s="32" t="n">
        <f>485</f>
        <v>485.0</v>
      </c>
      <c r="V120" s="32" t="n">
        <f>406933005</f>
        <v>4.06933005E8</v>
      </c>
      <c r="W120" s="32" t="n">
        <f>4311905</f>
        <v>4311905.0</v>
      </c>
      <c r="X120" s="36" t="n">
        <f>22</f>
        <v>22.0</v>
      </c>
    </row>
    <row r="121">
      <c r="A121" s="27" t="s">
        <v>42</v>
      </c>
      <c r="B121" s="27" t="s">
        <v>409</v>
      </c>
      <c r="C121" s="27" t="s">
        <v>410</v>
      </c>
      <c r="D121" s="27" t="s">
        <v>411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19685</f>
        <v>19685.0</v>
      </c>
      <c r="L121" s="34" t="s">
        <v>48</v>
      </c>
      <c r="M121" s="33" t="n">
        <f>19870</f>
        <v>19870.0</v>
      </c>
      <c r="N121" s="34" t="s">
        <v>205</v>
      </c>
      <c r="O121" s="33" t="n">
        <f>18780</f>
        <v>18780.0</v>
      </c>
      <c r="P121" s="34" t="s">
        <v>69</v>
      </c>
      <c r="Q121" s="33" t="n">
        <f>19530</f>
        <v>19530.0</v>
      </c>
      <c r="R121" s="34" t="s">
        <v>51</v>
      </c>
      <c r="S121" s="35" t="n">
        <f>19359.77</f>
        <v>19359.77</v>
      </c>
      <c r="T121" s="32" t="n">
        <f>21060</f>
        <v>21060.0</v>
      </c>
      <c r="U121" s="32" t="n">
        <f>10</f>
        <v>10.0</v>
      </c>
      <c r="V121" s="32" t="n">
        <f>407281753</f>
        <v>4.07281753E8</v>
      </c>
      <c r="W121" s="32" t="n">
        <f>195653</f>
        <v>195653.0</v>
      </c>
      <c r="X121" s="36" t="n">
        <f>22</f>
        <v>22.0</v>
      </c>
    </row>
    <row r="122">
      <c r="A122" s="27" t="s">
        <v>42</v>
      </c>
      <c r="B122" s="27" t="s">
        <v>412</v>
      </c>
      <c r="C122" s="27" t="s">
        <v>413</v>
      </c>
      <c r="D122" s="27" t="s">
        <v>414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87000</f>
        <v>87000.0</v>
      </c>
      <c r="L122" s="34" t="s">
        <v>48</v>
      </c>
      <c r="M122" s="33" t="n">
        <f>89400</f>
        <v>89400.0</v>
      </c>
      <c r="N122" s="34" t="s">
        <v>49</v>
      </c>
      <c r="O122" s="33" t="n">
        <f>84080</f>
        <v>84080.0</v>
      </c>
      <c r="P122" s="34" t="s">
        <v>69</v>
      </c>
      <c r="Q122" s="33" t="n">
        <f>87950</f>
        <v>87950.0</v>
      </c>
      <c r="R122" s="34" t="s">
        <v>51</v>
      </c>
      <c r="S122" s="35" t="n">
        <f>87038.18</f>
        <v>87038.18</v>
      </c>
      <c r="T122" s="32" t="n">
        <f>25682</f>
        <v>25682.0</v>
      </c>
      <c r="U122" s="32" t="n">
        <f>1543</f>
        <v>1543.0</v>
      </c>
      <c r="V122" s="32" t="n">
        <f>2235991776</f>
        <v>2.235991776E9</v>
      </c>
      <c r="W122" s="32" t="n">
        <f>133147086</f>
        <v>1.33147086E8</v>
      </c>
      <c r="X122" s="36" t="n">
        <f>22</f>
        <v>22.0</v>
      </c>
    </row>
    <row r="123">
      <c r="A123" s="27" t="s">
        <v>42</v>
      </c>
      <c r="B123" s="27" t="s">
        <v>415</v>
      </c>
      <c r="C123" s="27" t="s">
        <v>416</v>
      </c>
      <c r="D123" s="27" t="s">
        <v>417</v>
      </c>
      <c r="E123" s="28" t="s">
        <v>46</v>
      </c>
      <c r="F123" s="29" t="s">
        <v>46</v>
      </c>
      <c r="G123" s="30" t="s">
        <v>46</v>
      </c>
      <c r="H123" s="31"/>
      <c r="I123" s="31" t="s">
        <v>418</v>
      </c>
      <c r="J123" s="32" t="n">
        <v>1.0</v>
      </c>
      <c r="K123" s="33" t="n">
        <f>10090</f>
        <v>10090.0</v>
      </c>
      <c r="L123" s="34" t="s">
        <v>48</v>
      </c>
      <c r="M123" s="33" t="n">
        <f>10755</f>
        <v>10755.0</v>
      </c>
      <c r="N123" s="34" t="s">
        <v>49</v>
      </c>
      <c r="O123" s="33" t="n">
        <f>10060</f>
        <v>10060.0</v>
      </c>
      <c r="P123" s="34" t="s">
        <v>167</v>
      </c>
      <c r="Q123" s="33" t="n">
        <f>10565</f>
        <v>10565.0</v>
      </c>
      <c r="R123" s="34" t="s">
        <v>51</v>
      </c>
      <c r="S123" s="35" t="n">
        <f>10339.69</f>
        <v>10339.69</v>
      </c>
      <c r="T123" s="32" t="n">
        <f>1110</f>
        <v>1110.0</v>
      </c>
      <c r="U123" s="32" t="str">
        <f>"－"</f>
        <v>－</v>
      </c>
      <c r="V123" s="32" t="n">
        <f>11667745</f>
        <v>1.1667745E7</v>
      </c>
      <c r="W123" s="32" t="str">
        <f>"－"</f>
        <v>－</v>
      </c>
      <c r="X123" s="36" t="n">
        <f>16</f>
        <v>16.0</v>
      </c>
    </row>
    <row r="124">
      <c r="A124" s="27" t="s">
        <v>42</v>
      </c>
      <c r="B124" s="27" t="s">
        <v>419</v>
      </c>
      <c r="C124" s="27" t="s">
        <v>420</v>
      </c>
      <c r="D124" s="27" t="s">
        <v>421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34690</f>
        <v>34690.0</v>
      </c>
      <c r="L124" s="34" t="s">
        <v>48</v>
      </c>
      <c r="M124" s="33" t="n">
        <f>34690</f>
        <v>34690.0</v>
      </c>
      <c r="N124" s="34" t="s">
        <v>48</v>
      </c>
      <c r="O124" s="33" t="n">
        <f>32570</f>
        <v>32570.0</v>
      </c>
      <c r="P124" s="34" t="s">
        <v>212</v>
      </c>
      <c r="Q124" s="33" t="n">
        <f>33400</f>
        <v>33400.0</v>
      </c>
      <c r="R124" s="34" t="s">
        <v>51</v>
      </c>
      <c r="S124" s="35" t="n">
        <f>33517.73</f>
        <v>33517.73</v>
      </c>
      <c r="T124" s="32" t="n">
        <f>8225</f>
        <v>8225.0</v>
      </c>
      <c r="U124" s="32" t="n">
        <f>18</f>
        <v>18.0</v>
      </c>
      <c r="V124" s="32" t="n">
        <f>275548267</f>
        <v>2.75548267E8</v>
      </c>
      <c r="W124" s="32" t="n">
        <f>596627</f>
        <v>596627.0</v>
      </c>
      <c r="X124" s="36" t="n">
        <f>22</f>
        <v>22.0</v>
      </c>
    </row>
    <row r="125">
      <c r="A125" s="27" t="s">
        <v>42</v>
      </c>
      <c r="B125" s="27" t="s">
        <v>422</v>
      </c>
      <c r="C125" s="27" t="s">
        <v>423</v>
      </c>
      <c r="D125" s="27" t="s">
        <v>424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21615</f>
        <v>21615.0</v>
      </c>
      <c r="L125" s="34" t="s">
        <v>48</v>
      </c>
      <c r="M125" s="33" t="n">
        <f>23105</f>
        <v>23105.0</v>
      </c>
      <c r="N125" s="34" t="s">
        <v>49</v>
      </c>
      <c r="O125" s="33" t="n">
        <f>20200</f>
        <v>20200.0</v>
      </c>
      <c r="P125" s="34" t="s">
        <v>65</v>
      </c>
      <c r="Q125" s="33" t="n">
        <f>22500</f>
        <v>22500.0</v>
      </c>
      <c r="R125" s="34" t="s">
        <v>51</v>
      </c>
      <c r="S125" s="35" t="n">
        <f>21815.68</f>
        <v>21815.68</v>
      </c>
      <c r="T125" s="32" t="n">
        <f>146818</f>
        <v>146818.0</v>
      </c>
      <c r="U125" s="32" t="n">
        <f>80502</f>
        <v>80502.0</v>
      </c>
      <c r="V125" s="32" t="n">
        <f>3300113306</f>
        <v>3.300113306E9</v>
      </c>
      <c r="W125" s="32" t="n">
        <f>1840322281</f>
        <v>1.840322281E9</v>
      </c>
      <c r="X125" s="36" t="n">
        <f>22</f>
        <v>22.0</v>
      </c>
    </row>
    <row r="126">
      <c r="A126" s="27" t="s">
        <v>42</v>
      </c>
      <c r="B126" s="27" t="s">
        <v>425</v>
      </c>
      <c r="C126" s="27" t="s">
        <v>426</v>
      </c>
      <c r="D126" s="27" t="s">
        <v>427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29480</f>
        <v>29480.0</v>
      </c>
      <c r="L126" s="34" t="s">
        <v>48</v>
      </c>
      <c r="M126" s="33" t="n">
        <f>30400</f>
        <v>30400.0</v>
      </c>
      <c r="N126" s="34" t="s">
        <v>49</v>
      </c>
      <c r="O126" s="33" t="n">
        <f>28335</f>
        <v>28335.0</v>
      </c>
      <c r="P126" s="34" t="s">
        <v>65</v>
      </c>
      <c r="Q126" s="33" t="n">
        <f>30160</f>
        <v>30160.0</v>
      </c>
      <c r="R126" s="34" t="s">
        <v>51</v>
      </c>
      <c r="S126" s="35" t="n">
        <f>29314.77</f>
        <v>29314.77</v>
      </c>
      <c r="T126" s="32" t="n">
        <f>19139</f>
        <v>19139.0</v>
      </c>
      <c r="U126" s="32" t="n">
        <f>5708</f>
        <v>5708.0</v>
      </c>
      <c r="V126" s="32" t="n">
        <f>562403624</f>
        <v>5.62403624E8</v>
      </c>
      <c r="W126" s="32" t="n">
        <f>171197469</f>
        <v>1.71197469E8</v>
      </c>
      <c r="X126" s="36" t="n">
        <f>22</f>
        <v>22.0</v>
      </c>
    </row>
    <row r="127">
      <c r="A127" s="27" t="s">
        <v>42</v>
      </c>
      <c r="B127" s="27" t="s">
        <v>428</v>
      </c>
      <c r="C127" s="27" t="s">
        <v>429</v>
      </c>
      <c r="D127" s="27" t="s">
        <v>430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42390</f>
        <v>42390.0</v>
      </c>
      <c r="L127" s="34" t="s">
        <v>48</v>
      </c>
      <c r="M127" s="33" t="n">
        <f>42810</f>
        <v>42810.0</v>
      </c>
      <c r="N127" s="34" t="s">
        <v>50</v>
      </c>
      <c r="O127" s="33" t="n">
        <f>39980</f>
        <v>39980.0</v>
      </c>
      <c r="P127" s="34" t="s">
        <v>212</v>
      </c>
      <c r="Q127" s="33" t="n">
        <f>41310</f>
        <v>41310.0</v>
      </c>
      <c r="R127" s="34" t="s">
        <v>51</v>
      </c>
      <c r="S127" s="35" t="n">
        <f>41503.18</f>
        <v>41503.18</v>
      </c>
      <c r="T127" s="32" t="n">
        <f>10025</f>
        <v>10025.0</v>
      </c>
      <c r="U127" s="32" t="n">
        <f>4265</f>
        <v>4265.0</v>
      </c>
      <c r="V127" s="32" t="n">
        <f>414418771</f>
        <v>4.14418771E8</v>
      </c>
      <c r="W127" s="32" t="n">
        <f>176690901</f>
        <v>1.76690901E8</v>
      </c>
      <c r="X127" s="36" t="n">
        <f>22</f>
        <v>22.0</v>
      </c>
    </row>
    <row r="128">
      <c r="A128" s="27" t="s">
        <v>42</v>
      </c>
      <c r="B128" s="27" t="s">
        <v>431</v>
      </c>
      <c r="C128" s="27" t="s">
        <v>432</v>
      </c>
      <c r="D128" s="27" t="s">
        <v>433</v>
      </c>
      <c r="E128" s="28" t="s">
        <v>46</v>
      </c>
      <c r="F128" s="29" t="s">
        <v>46</v>
      </c>
      <c r="G128" s="30" t="s">
        <v>46</v>
      </c>
      <c r="H128" s="31"/>
      <c r="I128" s="31" t="s">
        <v>418</v>
      </c>
      <c r="J128" s="32" t="n">
        <v>1.0</v>
      </c>
      <c r="K128" s="33" t="n">
        <f>9017</f>
        <v>9017.0</v>
      </c>
      <c r="L128" s="34" t="s">
        <v>48</v>
      </c>
      <c r="M128" s="33" t="n">
        <f>9421</f>
        <v>9421.0</v>
      </c>
      <c r="N128" s="34" t="s">
        <v>49</v>
      </c>
      <c r="O128" s="33" t="n">
        <f>8599</f>
        <v>8599.0</v>
      </c>
      <c r="P128" s="34" t="s">
        <v>61</v>
      </c>
      <c r="Q128" s="33" t="n">
        <f>9150</f>
        <v>9150.0</v>
      </c>
      <c r="R128" s="34" t="s">
        <v>51</v>
      </c>
      <c r="S128" s="35" t="n">
        <f>9052.14</f>
        <v>9052.14</v>
      </c>
      <c r="T128" s="32" t="n">
        <f>107452</f>
        <v>107452.0</v>
      </c>
      <c r="U128" s="32" t="str">
        <f>"－"</f>
        <v>－</v>
      </c>
      <c r="V128" s="32" t="n">
        <f>977462988</f>
        <v>9.77462988E8</v>
      </c>
      <c r="W128" s="32" t="str">
        <f>"－"</f>
        <v>－</v>
      </c>
      <c r="X128" s="36" t="n">
        <f>22</f>
        <v>22.0</v>
      </c>
    </row>
    <row r="129">
      <c r="A129" s="27" t="s">
        <v>42</v>
      </c>
      <c r="B129" s="27" t="s">
        <v>434</v>
      </c>
      <c r="C129" s="27" t="s">
        <v>435</v>
      </c>
      <c r="D129" s="27" t="s">
        <v>436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2115</f>
        <v>2115.0</v>
      </c>
      <c r="L129" s="34" t="s">
        <v>48</v>
      </c>
      <c r="M129" s="33" t="n">
        <f>2260</f>
        <v>2260.0</v>
      </c>
      <c r="N129" s="34" t="s">
        <v>49</v>
      </c>
      <c r="O129" s="33" t="n">
        <f>2098</f>
        <v>2098.0</v>
      </c>
      <c r="P129" s="34" t="s">
        <v>48</v>
      </c>
      <c r="Q129" s="33" t="n">
        <f>2211</f>
        <v>2211.0</v>
      </c>
      <c r="R129" s="34" t="s">
        <v>51</v>
      </c>
      <c r="S129" s="35" t="n">
        <f>2151.41</f>
        <v>2151.41</v>
      </c>
      <c r="T129" s="32" t="n">
        <f>5785833</f>
        <v>5785833.0</v>
      </c>
      <c r="U129" s="32" t="n">
        <f>5363434</f>
        <v>5363434.0</v>
      </c>
      <c r="V129" s="32" t="n">
        <f>12352216762</f>
        <v>1.2352216762E10</v>
      </c>
      <c r="W129" s="32" t="n">
        <f>11440528687</f>
        <v>1.1440528687E10</v>
      </c>
      <c r="X129" s="36" t="n">
        <f>22</f>
        <v>22.0</v>
      </c>
    </row>
    <row r="130">
      <c r="A130" s="27" t="s">
        <v>42</v>
      </c>
      <c r="B130" s="27" t="s">
        <v>437</v>
      </c>
      <c r="C130" s="27" t="s">
        <v>438</v>
      </c>
      <c r="D130" s="27" t="s">
        <v>439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3390</f>
        <v>3390.0</v>
      </c>
      <c r="L130" s="34" t="s">
        <v>48</v>
      </c>
      <c r="M130" s="33" t="n">
        <f>3505</f>
        <v>3505.0</v>
      </c>
      <c r="N130" s="34" t="s">
        <v>49</v>
      </c>
      <c r="O130" s="33" t="n">
        <f>3328</f>
        <v>3328.0</v>
      </c>
      <c r="P130" s="34" t="s">
        <v>65</v>
      </c>
      <c r="Q130" s="33" t="n">
        <f>3498</f>
        <v>3498.0</v>
      </c>
      <c r="R130" s="34" t="s">
        <v>51</v>
      </c>
      <c r="S130" s="35" t="n">
        <f>3394.31</f>
        <v>3394.31</v>
      </c>
      <c r="T130" s="32" t="n">
        <f>31380</f>
        <v>31380.0</v>
      </c>
      <c r="U130" s="32" t="str">
        <f>"－"</f>
        <v>－</v>
      </c>
      <c r="V130" s="32" t="n">
        <f>105896570</f>
        <v>1.0589657E8</v>
      </c>
      <c r="W130" s="32" t="str">
        <f>"－"</f>
        <v>－</v>
      </c>
      <c r="X130" s="36" t="n">
        <f>16</f>
        <v>16.0</v>
      </c>
    </row>
    <row r="131">
      <c r="A131" s="27" t="s">
        <v>42</v>
      </c>
      <c r="B131" s="27" t="s">
        <v>440</v>
      </c>
      <c r="C131" s="27" t="s">
        <v>441</v>
      </c>
      <c r="D131" s="27" t="s">
        <v>442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3694</f>
        <v>3694.0</v>
      </c>
      <c r="L131" s="34" t="s">
        <v>48</v>
      </c>
      <c r="M131" s="33" t="n">
        <f>3832</f>
        <v>3832.0</v>
      </c>
      <c r="N131" s="34" t="s">
        <v>49</v>
      </c>
      <c r="O131" s="33" t="n">
        <f>3593</f>
        <v>3593.0</v>
      </c>
      <c r="P131" s="34" t="s">
        <v>65</v>
      </c>
      <c r="Q131" s="33" t="n">
        <f>3779</f>
        <v>3779.0</v>
      </c>
      <c r="R131" s="34" t="s">
        <v>51</v>
      </c>
      <c r="S131" s="35" t="n">
        <f>3688.69</f>
        <v>3688.69</v>
      </c>
      <c r="T131" s="32" t="n">
        <f>27480</f>
        <v>27480.0</v>
      </c>
      <c r="U131" s="32" t="str">
        <f>"－"</f>
        <v>－</v>
      </c>
      <c r="V131" s="32" t="n">
        <f>101853220</f>
        <v>1.0185322E8</v>
      </c>
      <c r="W131" s="32" t="str">
        <f>"－"</f>
        <v>－</v>
      </c>
      <c r="X131" s="36" t="n">
        <f>16</f>
        <v>16.0</v>
      </c>
    </row>
    <row r="132">
      <c r="A132" s="27" t="s">
        <v>42</v>
      </c>
      <c r="B132" s="27" t="s">
        <v>443</v>
      </c>
      <c r="C132" s="27" t="s">
        <v>444</v>
      </c>
      <c r="D132" s="27" t="s">
        <v>445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2275</f>
        <v>2275.0</v>
      </c>
      <c r="L132" s="34" t="s">
        <v>48</v>
      </c>
      <c r="M132" s="33" t="n">
        <f>2376.5</f>
        <v>2376.5</v>
      </c>
      <c r="N132" s="34" t="s">
        <v>49</v>
      </c>
      <c r="O132" s="33" t="n">
        <f>2243</f>
        <v>2243.0</v>
      </c>
      <c r="P132" s="34" t="s">
        <v>250</v>
      </c>
      <c r="Q132" s="33" t="n">
        <f>2346.5</f>
        <v>2346.5</v>
      </c>
      <c r="R132" s="34" t="s">
        <v>51</v>
      </c>
      <c r="S132" s="35" t="n">
        <f>2298.5</f>
        <v>2298.5</v>
      </c>
      <c r="T132" s="32" t="n">
        <f>28140</f>
        <v>28140.0</v>
      </c>
      <c r="U132" s="32" t="n">
        <f>10000</f>
        <v>10000.0</v>
      </c>
      <c r="V132" s="32" t="n">
        <f>63746420</f>
        <v>6.374642E7</v>
      </c>
      <c r="W132" s="32" t="n">
        <f>22464170</f>
        <v>2.246417E7</v>
      </c>
      <c r="X132" s="36" t="n">
        <f>10</f>
        <v>10.0</v>
      </c>
    </row>
    <row r="133">
      <c r="A133" s="27" t="s">
        <v>42</v>
      </c>
      <c r="B133" s="27" t="s">
        <v>446</v>
      </c>
      <c r="C133" s="27" t="s">
        <v>447</v>
      </c>
      <c r="D133" s="27" t="s">
        <v>448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643.8</f>
        <v>643.8</v>
      </c>
      <c r="L133" s="34" t="s">
        <v>48</v>
      </c>
      <c r="M133" s="33" t="n">
        <f>692.6</f>
        <v>692.6</v>
      </c>
      <c r="N133" s="34" t="s">
        <v>51</v>
      </c>
      <c r="O133" s="33" t="n">
        <f>641.8</f>
        <v>641.8</v>
      </c>
      <c r="P133" s="34" t="s">
        <v>48</v>
      </c>
      <c r="Q133" s="33" t="n">
        <f>690.6</f>
        <v>690.6</v>
      </c>
      <c r="R133" s="34" t="s">
        <v>51</v>
      </c>
      <c r="S133" s="35" t="n">
        <f>667.34</f>
        <v>667.34</v>
      </c>
      <c r="T133" s="32" t="n">
        <f>54790320</f>
        <v>5.479032E7</v>
      </c>
      <c r="U133" s="32" t="n">
        <f>4541210</f>
        <v>4541210.0</v>
      </c>
      <c r="V133" s="32" t="n">
        <f>36635629731</f>
        <v>3.6635629731E10</v>
      </c>
      <c r="W133" s="32" t="n">
        <f>3009057054</f>
        <v>3.009057054E9</v>
      </c>
      <c r="X133" s="36" t="n">
        <f>22</f>
        <v>22.0</v>
      </c>
    </row>
    <row r="134">
      <c r="A134" s="27" t="s">
        <v>42</v>
      </c>
      <c r="B134" s="27" t="s">
        <v>449</v>
      </c>
      <c r="C134" s="27" t="s">
        <v>450</v>
      </c>
      <c r="D134" s="27" t="s">
        <v>451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289.4</f>
        <v>289.4</v>
      </c>
      <c r="L134" s="34" t="s">
        <v>48</v>
      </c>
      <c r="M134" s="33" t="n">
        <f>295.3</f>
        <v>295.3</v>
      </c>
      <c r="N134" s="34" t="s">
        <v>51</v>
      </c>
      <c r="O134" s="33" t="n">
        <f>287.5</f>
        <v>287.5</v>
      </c>
      <c r="P134" s="34" t="s">
        <v>118</v>
      </c>
      <c r="Q134" s="33" t="n">
        <f>295.1</f>
        <v>295.1</v>
      </c>
      <c r="R134" s="34" t="s">
        <v>51</v>
      </c>
      <c r="S134" s="35" t="n">
        <f>290.74</f>
        <v>290.74</v>
      </c>
      <c r="T134" s="32" t="n">
        <f>3827910</f>
        <v>3827910.0</v>
      </c>
      <c r="U134" s="32" t="n">
        <f>2081740</f>
        <v>2081740.0</v>
      </c>
      <c r="V134" s="32" t="n">
        <f>1114069045</f>
        <v>1.114069045E9</v>
      </c>
      <c r="W134" s="32" t="n">
        <f>606575155</f>
        <v>6.06575155E8</v>
      </c>
      <c r="X134" s="36" t="n">
        <f>22</f>
        <v>22.0</v>
      </c>
    </row>
    <row r="135">
      <c r="A135" s="27" t="s">
        <v>42</v>
      </c>
      <c r="B135" s="27" t="s">
        <v>452</v>
      </c>
      <c r="C135" s="27" t="s">
        <v>453</v>
      </c>
      <c r="D135" s="27" t="s">
        <v>454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5440</f>
        <v>5440.0</v>
      </c>
      <c r="L135" s="34" t="s">
        <v>48</v>
      </c>
      <c r="M135" s="33" t="n">
        <f>5756</f>
        <v>5756.0</v>
      </c>
      <c r="N135" s="34" t="s">
        <v>51</v>
      </c>
      <c r="O135" s="33" t="n">
        <f>5395</f>
        <v>5395.0</v>
      </c>
      <c r="P135" s="34" t="s">
        <v>61</v>
      </c>
      <c r="Q135" s="33" t="n">
        <f>5748</f>
        <v>5748.0</v>
      </c>
      <c r="R135" s="34" t="s">
        <v>51</v>
      </c>
      <c r="S135" s="35" t="n">
        <f>5587.95</f>
        <v>5587.95</v>
      </c>
      <c r="T135" s="32" t="n">
        <f>46858</f>
        <v>46858.0</v>
      </c>
      <c r="U135" s="32" t="n">
        <f>9</f>
        <v>9.0</v>
      </c>
      <c r="V135" s="32" t="n">
        <f>264516518</f>
        <v>2.64516518E8</v>
      </c>
      <c r="W135" s="32" t="n">
        <f>50823</f>
        <v>50823.0</v>
      </c>
      <c r="X135" s="36" t="n">
        <f>22</f>
        <v>22.0</v>
      </c>
    </row>
    <row r="136">
      <c r="A136" s="27" t="s">
        <v>42</v>
      </c>
      <c r="B136" s="27" t="s">
        <v>455</v>
      </c>
      <c r="C136" s="27" t="s">
        <v>456</v>
      </c>
      <c r="D136" s="27" t="s">
        <v>457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2912</f>
        <v>2912.0</v>
      </c>
      <c r="L136" s="34" t="s">
        <v>48</v>
      </c>
      <c r="M136" s="33" t="n">
        <f>3170</f>
        <v>3170.0</v>
      </c>
      <c r="N136" s="34" t="s">
        <v>212</v>
      </c>
      <c r="O136" s="33" t="n">
        <f>2905</f>
        <v>2905.0</v>
      </c>
      <c r="P136" s="34" t="s">
        <v>48</v>
      </c>
      <c r="Q136" s="33" t="n">
        <f>3092</f>
        <v>3092.0</v>
      </c>
      <c r="R136" s="34" t="s">
        <v>51</v>
      </c>
      <c r="S136" s="35" t="n">
        <f>3025</f>
        <v>3025.0</v>
      </c>
      <c r="T136" s="32" t="n">
        <f>191377</f>
        <v>191377.0</v>
      </c>
      <c r="U136" s="32" t="n">
        <f>37576</f>
        <v>37576.0</v>
      </c>
      <c r="V136" s="32" t="n">
        <f>581636354</f>
        <v>5.81636354E8</v>
      </c>
      <c r="W136" s="32" t="n">
        <f>114334615</f>
        <v>1.14334615E8</v>
      </c>
      <c r="X136" s="36" t="n">
        <f>22</f>
        <v>22.0</v>
      </c>
    </row>
    <row r="137">
      <c r="A137" s="27" t="s">
        <v>42</v>
      </c>
      <c r="B137" s="27" t="s">
        <v>458</v>
      </c>
      <c r="C137" s="27" t="s">
        <v>459</v>
      </c>
      <c r="D137" s="27" t="s">
        <v>460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3034</f>
        <v>3034.0</v>
      </c>
      <c r="L137" s="34" t="s">
        <v>48</v>
      </c>
      <c r="M137" s="33" t="n">
        <f>3198</f>
        <v>3198.0</v>
      </c>
      <c r="N137" s="34" t="s">
        <v>104</v>
      </c>
      <c r="O137" s="33" t="n">
        <f>3023</f>
        <v>3023.0</v>
      </c>
      <c r="P137" s="34" t="s">
        <v>48</v>
      </c>
      <c r="Q137" s="33" t="n">
        <f>3140</f>
        <v>3140.0</v>
      </c>
      <c r="R137" s="34" t="s">
        <v>51</v>
      </c>
      <c r="S137" s="35" t="n">
        <f>3118.18</f>
        <v>3118.18</v>
      </c>
      <c r="T137" s="32" t="n">
        <f>183161</f>
        <v>183161.0</v>
      </c>
      <c r="U137" s="32" t="n">
        <f>1</f>
        <v>1.0</v>
      </c>
      <c r="V137" s="32" t="n">
        <f>570116862</f>
        <v>5.70116862E8</v>
      </c>
      <c r="W137" s="32" t="n">
        <f>3148</f>
        <v>3148.0</v>
      </c>
      <c r="X137" s="36" t="n">
        <f>22</f>
        <v>22.0</v>
      </c>
    </row>
    <row r="138">
      <c r="A138" s="27" t="s">
        <v>42</v>
      </c>
      <c r="B138" s="27" t="s">
        <v>461</v>
      </c>
      <c r="C138" s="27" t="s">
        <v>462</v>
      </c>
      <c r="D138" s="27" t="s">
        <v>463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10345</f>
        <v>10345.0</v>
      </c>
      <c r="L138" s="34" t="s">
        <v>48</v>
      </c>
      <c r="M138" s="33" t="n">
        <f>10820</f>
        <v>10820.0</v>
      </c>
      <c r="N138" s="34" t="s">
        <v>104</v>
      </c>
      <c r="O138" s="33" t="n">
        <f>10280</f>
        <v>10280.0</v>
      </c>
      <c r="P138" s="34" t="s">
        <v>50</v>
      </c>
      <c r="Q138" s="33" t="n">
        <f>10785</f>
        <v>10785.0</v>
      </c>
      <c r="R138" s="34" t="s">
        <v>51</v>
      </c>
      <c r="S138" s="35" t="n">
        <f>10495.23</f>
        <v>10495.23</v>
      </c>
      <c r="T138" s="32" t="n">
        <f>436120</f>
        <v>436120.0</v>
      </c>
      <c r="U138" s="32" t="n">
        <f>347877</f>
        <v>347877.0</v>
      </c>
      <c r="V138" s="32" t="n">
        <f>4615236960</f>
        <v>4.61523696E9</v>
      </c>
      <c r="W138" s="32" t="n">
        <f>3688326525</f>
        <v>3.688326525E9</v>
      </c>
      <c r="X138" s="36" t="n">
        <f>22</f>
        <v>22.0</v>
      </c>
    </row>
    <row r="139">
      <c r="A139" s="27" t="s">
        <v>42</v>
      </c>
      <c r="B139" s="27" t="s">
        <v>464</v>
      </c>
      <c r="C139" s="27" t="s">
        <v>465</v>
      </c>
      <c r="D139" s="27" t="s">
        <v>466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2879</f>
        <v>2879.0</v>
      </c>
      <c r="L139" s="34" t="s">
        <v>48</v>
      </c>
      <c r="M139" s="33" t="n">
        <f>3302</f>
        <v>3302.0</v>
      </c>
      <c r="N139" s="34" t="s">
        <v>51</v>
      </c>
      <c r="O139" s="33" t="n">
        <f>2866</f>
        <v>2866.0</v>
      </c>
      <c r="P139" s="34" t="s">
        <v>48</v>
      </c>
      <c r="Q139" s="33" t="n">
        <f>3258</f>
        <v>3258.0</v>
      </c>
      <c r="R139" s="34" t="s">
        <v>51</v>
      </c>
      <c r="S139" s="35" t="n">
        <f>3055</f>
        <v>3055.0</v>
      </c>
      <c r="T139" s="32" t="n">
        <f>3688957</f>
        <v>3688957.0</v>
      </c>
      <c r="U139" s="32" t="n">
        <f>5862</f>
        <v>5862.0</v>
      </c>
      <c r="V139" s="32" t="n">
        <f>11393991992</f>
        <v>1.1393991992E10</v>
      </c>
      <c r="W139" s="32" t="n">
        <f>17938796</f>
        <v>1.7938796E7</v>
      </c>
      <c r="X139" s="36" t="n">
        <f>22</f>
        <v>22.0</v>
      </c>
    </row>
    <row r="140">
      <c r="A140" s="27" t="s">
        <v>42</v>
      </c>
      <c r="B140" s="27" t="s">
        <v>467</v>
      </c>
      <c r="C140" s="27" t="s">
        <v>468</v>
      </c>
      <c r="D140" s="27" t="s">
        <v>469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44380</f>
        <v>44380.0</v>
      </c>
      <c r="L140" s="34" t="s">
        <v>48</v>
      </c>
      <c r="M140" s="33" t="n">
        <f>46900</f>
        <v>46900.0</v>
      </c>
      <c r="N140" s="34" t="s">
        <v>88</v>
      </c>
      <c r="O140" s="33" t="n">
        <f>44340</f>
        <v>44340.0</v>
      </c>
      <c r="P140" s="34" t="s">
        <v>48</v>
      </c>
      <c r="Q140" s="33" t="n">
        <f>45740</f>
        <v>45740.0</v>
      </c>
      <c r="R140" s="34" t="s">
        <v>51</v>
      </c>
      <c r="S140" s="35" t="n">
        <f>45677.27</f>
        <v>45677.27</v>
      </c>
      <c r="T140" s="32" t="n">
        <f>13902</f>
        <v>13902.0</v>
      </c>
      <c r="U140" s="32" t="str">
        <f>"－"</f>
        <v>－</v>
      </c>
      <c r="V140" s="32" t="n">
        <f>635470420</f>
        <v>6.3547042E8</v>
      </c>
      <c r="W140" s="32" t="str">
        <f>"－"</f>
        <v>－</v>
      </c>
      <c r="X140" s="36" t="n">
        <f>22</f>
        <v>22.0</v>
      </c>
    </row>
    <row r="141">
      <c r="A141" s="27" t="s">
        <v>42</v>
      </c>
      <c r="B141" s="27" t="s">
        <v>470</v>
      </c>
      <c r="C141" s="27" t="s">
        <v>471</v>
      </c>
      <c r="D141" s="27" t="s">
        <v>472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4778</f>
        <v>4778.0</v>
      </c>
      <c r="L141" s="34" t="s">
        <v>48</v>
      </c>
      <c r="M141" s="33" t="n">
        <f>5299</f>
        <v>5299.0</v>
      </c>
      <c r="N141" s="34" t="s">
        <v>88</v>
      </c>
      <c r="O141" s="33" t="n">
        <f>4723</f>
        <v>4723.0</v>
      </c>
      <c r="P141" s="34" t="s">
        <v>48</v>
      </c>
      <c r="Q141" s="33" t="n">
        <f>5066</f>
        <v>5066.0</v>
      </c>
      <c r="R141" s="34" t="s">
        <v>51</v>
      </c>
      <c r="S141" s="35" t="n">
        <f>5060.27</f>
        <v>5060.27</v>
      </c>
      <c r="T141" s="32" t="n">
        <f>269650</f>
        <v>269650.0</v>
      </c>
      <c r="U141" s="32" t="str">
        <f>"－"</f>
        <v>－</v>
      </c>
      <c r="V141" s="32" t="n">
        <f>1382381930</f>
        <v>1.38238193E9</v>
      </c>
      <c r="W141" s="32" t="str">
        <f>"－"</f>
        <v>－</v>
      </c>
      <c r="X141" s="36" t="n">
        <f>22</f>
        <v>22.0</v>
      </c>
    </row>
    <row r="142">
      <c r="A142" s="27" t="s">
        <v>42</v>
      </c>
      <c r="B142" s="27" t="s">
        <v>473</v>
      </c>
      <c r="C142" s="27" t="s">
        <v>474</v>
      </c>
      <c r="D142" s="27" t="s">
        <v>475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18040</f>
        <v>18040.0</v>
      </c>
      <c r="L142" s="34" t="s">
        <v>48</v>
      </c>
      <c r="M142" s="33" t="n">
        <f>22050</f>
        <v>22050.0</v>
      </c>
      <c r="N142" s="34" t="s">
        <v>212</v>
      </c>
      <c r="O142" s="33" t="n">
        <f>17350</f>
        <v>17350.0</v>
      </c>
      <c r="P142" s="34" t="s">
        <v>51</v>
      </c>
      <c r="Q142" s="33" t="n">
        <f>17990</f>
        <v>17990.0</v>
      </c>
      <c r="R142" s="34" t="s">
        <v>51</v>
      </c>
      <c r="S142" s="35" t="n">
        <f>19006.14</f>
        <v>19006.14</v>
      </c>
      <c r="T142" s="32" t="n">
        <f>52883</f>
        <v>52883.0</v>
      </c>
      <c r="U142" s="32" t="str">
        <f>"－"</f>
        <v>－</v>
      </c>
      <c r="V142" s="32" t="n">
        <f>1031885685</f>
        <v>1.031885685E9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476</v>
      </c>
      <c r="C143" s="27" t="s">
        <v>477</v>
      </c>
      <c r="D143" s="27" t="s">
        <v>478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14750</f>
        <v>14750.0</v>
      </c>
      <c r="L143" s="34" t="s">
        <v>48</v>
      </c>
      <c r="M143" s="33" t="n">
        <f>17880</f>
        <v>17880.0</v>
      </c>
      <c r="N143" s="34" t="s">
        <v>269</v>
      </c>
      <c r="O143" s="33" t="n">
        <f>14505</f>
        <v>14505.0</v>
      </c>
      <c r="P143" s="34" t="s">
        <v>61</v>
      </c>
      <c r="Q143" s="33" t="n">
        <f>16480</f>
        <v>16480.0</v>
      </c>
      <c r="R143" s="34" t="s">
        <v>51</v>
      </c>
      <c r="S143" s="35" t="n">
        <f>16007.95</f>
        <v>16007.95</v>
      </c>
      <c r="T143" s="32" t="n">
        <f>25387</f>
        <v>25387.0</v>
      </c>
      <c r="U143" s="32" t="str">
        <f>"－"</f>
        <v>－</v>
      </c>
      <c r="V143" s="32" t="n">
        <f>411875915</f>
        <v>4.11875915E8</v>
      </c>
      <c r="W143" s="32" t="str">
        <f>"－"</f>
        <v>－</v>
      </c>
      <c r="X143" s="36" t="n">
        <f>22</f>
        <v>22.0</v>
      </c>
    </row>
    <row r="144">
      <c r="A144" s="27" t="s">
        <v>42</v>
      </c>
      <c r="B144" s="27" t="s">
        <v>479</v>
      </c>
      <c r="C144" s="27" t="s">
        <v>480</v>
      </c>
      <c r="D144" s="27" t="s">
        <v>481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28390</f>
        <v>28390.0</v>
      </c>
      <c r="L144" s="34" t="s">
        <v>48</v>
      </c>
      <c r="M144" s="33" t="n">
        <f>33390</f>
        <v>33390.0</v>
      </c>
      <c r="N144" s="34" t="s">
        <v>88</v>
      </c>
      <c r="O144" s="33" t="n">
        <f>27100</f>
        <v>27100.0</v>
      </c>
      <c r="P144" s="34" t="s">
        <v>167</v>
      </c>
      <c r="Q144" s="33" t="n">
        <f>29505</f>
        <v>29505.0</v>
      </c>
      <c r="R144" s="34" t="s">
        <v>51</v>
      </c>
      <c r="S144" s="35" t="n">
        <f>29519.09</f>
        <v>29519.09</v>
      </c>
      <c r="T144" s="32" t="n">
        <f>2267</f>
        <v>2267.0</v>
      </c>
      <c r="U144" s="32" t="str">
        <f>"－"</f>
        <v>－</v>
      </c>
      <c r="V144" s="32" t="n">
        <f>68610990</f>
        <v>6.861099E7</v>
      </c>
      <c r="W144" s="32" t="str">
        <f>"－"</f>
        <v>－</v>
      </c>
      <c r="X144" s="36" t="n">
        <f>22</f>
        <v>22.0</v>
      </c>
    </row>
    <row r="145">
      <c r="A145" s="27" t="s">
        <v>42</v>
      </c>
      <c r="B145" s="27" t="s">
        <v>482</v>
      </c>
      <c r="C145" s="27" t="s">
        <v>483</v>
      </c>
      <c r="D145" s="27" t="s">
        <v>484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55160</f>
        <v>55160.0</v>
      </c>
      <c r="L145" s="34" t="s">
        <v>48</v>
      </c>
      <c r="M145" s="33" t="n">
        <f>56330</f>
        <v>56330.0</v>
      </c>
      <c r="N145" s="34" t="s">
        <v>51</v>
      </c>
      <c r="O145" s="33" t="n">
        <f>55150</f>
        <v>55150.0</v>
      </c>
      <c r="P145" s="34" t="s">
        <v>118</v>
      </c>
      <c r="Q145" s="33" t="n">
        <f>56070</f>
        <v>56070.0</v>
      </c>
      <c r="R145" s="34" t="s">
        <v>51</v>
      </c>
      <c r="S145" s="35" t="n">
        <f>55831.43</f>
        <v>55831.43</v>
      </c>
      <c r="T145" s="32" t="n">
        <f>3050</f>
        <v>3050.0</v>
      </c>
      <c r="U145" s="32" t="n">
        <f>10</f>
        <v>10.0</v>
      </c>
      <c r="V145" s="32" t="n">
        <f>170307901</f>
        <v>1.70307901E8</v>
      </c>
      <c r="W145" s="32" t="n">
        <f>561601</f>
        <v>561601.0</v>
      </c>
      <c r="X145" s="36" t="n">
        <f>21</f>
        <v>21.0</v>
      </c>
    </row>
    <row r="146">
      <c r="A146" s="27" t="s">
        <v>42</v>
      </c>
      <c r="B146" s="27" t="s">
        <v>485</v>
      </c>
      <c r="C146" s="27" t="s">
        <v>486</v>
      </c>
      <c r="D146" s="27" t="s">
        <v>487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354.5</f>
        <v>354.5</v>
      </c>
      <c r="L146" s="34" t="s">
        <v>48</v>
      </c>
      <c r="M146" s="33" t="n">
        <f>361.4</f>
        <v>361.4</v>
      </c>
      <c r="N146" s="34" t="s">
        <v>330</v>
      </c>
      <c r="O146" s="33" t="n">
        <f>344.6</f>
        <v>344.6</v>
      </c>
      <c r="P146" s="34" t="s">
        <v>51</v>
      </c>
      <c r="Q146" s="33" t="n">
        <f>347.4</f>
        <v>347.4</v>
      </c>
      <c r="R146" s="34" t="s">
        <v>51</v>
      </c>
      <c r="S146" s="35" t="n">
        <f>354.07</f>
        <v>354.07</v>
      </c>
      <c r="T146" s="32" t="n">
        <f>21048410</f>
        <v>2.104841E7</v>
      </c>
      <c r="U146" s="32" t="n">
        <f>499790</f>
        <v>499790.0</v>
      </c>
      <c r="V146" s="32" t="n">
        <f>7462248688</f>
        <v>7.462248688E9</v>
      </c>
      <c r="W146" s="32" t="n">
        <f>177562067</f>
        <v>1.77562067E8</v>
      </c>
      <c r="X146" s="36" t="n">
        <f>22</f>
        <v>22.0</v>
      </c>
    </row>
    <row r="147">
      <c r="A147" s="27" t="s">
        <v>42</v>
      </c>
      <c r="B147" s="27" t="s">
        <v>488</v>
      </c>
      <c r="C147" s="27" t="s">
        <v>489</v>
      </c>
      <c r="D147" s="27" t="s">
        <v>490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51830</f>
        <v>51830.0</v>
      </c>
      <c r="L147" s="34" t="s">
        <v>48</v>
      </c>
      <c r="M147" s="33" t="n">
        <f>55320</f>
        <v>55320.0</v>
      </c>
      <c r="N147" s="34" t="s">
        <v>80</v>
      </c>
      <c r="O147" s="33" t="n">
        <f>51830</f>
        <v>51830.0</v>
      </c>
      <c r="P147" s="34" t="s">
        <v>48</v>
      </c>
      <c r="Q147" s="33" t="n">
        <f>55260</f>
        <v>55260.0</v>
      </c>
      <c r="R147" s="34" t="s">
        <v>51</v>
      </c>
      <c r="S147" s="35" t="n">
        <f>53571.11</f>
        <v>53571.11</v>
      </c>
      <c r="T147" s="32" t="n">
        <f>710</f>
        <v>710.0</v>
      </c>
      <c r="U147" s="32" t="str">
        <f>"－"</f>
        <v>－</v>
      </c>
      <c r="V147" s="32" t="n">
        <f>38057500</f>
        <v>3.80575E7</v>
      </c>
      <c r="W147" s="32" t="str">
        <f>"－"</f>
        <v>－</v>
      </c>
      <c r="X147" s="36" t="n">
        <f>18</f>
        <v>18.0</v>
      </c>
    </row>
    <row r="148">
      <c r="A148" s="27" t="s">
        <v>42</v>
      </c>
      <c r="B148" s="27" t="s">
        <v>491</v>
      </c>
      <c r="C148" s="27" t="s">
        <v>492</v>
      </c>
      <c r="D148" s="27" t="s">
        <v>493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6191</f>
        <v>6191.0</v>
      </c>
      <c r="L148" s="34" t="s">
        <v>48</v>
      </c>
      <c r="M148" s="33" t="n">
        <f>6580</f>
        <v>6580.0</v>
      </c>
      <c r="N148" s="34" t="s">
        <v>51</v>
      </c>
      <c r="O148" s="33" t="n">
        <f>6173</f>
        <v>6173.0</v>
      </c>
      <c r="P148" s="34" t="s">
        <v>61</v>
      </c>
      <c r="Q148" s="33" t="n">
        <f>6573</f>
        <v>6573.0</v>
      </c>
      <c r="R148" s="34" t="s">
        <v>51</v>
      </c>
      <c r="S148" s="35" t="n">
        <f>6391.82</f>
        <v>6391.82</v>
      </c>
      <c r="T148" s="32" t="n">
        <f>71795</f>
        <v>71795.0</v>
      </c>
      <c r="U148" s="32" t="n">
        <f>38</f>
        <v>38.0</v>
      </c>
      <c r="V148" s="32" t="n">
        <f>458574638</f>
        <v>4.58574638E8</v>
      </c>
      <c r="W148" s="32" t="n">
        <f>249677</f>
        <v>249677.0</v>
      </c>
      <c r="X148" s="36" t="n">
        <f>22</f>
        <v>22.0</v>
      </c>
    </row>
    <row r="149">
      <c r="A149" s="27" t="s">
        <v>42</v>
      </c>
      <c r="B149" s="27" t="s">
        <v>494</v>
      </c>
      <c r="C149" s="27" t="s">
        <v>495</v>
      </c>
      <c r="D149" s="27" t="s">
        <v>496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2196</f>
        <v>2196.0</v>
      </c>
      <c r="L149" s="34" t="s">
        <v>48</v>
      </c>
      <c r="M149" s="33" t="n">
        <f>2329</f>
        <v>2329.0</v>
      </c>
      <c r="N149" s="34" t="s">
        <v>246</v>
      </c>
      <c r="O149" s="33" t="n">
        <f>2191</f>
        <v>2191.0</v>
      </c>
      <c r="P149" s="34" t="s">
        <v>48</v>
      </c>
      <c r="Q149" s="33" t="n">
        <f>2308</f>
        <v>2308.0</v>
      </c>
      <c r="R149" s="34" t="s">
        <v>51</v>
      </c>
      <c r="S149" s="35" t="n">
        <f>2278.41</f>
        <v>2278.41</v>
      </c>
      <c r="T149" s="32" t="n">
        <f>150099</f>
        <v>150099.0</v>
      </c>
      <c r="U149" s="32" t="n">
        <f>5670</f>
        <v>5670.0</v>
      </c>
      <c r="V149" s="32" t="n">
        <f>342582313</f>
        <v>3.42582313E8</v>
      </c>
      <c r="W149" s="32" t="n">
        <f>12810560</f>
        <v>1.281056E7</v>
      </c>
      <c r="X149" s="36" t="n">
        <f>22</f>
        <v>22.0</v>
      </c>
    </row>
    <row r="150">
      <c r="A150" s="27" t="s">
        <v>42</v>
      </c>
      <c r="B150" s="27" t="s">
        <v>497</v>
      </c>
      <c r="C150" s="27" t="s">
        <v>498</v>
      </c>
      <c r="D150" s="27" t="s">
        <v>499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1754</f>
        <v>1754.0</v>
      </c>
      <c r="L150" s="34" t="s">
        <v>61</v>
      </c>
      <c r="M150" s="33" t="n">
        <f>1989.5</f>
        <v>1989.5</v>
      </c>
      <c r="N150" s="34" t="s">
        <v>269</v>
      </c>
      <c r="O150" s="33" t="n">
        <f>1680</f>
        <v>1680.0</v>
      </c>
      <c r="P150" s="34" t="s">
        <v>180</v>
      </c>
      <c r="Q150" s="33" t="n">
        <f>1743</f>
        <v>1743.0</v>
      </c>
      <c r="R150" s="34" t="s">
        <v>51</v>
      </c>
      <c r="S150" s="35" t="n">
        <f>1749.47</f>
        <v>1749.47</v>
      </c>
      <c r="T150" s="32" t="n">
        <f>2370</f>
        <v>2370.0</v>
      </c>
      <c r="U150" s="32" t="str">
        <f>"－"</f>
        <v>－</v>
      </c>
      <c r="V150" s="32" t="n">
        <f>4234595</f>
        <v>4234595.0</v>
      </c>
      <c r="W150" s="32" t="str">
        <f>"－"</f>
        <v>－</v>
      </c>
      <c r="X150" s="36" t="n">
        <f>18</f>
        <v>18.0</v>
      </c>
    </row>
    <row r="151">
      <c r="A151" s="27" t="s">
        <v>42</v>
      </c>
      <c r="B151" s="27" t="s">
        <v>500</v>
      </c>
      <c r="C151" s="27" t="s">
        <v>501</v>
      </c>
      <c r="D151" s="27" t="s">
        <v>502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507</f>
        <v>507.0</v>
      </c>
      <c r="L151" s="34" t="s">
        <v>48</v>
      </c>
      <c r="M151" s="33" t="n">
        <f>548</f>
        <v>548.0</v>
      </c>
      <c r="N151" s="34" t="s">
        <v>269</v>
      </c>
      <c r="O151" s="33" t="n">
        <f>499.1</f>
        <v>499.1</v>
      </c>
      <c r="P151" s="34" t="s">
        <v>48</v>
      </c>
      <c r="Q151" s="33" t="n">
        <f>533.3</f>
        <v>533.3</v>
      </c>
      <c r="R151" s="34" t="s">
        <v>51</v>
      </c>
      <c r="S151" s="35" t="n">
        <f>522.33</f>
        <v>522.33</v>
      </c>
      <c r="T151" s="32" t="n">
        <f>36580</f>
        <v>36580.0</v>
      </c>
      <c r="U151" s="32" t="str">
        <f>"－"</f>
        <v>－</v>
      </c>
      <c r="V151" s="32" t="n">
        <f>19247291</f>
        <v>1.9247291E7</v>
      </c>
      <c r="W151" s="32" t="str">
        <f>"－"</f>
        <v>－</v>
      </c>
      <c r="X151" s="36" t="n">
        <f>22</f>
        <v>22.0</v>
      </c>
    </row>
    <row r="152">
      <c r="A152" s="27" t="s">
        <v>42</v>
      </c>
      <c r="B152" s="27" t="s">
        <v>503</v>
      </c>
      <c r="C152" s="27" t="s">
        <v>504</v>
      </c>
      <c r="D152" s="27" t="s">
        <v>505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2305</f>
        <v>2305.0</v>
      </c>
      <c r="L152" s="34" t="s">
        <v>118</v>
      </c>
      <c r="M152" s="33" t="n">
        <f>2820</f>
        <v>2820.0</v>
      </c>
      <c r="N152" s="34" t="s">
        <v>80</v>
      </c>
      <c r="O152" s="33" t="n">
        <f>2270</f>
        <v>2270.0</v>
      </c>
      <c r="P152" s="34" t="s">
        <v>51</v>
      </c>
      <c r="Q152" s="33" t="n">
        <f>2270</f>
        <v>2270.0</v>
      </c>
      <c r="R152" s="34" t="s">
        <v>51</v>
      </c>
      <c r="S152" s="35" t="n">
        <f>2401.47</f>
        <v>2401.47</v>
      </c>
      <c r="T152" s="32" t="n">
        <f>5600</f>
        <v>5600.0</v>
      </c>
      <c r="U152" s="32" t="str">
        <f>"－"</f>
        <v>－</v>
      </c>
      <c r="V152" s="32" t="n">
        <f>13614915</f>
        <v>1.3614915E7</v>
      </c>
      <c r="W152" s="32" t="str">
        <f>"－"</f>
        <v>－</v>
      </c>
      <c r="X152" s="36" t="n">
        <f>19</f>
        <v>19.0</v>
      </c>
    </row>
    <row r="153">
      <c r="A153" s="27" t="s">
        <v>42</v>
      </c>
      <c r="B153" s="27" t="s">
        <v>506</v>
      </c>
      <c r="C153" s="27" t="s">
        <v>507</v>
      </c>
      <c r="D153" s="27" t="s">
        <v>508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848</f>
        <v>848.0</v>
      </c>
      <c r="L153" s="34" t="s">
        <v>48</v>
      </c>
      <c r="M153" s="33" t="n">
        <f>896.9</f>
        <v>896.9</v>
      </c>
      <c r="N153" s="34" t="s">
        <v>212</v>
      </c>
      <c r="O153" s="33" t="n">
        <f>842</f>
        <v>842.0</v>
      </c>
      <c r="P153" s="34" t="s">
        <v>48</v>
      </c>
      <c r="Q153" s="33" t="n">
        <f>870.1</f>
        <v>870.1</v>
      </c>
      <c r="R153" s="34" t="s">
        <v>51</v>
      </c>
      <c r="S153" s="35" t="n">
        <f>867.04</f>
        <v>867.04</v>
      </c>
      <c r="T153" s="32" t="n">
        <f>49970</f>
        <v>49970.0</v>
      </c>
      <c r="U153" s="32" t="str">
        <f>"－"</f>
        <v>－</v>
      </c>
      <c r="V153" s="32" t="n">
        <f>43156162</f>
        <v>4.3156162E7</v>
      </c>
      <c r="W153" s="32" t="str">
        <f>"－"</f>
        <v>－</v>
      </c>
      <c r="X153" s="36" t="n">
        <f>22</f>
        <v>22.0</v>
      </c>
    </row>
    <row r="154">
      <c r="A154" s="27" t="s">
        <v>42</v>
      </c>
      <c r="B154" s="27" t="s">
        <v>509</v>
      </c>
      <c r="C154" s="27" t="s">
        <v>510</v>
      </c>
      <c r="D154" s="27" t="s">
        <v>511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480.8</f>
        <v>480.8</v>
      </c>
      <c r="L154" s="34" t="s">
        <v>48</v>
      </c>
      <c r="M154" s="33" t="n">
        <f>507.6</f>
        <v>507.6</v>
      </c>
      <c r="N154" s="34" t="s">
        <v>330</v>
      </c>
      <c r="O154" s="33" t="n">
        <f>477.2</f>
        <v>477.2</v>
      </c>
      <c r="P154" s="34" t="s">
        <v>48</v>
      </c>
      <c r="Q154" s="33" t="n">
        <f>482</f>
        <v>482.0</v>
      </c>
      <c r="R154" s="34" t="s">
        <v>51</v>
      </c>
      <c r="S154" s="35" t="n">
        <f>486.96</f>
        <v>486.96</v>
      </c>
      <c r="T154" s="32" t="n">
        <f>99770</f>
        <v>99770.0</v>
      </c>
      <c r="U154" s="32" t="str">
        <f>"－"</f>
        <v>－</v>
      </c>
      <c r="V154" s="32" t="n">
        <f>48534305</f>
        <v>4.8534305E7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512</v>
      </c>
      <c r="C155" s="27" t="s">
        <v>513</v>
      </c>
      <c r="D155" s="27" t="s">
        <v>514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1182</f>
        <v>1182.0</v>
      </c>
      <c r="L155" s="34" t="s">
        <v>48</v>
      </c>
      <c r="M155" s="33" t="n">
        <f>1229</f>
        <v>1229.0</v>
      </c>
      <c r="N155" s="34" t="s">
        <v>111</v>
      </c>
      <c r="O155" s="33" t="n">
        <f>1028</f>
        <v>1028.0</v>
      </c>
      <c r="P155" s="34" t="s">
        <v>51</v>
      </c>
      <c r="Q155" s="33" t="n">
        <f>1033</f>
        <v>1033.0</v>
      </c>
      <c r="R155" s="34" t="s">
        <v>51</v>
      </c>
      <c r="S155" s="35" t="n">
        <f>1130.64</f>
        <v>1130.64</v>
      </c>
      <c r="T155" s="32" t="n">
        <f>1070885</f>
        <v>1070885.0</v>
      </c>
      <c r="U155" s="32" t="str">
        <f>"－"</f>
        <v>－</v>
      </c>
      <c r="V155" s="32" t="n">
        <f>1196605001</f>
        <v>1.196605001E9</v>
      </c>
      <c r="W155" s="32" t="str">
        <f>"－"</f>
        <v>－</v>
      </c>
      <c r="X155" s="36" t="n">
        <f>22</f>
        <v>22.0</v>
      </c>
    </row>
    <row r="156">
      <c r="A156" s="27" t="s">
        <v>42</v>
      </c>
      <c r="B156" s="27" t="s">
        <v>515</v>
      </c>
      <c r="C156" s="27" t="s">
        <v>516</v>
      </c>
      <c r="D156" s="27" t="s">
        <v>517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1342</f>
        <v>1342.0</v>
      </c>
      <c r="L156" s="34" t="s">
        <v>48</v>
      </c>
      <c r="M156" s="33" t="n">
        <f>1540.5</f>
        <v>1540.5</v>
      </c>
      <c r="N156" s="34" t="s">
        <v>51</v>
      </c>
      <c r="O156" s="33" t="n">
        <f>1335</f>
        <v>1335.0</v>
      </c>
      <c r="P156" s="34" t="s">
        <v>48</v>
      </c>
      <c r="Q156" s="33" t="n">
        <f>1519.5</f>
        <v>1519.5</v>
      </c>
      <c r="R156" s="34" t="s">
        <v>51</v>
      </c>
      <c r="S156" s="35" t="n">
        <f>1425.14</f>
        <v>1425.14</v>
      </c>
      <c r="T156" s="32" t="n">
        <f>33770</f>
        <v>33770.0</v>
      </c>
      <c r="U156" s="32" t="str">
        <f>"－"</f>
        <v>－</v>
      </c>
      <c r="V156" s="32" t="n">
        <f>48936290</f>
        <v>4.893629E7</v>
      </c>
      <c r="W156" s="32" t="str">
        <f>"－"</f>
        <v>－</v>
      </c>
      <c r="X156" s="36" t="n">
        <f>22</f>
        <v>22.0</v>
      </c>
    </row>
    <row r="157">
      <c r="A157" s="27" t="s">
        <v>42</v>
      </c>
      <c r="B157" s="27" t="s">
        <v>518</v>
      </c>
      <c r="C157" s="27" t="s">
        <v>519</v>
      </c>
      <c r="D157" s="27" t="s">
        <v>520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7263</f>
        <v>7263.0</v>
      </c>
      <c r="L157" s="34" t="s">
        <v>48</v>
      </c>
      <c r="M157" s="33" t="n">
        <f>8100</f>
        <v>8100.0</v>
      </c>
      <c r="N157" s="34" t="s">
        <v>51</v>
      </c>
      <c r="O157" s="33" t="n">
        <f>7263</f>
        <v>7263.0</v>
      </c>
      <c r="P157" s="34" t="s">
        <v>48</v>
      </c>
      <c r="Q157" s="33" t="n">
        <f>8038</f>
        <v>8038.0</v>
      </c>
      <c r="R157" s="34" t="s">
        <v>51</v>
      </c>
      <c r="S157" s="35" t="n">
        <f>7605.62</f>
        <v>7605.62</v>
      </c>
      <c r="T157" s="32" t="n">
        <f>4737</f>
        <v>4737.0</v>
      </c>
      <c r="U157" s="32" t="str">
        <f>"－"</f>
        <v>－</v>
      </c>
      <c r="V157" s="32" t="n">
        <f>36273053</f>
        <v>3.6273053E7</v>
      </c>
      <c r="W157" s="32" t="str">
        <f>"－"</f>
        <v>－</v>
      </c>
      <c r="X157" s="36" t="n">
        <f>21</f>
        <v>21.0</v>
      </c>
    </row>
    <row r="158">
      <c r="A158" s="27" t="s">
        <v>42</v>
      </c>
      <c r="B158" s="27" t="s">
        <v>521</v>
      </c>
      <c r="C158" s="27" t="s">
        <v>522</v>
      </c>
      <c r="D158" s="27" t="s">
        <v>523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479.8</f>
        <v>479.8</v>
      </c>
      <c r="L158" s="34" t="s">
        <v>48</v>
      </c>
      <c r="M158" s="33" t="n">
        <f>511.7</f>
        <v>511.7</v>
      </c>
      <c r="N158" s="34" t="s">
        <v>212</v>
      </c>
      <c r="O158" s="33" t="n">
        <f>479.8</f>
        <v>479.8</v>
      </c>
      <c r="P158" s="34" t="s">
        <v>48</v>
      </c>
      <c r="Q158" s="33" t="n">
        <f>501.5</f>
        <v>501.5</v>
      </c>
      <c r="R158" s="34" t="s">
        <v>51</v>
      </c>
      <c r="S158" s="35" t="n">
        <f>498.43</f>
        <v>498.43</v>
      </c>
      <c r="T158" s="32" t="n">
        <f>47800</f>
        <v>47800.0</v>
      </c>
      <c r="U158" s="32" t="str">
        <f>"－"</f>
        <v>－</v>
      </c>
      <c r="V158" s="32" t="n">
        <f>23892580</f>
        <v>2.389258E7</v>
      </c>
      <c r="W158" s="32" t="str">
        <f>"－"</f>
        <v>－</v>
      </c>
      <c r="X158" s="36" t="n">
        <f>21</f>
        <v>21.0</v>
      </c>
    </row>
    <row r="159">
      <c r="A159" s="27" t="s">
        <v>42</v>
      </c>
      <c r="B159" s="27" t="s">
        <v>524</v>
      </c>
      <c r="C159" s="27" t="s">
        <v>525</v>
      </c>
      <c r="D159" s="27" t="s">
        <v>526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6484</f>
        <v>6484.0</v>
      </c>
      <c r="L159" s="34" t="s">
        <v>48</v>
      </c>
      <c r="M159" s="33" t="n">
        <f>7646</f>
        <v>7646.0</v>
      </c>
      <c r="N159" s="34" t="s">
        <v>49</v>
      </c>
      <c r="O159" s="33" t="n">
        <f>5896</f>
        <v>5896.0</v>
      </c>
      <c r="P159" s="34" t="s">
        <v>51</v>
      </c>
      <c r="Q159" s="33" t="n">
        <f>5896</f>
        <v>5896.0</v>
      </c>
      <c r="R159" s="34" t="s">
        <v>51</v>
      </c>
      <c r="S159" s="35" t="n">
        <f>7069.36</f>
        <v>7069.36</v>
      </c>
      <c r="T159" s="32" t="n">
        <f>232350</f>
        <v>232350.0</v>
      </c>
      <c r="U159" s="32" t="str">
        <f>"－"</f>
        <v>－</v>
      </c>
      <c r="V159" s="32" t="n">
        <f>1535741060</f>
        <v>1.53574106E9</v>
      </c>
      <c r="W159" s="32" t="str">
        <f>"－"</f>
        <v>－</v>
      </c>
      <c r="X159" s="36" t="n">
        <f>22</f>
        <v>22.0</v>
      </c>
    </row>
    <row r="160">
      <c r="A160" s="27" t="s">
        <v>42</v>
      </c>
      <c r="B160" s="27" t="s">
        <v>527</v>
      </c>
      <c r="C160" s="27" t="s">
        <v>528</v>
      </c>
      <c r="D160" s="27" t="s">
        <v>529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1997.5</f>
        <v>1997.5</v>
      </c>
      <c r="L160" s="34" t="s">
        <v>48</v>
      </c>
      <c r="M160" s="33" t="n">
        <f>2140</f>
        <v>2140.0</v>
      </c>
      <c r="N160" s="34" t="s">
        <v>49</v>
      </c>
      <c r="O160" s="33" t="n">
        <f>1932</f>
        <v>1932.0</v>
      </c>
      <c r="P160" s="34" t="s">
        <v>48</v>
      </c>
      <c r="Q160" s="33" t="n">
        <f>1990.5</f>
        <v>1990.5</v>
      </c>
      <c r="R160" s="34" t="s">
        <v>51</v>
      </c>
      <c r="S160" s="35" t="n">
        <f>2000.52</f>
        <v>2000.52</v>
      </c>
      <c r="T160" s="32" t="n">
        <f>15520</f>
        <v>15520.0</v>
      </c>
      <c r="U160" s="32" t="str">
        <f>"－"</f>
        <v>－</v>
      </c>
      <c r="V160" s="32" t="n">
        <f>31190845</f>
        <v>3.1190845E7</v>
      </c>
      <c r="W160" s="32" t="str">
        <f>"－"</f>
        <v>－</v>
      </c>
      <c r="X160" s="36" t="n">
        <f>22</f>
        <v>22.0</v>
      </c>
    </row>
    <row r="161">
      <c r="A161" s="27" t="s">
        <v>42</v>
      </c>
      <c r="B161" s="27" t="s">
        <v>530</v>
      </c>
      <c r="C161" s="27" t="s">
        <v>531</v>
      </c>
      <c r="D161" s="27" t="s">
        <v>532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2807</f>
        <v>2807.0</v>
      </c>
      <c r="L161" s="34" t="s">
        <v>48</v>
      </c>
      <c r="M161" s="33" t="n">
        <f>2904</f>
        <v>2904.0</v>
      </c>
      <c r="N161" s="34" t="s">
        <v>205</v>
      </c>
      <c r="O161" s="33" t="n">
        <f>2733</f>
        <v>2733.0</v>
      </c>
      <c r="P161" s="34" t="s">
        <v>48</v>
      </c>
      <c r="Q161" s="33" t="n">
        <f>2768</f>
        <v>2768.0</v>
      </c>
      <c r="R161" s="34" t="s">
        <v>51</v>
      </c>
      <c r="S161" s="35" t="n">
        <f>2828.77</f>
        <v>2828.77</v>
      </c>
      <c r="T161" s="32" t="n">
        <f>268920</f>
        <v>268920.0</v>
      </c>
      <c r="U161" s="32" t="str">
        <f>"－"</f>
        <v>－</v>
      </c>
      <c r="V161" s="32" t="n">
        <f>758784484</f>
        <v>7.58784484E8</v>
      </c>
      <c r="W161" s="32" t="str">
        <f>"－"</f>
        <v>－</v>
      </c>
      <c r="X161" s="36" t="n">
        <f>22</f>
        <v>22.0</v>
      </c>
    </row>
    <row r="162">
      <c r="A162" s="27" t="s">
        <v>42</v>
      </c>
      <c r="B162" s="27" t="s">
        <v>533</v>
      </c>
      <c r="C162" s="27" t="s">
        <v>534</v>
      </c>
      <c r="D162" s="27" t="s">
        <v>535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2774</f>
        <v>2774.0</v>
      </c>
      <c r="L162" s="34" t="s">
        <v>48</v>
      </c>
      <c r="M162" s="33" t="n">
        <f>2815</f>
        <v>2815.0</v>
      </c>
      <c r="N162" s="34" t="s">
        <v>167</v>
      </c>
      <c r="O162" s="33" t="n">
        <f>2665</f>
        <v>2665.0</v>
      </c>
      <c r="P162" s="34" t="s">
        <v>104</v>
      </c>
      <c r="Q162" s="33" t="n">
        <f>2699</f>
        <v>2699.0</v>
      </c>
      <c r="R162" s="34" t="s">
        <v>51</v>
      </c>
      <c r="S162" s="35" t="n">
        <f>2730.95</f>
        <v>2730.95</v>
      </c>
      <c r="T162" s="32" t="n">
        <f>63510</f>
        <v>63510.0</v>
      </c>
      <c r="U162" s="32" t="str">
        <f>"－"</f>
        <v>－</v>
      </c>
      <c r="V162" s="32" t="n">
        <f>173072317</f>
        <v>1.73072317E8</v>
      </c>
      <c r="W162" s="32" t="str">
        <f>"－"</f>
        <v>－</v>
      </c>
      <c r="X162" s="36" t="n">
        <f>22</f>
        <v>22.0</v>
      </c>
    </row>
    <row r="163">
      <c r="A163" s="27" t="s">
        <v>42</v>
      </c>
      <c r="B163" s="27" t="s">
        <v>536</v>
      </c>
      <c r="C163" s="27" t="s">
        <v>537</v>
      </c>
      <c r="D163" s="27" t="s">
        <v>538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3641</f>
        <v>3641.0</v>
      </c>
      <c r="L163" s="34" t="s">
        <v>48</v>
      </c>
      <c r="M163" s="33" t="n">
        <f>3800</f>
        <v>3800.0</v>
      </c>
      <c r="N163" s="34" t="s">
        <v>269</v>
      </c>
      <c r="O163" s="33" t="n">
        <f>3634</f>
        <v>3634.0</v>
      </c>
      <c r="P163" s="34" t="s">
        <v>50</v>
      </c>
      <c r="Q163" s="33" t="n">
        <f>3674</f>
        <v>3674.0</v>
      </c>
      <c r="R163" s="34" t="s">
        <v>51</v>
      </c>
      <c r="S163" s="35" t="n">
        <f>3710.32</f>
        <v>3710.32</v>
      </c>
      <c r="T163" s="32" t="n">
        <f>18710</f>
        <v>18710.0</v>
      </c>
      <c r="U163" s="32" t="str">
        <f>"－"</f>
        <v>－</v>
      </c>
      <c r="V163" s="32" t="n">
        <f>69148070</f>
        <v>6.914807E7</v>
      </c>
      <c r="W163" s="32" t="str">
        <f>"－"</f>
        <v>－</v>
      </c>
      <c r="X163" s="36" t="n">
        <f>22</f>
        <v>22.0</v>
      </c>
    </row>
    <row r="164">
      <c r="A164" s="27" t="s">
        <v>42</v>
      </c>
      <c r="B164" s="27" t="s">
        <v>539</v>
      </c>
      <c r="C164" s="27" t="s">
        <v>540</v>
      </c>
      <c r="D164" s="27" t="s">
        <v>541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3067</f>
        <v>3067.0</v>
      </c>
      <c r="L164" s="34" t="s">
        <v>48</v>
      </c>
      <c r="M164" s="33" t="n">
        <f>3197</f>
        <v>3197.0</v>
      </c>
      <c r="N164" s="34" t="s">
        <v>49</v>
      </c>
      <c r="O164" s="33" t="n">
        <f>3021</f>
        <v>3021.0</v>
      </c>
      <c r="P164" s="34" t="s">
        <v>180</v>
      </c>
      <c r="Q164" s="33" t="n">
        <f>3163</f>
        <v>3163.0</v>
      </c>
      <c r="R164" s="34" t="s">
        <v>51</v>
      </c>
      <c r="S164" s="35" t="n">
        <f>3087.32</f>
        <v>3087.32</v>
      </c>
      <c r="T164" s="32" t="n">
        <f>768062</f>
        <v>768062.0</v>
      </c>
      <c r="U164" s="32" t="n">
        <f>333600</f>
        <v>333600.0</v>
      </c>
      <c r="V164" s="32" t="n">
        <f>2354461809</f>
        <v>2.354461809E9</v>
      </c>
      <c r="W164" s="32" t="n">
        <f>1013182036</f>
        <v>1.013182036E9</v>
      </c>
      <c r="X164" s="36" t="n">
        <f>22</f>
        <v>22.0</v>
      </c>
    </row>
    <row r="165">
      <c r="A165" s="27" t="s">
        <v>42</v>
      </c>
      <c r="B165" s="27" t="s">
        <v>542</v>
      </c>
      <c r="C165" s="27" t="s">
        <v>543</v>
      </c>
      <c r="D165" s="27" t="s">
        <v>544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367</f>
        <v>367.0</v>
      </c>
      <c r="L165" s="34" t="s">
        <v>48</v>
      </c>
      <c r="M165" s="33" t="n">
        <f>419.8</f>
        <v>419.8</v>
      </c>
      <c r="N165" s="34" t="s">
        <v>51</v>
      </c>
      <c r="O165" s="33" t="n">
        <f>365.8</f>
        <v>365.8</v>
      </c>
      <c r="P165" s="34" t="s">
        <v>48</v>
      </c>
      <c r="Q165" s="33" t="n">
        <f>414.6</f>
        <v>414.6</v>
      </c>
      <c r="R165" s="34" t="s">
        <v>51</v>
      </c>
      <c r="S165" s="35" t="n">
        <f>389.56</f>
        <v>389.56</v>
      </c>
      <c r="T165" s="32" t="n">
        <f>11113740</f>
        <v>1.111374E7</v>
      </c>
      <c r="U165" s="32" t="n">
        <f>165240</f>
        <v>165240.0</v>
      </c>
      <c r="V165" s="32" t="n">
        <f>4376509813</f>
        <v>4.376509813E9</v>
      </c>
      <c r="W165" s="32" t="n">
        <f>64256930</f>
        <v>6.425693E7</v>
      </c>
      <c r="X165" s="36" t="n">
        <f>22</f>
        <v>22.0</v>
      </c>
    </row>
    <row r="166">
      <c r="A166" s="27" t="s">
        <v>42</v>
      </c>
      <c r="B166" s="27" t="s">
        <v>545</v>
      </c>
      <c r="C166" s="27" t="s">
        <v>546</v>
      </c>
      <c r="D166" s="27" t="s">
        <v>547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2069</f>
        <v>2069.0</v>
      </c>
      <c r="L166" s="34" t="s">
        <v>48</v>
      </c>
      <c r="M166" s="33" t="n">
        <f>2165</f>
        <v>2165.0</v>
      </c>
      <c r="N166" s="34" t="s">
        <v>49</v>
      </c>
      <c r="O166" s="33" t="n">
        <f>2000</f>
        <v>2000.0</v>
      </c>
      <c r="P166" s="34" t="s">
        <v>50</v>
      </c>
      <c r="Q166" s="33" t="n">
        <f>2148</f>
        <v>2148.0</v>
      </c>
      <c r="R166" s="34" t="s">
        <v>51</v>
      </c>
      <c r="S166" s="35" t="n">
        <f>2078.77</f>
        <v>2078.77</v>
      </c>
      <c r="T166" s="32" t="n">
        <f>7103</f>
        <v>7103.0</v>
      </c>
      <c r="U166" s="32" t="str">
        <f>"－"</f>
        <v>－</v>
      </c>
      <c r="V166" s="32" t="n">
        <f>14766965</f>
        <v>1.4766965E7</v>
      </c>
      <c r="W166" s="32" t="str">
        <f>"－"</f>
        <v>－</v>
      </c>
      <c r="X166" s="36" t="n">
        <f>22</f>
        <v>22.0</v>
      </c>
    </row>
    <row r="167">
      <c r="A167" s="27" t="s">
        <v>42</v>
      </c>
      <c r="B167" s="27" t="s">
        <v>548</v>
      </c>
      <c r="C167" s="27" t="s">
        <v>549</v>
      </c>
      <c r="D167" s="27" t="s">
        <v>550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1188</f>
        <v>1188.0</v>
      </c>
      <c r="L167" s="34" t="s">
        <v>48</v>
      </c>
      <c r="M167" s="33" t="n">
        <f>1289</f>
        <v>1289.0</v>
      </c>
      <c r="N167" s="34" t="s">
        <v>80</v>
      </c>
      <c r="O167" s="33" t="n">
        <f>1173</f>
        <v>1173.0</v>
      </c>
      <c r="P167" s="34" t="s">
        <v>61</v>
      </c>
      <c r="Q167" s="33" t="n">
        <f>1280</f>
        <v>1280.0</v>
      </c>
      <c r="R167" s="34" t="s">
        <v>51</v>
      </c>
      <c r="S167" s="35" t="n">
        <f>1236.91</f>
        <v>1236.91</v>
      </c>
      <c r="T167" s="32" t="n">
        <f>732195</f>
        <v>732195.0</v>
      </c>
      <c r="U167" s="32" t="n">
        <f>30</f>
        <v>30.0</v>
      </c>
      <c r="V167" s="32" t="n">
        <f>908432147</f>
        <v>9.08432147E8</v>
      </c>
      <c r="W167" s="32" t="n">
        <f>36720</f>
        <v>36720.0</v>
      </c>
      <c r="X167" s="36" t="n">
        <f>22</f>
        <v>22.0</v>
      </c>
    </row>
    <row r="168">
      <c r="A168" s="27" t="s">
        <v>42</v>
      </c>
      <c r="B168" s="27" t="s">
        <v>551</v>
      </c>
      <c r="C168" s="27" t="s">
        <v>552</v>
      </c>
      <c r="D168" s="27" t="s">
        <v>553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268.4</f>
        <v>268.4</v>
      </c>
      <c r="L168" s="34" t="s">
        <v>48</v>
      </c>
      <c r="M168" s="33" t="n">
        <f>271.1</f>
        <v>271.1</v>
      </c>
      <c r="N168" s="34" t="s">
        <v>48</v>
      </c>
      <c r="O168" s="33" t="n">
        <f>258.5</f>
        <v>258.5</v>
      </c>
      <c r="P168" s="34" t="s">
        <v>111</v>
      </c>
      <c r="Q168" s="33" t="n">
        <f>266.1</f>
        <v>266.1</v>
      </c>
      <c r="R168" s="34" t="s">
        <v>51</v>
      </c>
      <c r="S168" s="35" t="n">
        <f>264.15</f>
        <v>264.15</v>
      </c>
      <c r="T168" s="32" t="n">
        <f>4310990</f>
        <v>4310990.0</v>
      </c>
      <c r="U168" s="32" t="str">
        <f>"－"</f>
        <v>－</v>
      </c>
      <c r="V168" s="32" t="n">
        <f>1141933897</f>
        <v>1.141933897E9</v>
      </c>
      <c r="W168" s="32" t="str">
        <f>"－"</f>
        <v>－</v>
      </c>
      <c r="X168" s="36" t="n">
        <f>22</f>
        <v>22.0</v>
      </c>
    </row>
    <row r="169">
      <c r="A169" s="27" t="s">
        <v>42</v>
      </c>
      <c r="B169" s="27" t="s">
        <v>554</v>
      </c>
      <c r="C169" s="27" t="s">
        <v>555</v>
      </c>
      <c r="D169" s="27" t="s">
        <v>556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273.9</f>
        <v>273.9</v>
      </c>
      <c r="L169" s="34" t="s">
        <v>48</v>
      </c>
      <c r="M169" s="33" t="n">
        <f>280.5</f>
        <v>280.5</v>
      </c>
      <c r="N169" s="34" t="s">
        <v>51</v>
      </c>
      <c r="O169" s="33" t="n">
        <f>270.8</f>
        <v>270.8</v>
      </c>
      <c r="P169" s="34" t="s">
        <v>167</v>
      </c>
      <c r="Q169" s="33" t="n">
        <f>280.4</f>
        <v>280.4</v>
      </c>
      <c r="R169" s="34" t="s">
        <v>51</v>
      </c>
      <c r="S169" s="35" t="n">
        <f>274.09</f>
        <v>274.09</v>
      </c>
      <c r="T169" s="32" t="n">
        <f>2205310</f>
        <v>2205310.0</v>
      </c>
      <c r="U169" s="32" t="str">
        <f>"－"</f>
        <v>－</v>
      </c>
      <c r="V169" s="32" t="n">
        <f>604894024</f>
        <v>6.04894024E8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557</v>
      </c>
      <c r="C170" s="27" t="s">
        <v>558</v>
      </c>
      <c r="D170" s="27" t="s">
        <v>559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489.7</f>
        <v>489.7</v>
      </c>
      <c r="L170" s="34" t="s">
        <v>48</v>
      </c>
      <c r="M170" s="33" t="n">
        <f>498</f>
        <v>498.0</v>
      </c>
      <c r="N170" s="34" t="s">
        <v>69</v>
      </c>
      <c r="O170" s="33" t="n">
        <f>481</f>
        <v>481.0</v>
      </c>
      <c r="P170" s="34" t="s">
        <v>118</v>
      </c>
      <c r="Q170" s="33" t="n">
        <f>498</f>
        <v>498.0</v>
      </c>
      <c r="R170" s="34" t="s">
        <v>51</v>
      </c>
      <c r="S170" s="35" t="n">
        <f>490.71</f>
        <v>490.71</v>
      </c>
      <c r="T170" s="32" t="n">
        <f>3207700</f>
        <v>3207700.0</v>
      </c>
      <c r="U170" s="32" t="n">
        <f>3200000</f>
        <v>3200000.0</v>
      </c>
      <c r="V170" s="32" t="n">
        <f>1588274722</f>
        <v>1.588274722E9</v>
      </c>
      <c r="W170" s="32" t="n">
        <f>1584480000</f>
        <v>1.58448E9</v>
      </c>
      <c r="X170" s="36" t="n">
        <f>15</f>
        <v>15.0</v>
      </c>
    </row>
    <row r="171">
      <c r="A171" s="27" t="s">
        <v>42</v>
      </c>
      <c r="B171" s="27" t="s">
        <v>560</v>
      </c>
      <c r="C171" s="27" t="s">
        <v>561</v>
      </c>
      <c r="D171" s="27" t="s">
        <v>562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470.5</f>
        <v>470.5</v>
      </c>
      <c r="L171" s="34" t="s">
        <v>48</v>
      </c>
      <c r="M171" s="33" t="n">
        <f>481.7</f>
        <v>481.7</v>
      </c>
      <c r="N171" s="34" t="s">
        <v>51</v>
      </c>
      <c r="O171" s="33" t="n">
        <f>466.2</f>
        <v>466.2</v>
      </c>
      <c r="P171" s="34" t="s">
        <v>180</v>
      </c>
      <c r="Q171" s="33" t="n">
        <f>481.7</f>
        <v>481.7</v>
      </c>
      <c r="R171" s="34" t="s">
        <v>51</v>
      </c>
      <c r="S171" s="35" t="n">
        <f>471</f>
        <v>471.0</v>
      </c>
      <c r="T171" s="32" t="n">
        <f>409120</f>
        <v>409120.0</v>
      </c>
      <c r="U171" s="32" t="str">
        <f>"－"</f>
        <v>－</v>
      </c>
      <c r="V171" s="32" t="n">
        <f>193984536</f>
        <v>1.93984536E8</v>
      </c>
      <c r="W171" s="32" t="str">
        <f>"－"</f>
        <v>－</v>
      </c>
      <c r="X171" s="36" t="n">
        <f>22</f>
        <v>22.0</v>
      </c>
    </row>
    <row r="172">
      <c r="A172" s="27" t="s">
        <v>42</v>
      </c>
      <c r="B172" s="27" t="s">
        <v>563</v>
      </c>
      <c r="C172" s="27" t="s">
        <v>564</v>
      </c>
      <c r="D172" s="27" t="s">
        <v>565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478.2</f>
        <v>478.2</v>
      </c>
      <c r="L172" s="34" t="s">
        <v>48</v>
      </c>
      <c r="M172" s="33" t="n">
        <f>488</f>
        <v>488.0</v>
      </c>
      <c r="N172" s="34" t="s">
        <v>61</v>
      </c>
      <c r="O172" s="33" t="n">
        <f>457.8</f>
        <v>457.8</v>
      </c>
      <c r="P172" s="34" t="s">
        <v>111</v>
      </c>
      <c r="Q172" s="33" t="n">
        <f>468.9</f>
        <v>468.9</v>
      </c>
      <c r="R172" s="34" t="s">
        <v>51</v>
      </c>
      <c r="S172" s="35" t="n">
        <f>467.56</f>
        <v>467.56</v>
      </c>
      <c r="T172" s="32" t="n">
        <f>122080</f>
        <v>122080.0</v>
      </c>
      <c r="U172" s="32" t="n">
        <f>20</f>
        <v>20.0</v>
      </c>
      <c r="V172" s="32" t="n">
        <f>56819090</f>
        <v>5.681909E7</v>
      </c>
      <c r="W172" s="32" t="n">
        <f>9426</f>
        <v>9426.0</v>
      </c>
      <c r="X172" s="36" t="n">
        <f>22</f>
        <v>22.0</v>
      </c>
    </row>
    <row r="173">
      <c r="A173" s="27" t="s">
        <v>42</v>
      </c>
      <c r="B173" s="27" t="s">
        <v>566</v>
      </c>
      <c r="C173" s="27" t="s">
        <v>567</v>
      </c>
      <c r="D173" s="27" t="s">
        <v>568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944</f>
        <v>944.0</v>
      </c>
      <c r="L173" s="34" t="s">
        <v>48</v>
      </c>
      <c r="M173" s="33" t="n">
        <f>972</f>
        <v>972.0</v>
      </c>
      <c r="N173" s="34" t="s">
        <v>330</v>
      </c>
      <c r="O173" s="33" t="n">
        <f>930</f>
        <v>930.0</v>
      </c>
      <c r="P173" s="34" t="s">
        <v>51</v>
      </c>
      <c r="Q173" s="33" t="n">
        <f>934</f>
        <v>934.0</v>
      </c>
      <c r="R173" s="34" t="s">
        <v>51</v>
      </c>
      <c r="S173" s="35" t="n">
        <f>951.59</f>
        <v>951.59</v>
      </c>
      <c r="T173" s="32" t="n">
        <f>261391</f>
        <v>261391.0</v>
      </c>
      <c r="U173" s="32" t="n">
        <f>150</f>
        <v>150.0</v>
      </c>
      <c r="V173" s="32" t="n">
        <f>248125050</f>
        <v>2.4812505E8</v>
      </c>
      <c r="W173" s="32" t="n">
        <f>143150</f>
        <v>143150.0</v>
      </c>
      <c r="X173" s="36" t="n">
        <f>22</f>
        <v>22.0</v>
      </c>
    </row>
    <row r="174">
      <c r="A174" s="27" t="s">
        <v>42</v>
      </c>
      <c r="B174" s="27" t="s">
        <v>569</v>
      </c>
      <c r="C174" s="27" t="s">
        <v>570</v>
      </c>
      <c r="D174" s="27" t="s">
        <v>571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1714</f>
        <v>1714.0</v>
      </c>
      <c r="L174" s="34" t="s">
        <v>48</v>
      </c>
      <c r="M174" s="33" t="n">
        <f>1827</f>
        <v>1827.0</v>
      </c>
      <c r="N174" s="34" t="s">
        <v>69</v>
      </c>
      <c r="O174" s="33" t="n">
        <f>1676</f>
        <v>1676.0</v>
      </c>
      <c r="P174" s="34" t="s">
        <v>61</v>
      </c>
      <c r="Q174" s="33" t="n">
        <f>1758</f>
        <v>1758.0</v>
      </c>
      <c r="R174" s="34" t="s">
        <v>51</v>
      </c>
      <c r="S174" s="35" t="n">
        <f>1757.45</f>
        <v>1757.45</v>
      </c>
      <c r="T174" s="32" t="n">
        <f>3575559</f>
        <v>3575559.0</v>
      </c>
      <c r="U174" s="32" t="n">
        <f>146420</f>
        <v>146420.0</v>
      </c>
      <c r="V174" s="32" t="n">
        <f>6286303659</f>
        <v>6.286303659E9</v>
      </c>
      <c r="W174" s="32" t="n">
        <f>254127783</f>
        <v>2.54127783E8</v>
      </c>
      <c r="X174" s="36" t="n">
        <f>22</f>
        <v>22.0</v>
      </c>
    </row>
    <row r="175">
      <c r="A175" s="27" t="s">
        <v>42</v>
      </c>
      <c r="B175" s="27" t="s">
        <v>572</v>
      </c>
      <c r="C175" s="27" t="s">
        <v>573</v>
      </c>
      <c r="D175" s="27" t="s">
        <v>574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603.8</f>
        <v>603.8</v>
      </c>
      <c r="L175" s="34" t="s">
        <v>48</v>
      </c>
      <c r="M175" s="33" t="n">
        <f>634</f>
        <v>634.0</v>
      </c>
      <c r="N175" s="34" t="s">
        <v>51</v>
      </c>
      <c r="O175" s="33" t="n">
        <f>598.5</f>
        <v>598.5</v>
      </c>
      <c r="P175" s="34" t="s">
        <v>61</v>
      </c>
      <c r="Q175" s="33" t="n">
        <f>633.5</f>
        <v>633.5</v>
      </c>
      <c r="R175" s="34" t="s">
        <v>51</v>
      </c>
      <c r="S175" s="35" t="n">
        <f>613.15</f>
        <v>613.15</v>
      </c>
      <c r="T175" s="32" t="n">
        <f>568890</f>
        <v>568890.0</v>
      </c>
      <c r="U175" s="32" t="n">
        <f>10</f>
        <v>10.0</v>
      </c>
      <c r="V175" s="32" t="n">
        <f>349728093</f>
        <v>3.49728093E8</v>
      </c>
      <c r="W175" s="32" t="n">
        <f>6327</f>
        <v>6327.0</v>
      </c>
      <c r="X175" s="36" t="n">
        <f>22</f>
        <v>22.0</v>
      </c>
    </row>
    <row r="176">
      <c r="A176" s="27" t="s">
        <v>42</v>
      </c>
      <c r="B176" s="27" t="s">
        <v>575</v>
      </c>
      <c r="C176" s="27" t="s">
        <v>576</v>
      </c>
      <c r="D176" s="27" t="s">
        <v>577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210.3</f>
        <v>210.3</v>
      </c>
      <c r="L176" s="34" t="s">
        <v>48</v>
      </c>
      <c r="M176" s="33" t="n">
        <f>218.4</f>
        <v>218.4</v>
      </c>
      <c r="N176" s="34" t="s">
        <v>51</v>
      </c>
      <c r="O176" s="33" t="n">
        <f>209.1</f>
        <v>209.1</v>
      </c>
      <c r="P176" s="34" t="s">
        <v>118</v>
      </c>
      <c r="Q176" s="33" t="n">
        <f>217.8</f>
        <v>217.8</v>
      </c>
      <c r="R176" s="34" t="s">
        <v>51</v>
      </c>
      <c r="S176" s="35" t="n">
        <f>214.37</f>
        <v>214.37</v>
      </c>
      <c r="T176" s="32" t="n">
        <f>8951770</f>
        <v>8951770.0</v>
      </c>
      <c r="U176" s="32" t="n">
        <f>5815410</f>
        <v>5815410.0</v>
      </c>
      <c r="V176" s="32" t="n">
        <f>1930418362</f>
        <v>1.930418362E9</v>
      </c>
      <c r="W176" s="32" t="n">
        <f>1256170654</f>
        <v>1.256170654E9</v>
      </c>
      <c r="X176" s="36" t="n">
        <f>22</f>
        <v>22.0</v>
      </c>
    </row>
    <row r="177">
      <c r="A177" s="27" t="s">
        <v>42</v>
      </c>
      <c r="B177" s="27" t="s">
        <v>578</v>
      </c>
      <c r="C177" s="27" t="s">
        <v>579</v>
      </c>
      <c r="D177" s="27" t="s">
        <v>580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227.2</f>
        <v>227.2</v>
      </c>
      <c r="L177" s="34" t="s">
        <v>48</v>
      </c>
      <c r="M177" s="33" t="n">
        <f>241</f>
        <v>241.0</v>
      </c>
      <c r="N177" s="34" t="s">
        <v>269</v>
      </c>
      <c r="O177" s="33" t="n">
        <f>227</f>
        <v>227.0</v>
      </c>
      <c r="P177" s="34" t="s">
        <v>48</v>
      </c>
      <c r="Q177" s="33" t="n">
        <f>238.7</f>
        <v>238.7</v>
      </c>
      <c r="R177" s="34" t="s">
        <v>51</v>
      </c>
      <c r="S177" s="35" t="n">
        <f>236.21</f>
        <v>236.21</v>
      </c>
      <c r="T177" s="32" t="n">
        <f>8575090</f>
        <v>8575090.0</v>
      </c>
      <c r="U177" s="32" t="n">
        <f>43200</f>
        <v>43200.0</v>
      </c>
      <c r="V177" s="32" t="n">
        <f>2020982868</f>
        <v>2.020982868E9</v>
      </c>
      <c r="W177" s="32" t="n">
        <f>10163620</f>
        <v>1.016362E7</v>
      </c>
      <c r="X177" s="36" t="n">
        <f>22</f>
        <v>22.0</v>
      </c>
    </row>
    <row r="178">
      <c r="A178" s="27" t="s">
        <v>42</v>
      </c>
      <c r="B178" s="27" t="s">
        <v>581</v>
      </c>
      <c r="C178" s="27" t="s">
        <v>582</v>
      </c>
      <c r="D178" s="27" t="s">
        <v>583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235.5</f>
        <v>235.5</v>
      </c>
      <c r="L178" s="34" t="s">
        <v>48</v>
      </c>
      <c r="M178" s="33" t="n">
        <f>250.4</f>
        <v>250.4</v>
      </c>
      <c r="N178" s="34" t="s">
        <v>70</v>
      </c>
      <c r="O178" s="33" t="n">
        <f>235.1</f>
        <v>235.1</v>
      </c>
      <c r="P178" s="34" t="s">
        <v>48</v>
      </c>
      <c r="Q178" s="33" t="n">
        <f>248.3</f>
        <v>248.3</v>
      </c>
      <c r="R178" s="34" t="s">
        <v>51</v>
      </c>
      <c r="S178" s="35" t="n">
        <f>244.36</f>
        <v>244.36</v>
      </c>
      <c r="T178" s="32" t="n">
        <f>4972130</f>
        <v>4972130.0</v>
      </c>
      <c r="U178" s="32" t="n">
        <f>50</f>
        <v>50.0</v>
      </c>
      <c r="V178" s="32" t="n">
        <f>1218899594</f>
        <v>1.218899594E9</v>
      </c>
      <c r="W178" s="32" t="n">
        <f>12415</f>
        <v>12415.0</v>
      </c>
      <c r="X178" s="36" t="n">
        <f>22</f>
        <v>22.0</v>
      </c>
    </row>
    <row r="179">
      <c r="A179" s="27" t="s">
        <v>42</v>
      </c>
      <c r="B179" s="27" t="s">
        <v>584</v>
      </c>
      <c r="C179" s="27" t="s">
        <v>585</v>
      </c>
      <c r="D179" s="27" t="s">
        <v>586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1979</f>
        <v>1979.0</v>
      </c>
      <c r="L179" s="34" t="s">
        <v>48</v>
      </c>
      <c r="M179" s="33" t="n">
        <f>2043</f>
        <v>2043.0</v>
      </c>
      <c r="N179" s="34" t="s">
        <v>51</v>
      </c>
      <c r="O179" s="33" t="n">
        <f>1969</f>
        <v>1969.0</v>
      </c>
      <c r="P179" s="34" t="s">
        <v>118</v>
      </c>
      <c r="Q179" s="33" t="n">
        <f>2037</f>
        <v>2037.0</v>
      </c>
      <c r="R179" s="34" t="s">
        <v>51</v>
      </c>
      <c r="S179" s="35" t="n">
        <f>2004.95</f>
        <v>2004.95</v>
      </c>
      <c r="T179" s="32" t="n">
        <f>1765610</f>
        <v>1765610.0</v>
      </c>
      <c r="U179" s="32" t="n">
        <f>515000</f>
        <v>515000.0</v>
      </c>
      <c r="V179" s="32" t="n">
        <f>3534854334</f>
        <v>3.534854334E9</v>
      </c>
      <c r="W179" s="32" t="n">
        <f>1025160184</f>
        <v>1.025160184E9</v>
      </c>
      <c r="X179" s="36" t="n">
        <f>22</f>
        <v>22.0</v>
      </c>
    </row>
    <row r="180">
      <c r="A180" s="27" t="s">
        <v>42</v>
      </c>
      <c r="B180" s="27" t="s">
        <v>587</v>
      </c>
      <c r="C180" s="27" t="s">
        <v>588</v>
      </c>
      <c r="D180" s="27" t="s">
        <v>589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1877</f>
        <v>1877.0</v>
      </c>
      <c r="L180" s="34" t="s">
        <v>48</v>
      </c>
      <c r="M180" s="33" t="n">
        <f>1885</f>
        <v>1885.0</v>
      </c>
      <c r="N180" s="34" t="s">
        <v>61</v>
      </c>
      <c r="O180" s="33" t="n">
        <f>1847</f>
        <v>1847.0</v>
      </c>
      <c r="P180" s="34" t="s">
        <v>111</v>
      </c>
      <c r="Q180" s="33" t="n">
        <f>1866</f>
        <v>1866.0</v>
      </c>
      <c r="R180" s="34" t="s">
        <v>51</v>
      </c>
      <c r="S180" s="35" t="n">
        <f>1863.23</f>
        <v>1863.23</v>
      </c>
      <c r="T180" s="32" t="n">
        <f>495024</f>
        <v>495024.0</v>
      </c>
      <c r="U180" s="32" t="str">
        <f>"－"</f>
        <v>－</v>
      </c>
      <c r="V180" s="32" t="n">
        <f>923105518</f>
        <v>9.23105518E8</v>
      </c>
      <c r="W180" s="32" t="str">
        <f>"－"</f>
        <v>－</v>
      </c>
      <c r="X180" s="36" t="n">
        <f>22</f>
        <v>22.0</v>
      </c>
    </row>
    <row r="181">
      <c r="A181" s="27" t="s">
        <v>42</v>
      </c>
      <c r="B181" s="27" t="s">
        <v>590</v>
      </c>
      <c r="C181" s="27" t="s">
        <v>591</v>
      </c>
      <c r="D181" s="27" t="s">
        <v>592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1114</f>
        <v>1114.0</v>
      </c>
      <c r="L181" s="34" t="s">
        <v>48</v>
      </c>
      <c r="M181" s="33" t="n">
        <f>1161</f>
        <v>1161.0</v>
      </c>
      <c r="N181" s="34" t="s">
        <v>49</v>
      </c>
      <c r="O181" s="33" t="n">
        <f>1087</f>
        <v>1087.0</v>
      </c>
      <c r="P181" s="34" t="s">
        <v>50</v>
      </c>
      <c r="Q181" s="33" t="n">
        <f>1138</f>
        <v>1138.0</v>
      </c>
      <c r="R181" s="34" t="s">
        <v>51</v>
      </c>
      <c r="S181" s="35" t="n">
        <f>1108.36</f>
        <v>1108.36</v>
      </c>
      <c r="T181" s="32" t="n">
        <f>1518430</f>
        <v>1518430.0</v>
      </c>
      <c r="U181" s="32" t="n">
        <f>1108248</f>
        <v>1108248.0</v>
      </c>
      <c r="V181" s="32" t="n">
        <f>1720112282</f>
        <v>1.720112282E9</v>
      </c>
      <c r="W181" s="32" t="n">
        <f>1263271722</f>
        <v>1.263271722E9</v>
      </c>
      <c r="X181" s="36" t="n">
        <f>22</f>
        <v>22.0</v>
      </c>
    </row>
    <row r="182">
      <c r="A182" s="27" t="s">
        <v>42</v>
      </c>
      <c r="B182" s="27" t="s">
        <v>593</v>
      </c>
      <c r="C182" s="27" t="s">
        <v>594</v>
      </c>
      <c r="D182" s="27" t="s">
        <v>595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1057</f>
        <v>1057.0</v>
      </c>
      <c r="L182" s="34" t="s">
        <v>48</v>
      </c>
      <c r="M182" s="33" t="n">
        <f>1130</f>
        <v>1130.0</v>
      </c>
      <c r="N182" s="34" t="s">
        <v>51</v>
      </c>
      <c r="O182" s="33" t="n">
        <f>1054</f>
        <v>1054.0</v>
      </c>
      <c r="P182" s="34" t="s">
        <v>48</v>
      </c>
      <c r="Q182" s="33" t="n">
        <f>1095</f>
        <v>1095.0</v>
      </c>
      <c r="R182" s="34" t="s">
        <v>51</v>
      </c>
      <c r="S182" s="35" t="n">
        <f>1086.05</f>
        <v>1086.05</v>
      </c>
      <c r="T182" s="32" t="n">
        <f>127515</f>
        <v>127515.0</v>
      </c>
      <c r="U182" s="32" t="str">
        <f>"－"</f>
        <v>－</v>
      </c>
      <c r="V182" s="32" t="n">
        <f>139509860</f>
        <v>1.3950986E8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596</v>
      </c>
      <c r="C183" s="27" t="s">
        <v>597</v>
      </c>
      <c r="D183" s="27" t="s">
        <v>598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945</f>
        <v>945.0</v>
      </c>
      <c r="L183" s="34" t="s">
        <v>48</v>
      </c>
      <c r="M183" s="33" t="n">
        <f>999</f>
        <v>999.0</v>
      </c>
      <c r="N183" s="34" t="s">
        <v>269</v>
      </c>
      <c r="O183" s="33" t="n">
        <f>930</f>
        <v>930.0</v>
      </c>
      <c r="P183" s="34" t="s">
        <v>48</v>
      </c>
      <c r="Q183" s="33" t="n">
        <f>974</f>
        <v>974.0</v>
      </c>
      <c r="R183" s="34" t="s">
        <v>51</v>
      </c>
      <c r="S183" s="35" t="n">
        <f>966.77</f>
        <v>966.77</v>
      </c>
      <c r="T183" s="32" t="n">
        <f>95397</f>
        <v>95397.0</v>
      </c>
      <c r="U183" s="32" t="str">
        <f>"－"</f>
        <v>－</v>
      </c>
      <c r="V183" s="32" t="n">
        <f>92125263</f>
        <v>9.2125263E7</v>
      </c>
      <c r="W183" s="32" t="str">
        <f>"－"</f>
        <v>－</v>
      </c>
      <c r="X183" s="36" t="n">
        <f>22</f>
        <v>22.0</v>
      </c>
    </row>
    <row r="184">
      <c r="A184" s="27" t="s">
        <v>42</v>
      </c>
      <c r="B184" s="27" t="s">
        <v>599</v>
      </c>
      <c r="C184" s="27" t="s">
        <v>600</v>
      </c>
      <c r="D184" s="27" t="s">
        <v>601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193.5</f>
        <v>193.5</v>
      </c>
      <c r="L184" s="34" t="s">
        <v>48</v>
      </c>
      <c r="M184" s="33" t="n">
        <f>197.8</f>
        <v>197.8</v>
      </c>
      <c r="N184" s="34" t="s">
        <v>111</v>
      </c>
      <c r="O184" s="33" t="n">
        <f>188.2</f>
        <v>188.2</v>
      </c>
      <c r="P184" s="34" t="s">
        <v>51</v>
      </c>
      <c r="Q184" s="33" t="n">
        <f>189.8</f>
        <v>189.8</v>
      </c>
      <c r="R184" s="34" t="s">
        <v>51</v>
      </c>
      <c r="S184" s="35" t="n">
        <f>194.04</f>
        <v>194.04</v>
      </c>
      <c r="T184" s="32" t="n">
        <f>4569470</f>
        <v>4569470.0</v>
      </c>
      <c r="U184" s="32" t="n">
        <f>52030</f>
        <v>52030.0</v>
      </c>
      <c r="V184" s="32" t="n">
        <f>886543330</f>
        <v>8.8654333E8</v>
      </c>
      <c r="W184" s="32" t="n">
        <f>10140231</f>
        <v>1.0140231E7</v>
      </c>
      <c r="X184" s="36" t="n">
        <f>22</f>
        <v>22.0</v>
      </c>
    </row>
    <row r="185">
      <c r="A185" s="27" t="s">
        <v>42</v>
      </c>
      <c r="B185" s="27" t="s">
        <v>602</v>
      </c>
      <c r="C185" s="27" t="s">
        <v>603</v>
      </c>
      <c r="D185" s="27" t="s">
        <v>604</v>
      </c>
      <c r="E185" s="28" t="s">
        <v>46</v>
      </c>
      <c r="F185" s="29" t="s">
        <v>46</v>
      </c>
      <c r="G185" s="30" t="s">
        <v>46</v>
      </c>
      <c r="H185" s="31"/>
      <c r="I185" s="31" t="s">
        <v>418</v>
      </c>
      <c r="J185" s="32" t="n">
        <v>1.0</v>
      </c>
      <c r="K185" s="33" t="n">
        <f>7012</f>
        <v>7012.0</v>
      </c>
      <c r="L185" s="34" t="s">
        <v>48</v>
      </c>
      <c r="M185" s="33" t="n">
        <f>8058</f>
        <v>8058.0</v>
      </c>
      <c r="N185" s="34" t="s">
        <v>49</v>
      </c>
      <c r="O185" s="33" t="n">
        <f>6769</f>
        <v>6769.0</v>
      </c>
      <c r="P185" s="34" t="s">
        <v>167</v>
      </c>
      <c r="Q185" s="33" t="n">
        <f>7600</f>
        <v>7600.0</v>
      </c>
      <c r="R185" s="34" t="s">
        <v>51</v>
      </c>
      <c r="S185" s="35" t="n">
        <f>7418.55</f>
        <v>7418.55</v>
      </c>
      <c r="T185" s="32" t="n">
        <f>51501</f>
        <v>51501.0</v>
      </c>
      <c r="U185" s="32" t="str">
        <f>"－"</f>
        <v>－</v>
      </c>
      <c r="V185" s="32" t="n">
        <f>387845385</f>
        <v>3.87845385E8</v>
      </c>
      <c r="W185" s="32" t="str">
        <f>"－"</f>
        <v>－</v>
      </c>
      <c r="X185" s="36" t="n">
        <f>22</f>
        <v>22.0</v>
      </c>
    </row>
    <row r="186">
      <c r="A186" s="27" t="s">
        <v>42</v>
      </c>
      <c r="B186" s="27" t="s">
        <v>605</v>
      </c>
      <c r="C186" s="27" t="s">
        <v>606</v>
      </c>
      <c r="D186" s="27" t="s">
        <v>607</v>
      </c>
      <c r="E186" s="28" t="s">
        <v>46</v>
      </c>
      <c r="F186" s="29" t="s">
        <v>46</v>
      </c>
      <c r="G186" s="30" t="s">
        <v>46</v>
      </c>
      <c r="H186" s="31"/>
      <c r="I186" s="31" t="s">
        <v>418</v>
      </c>
      <c r="J186" s="32" t="n">
        <v>1.0</v>
      </c>
      <c r="K186" s="33" t="n">
        <f>6000</f>
        <v>6000.0</v>
      </c>
      <c r="L186" s="34" t="s">
        <v>48</v>
      </c>
      <c r="M186" s="33" t="n">
        <f>6197</f>
        <v>6197.0</v>
      </c>
      <c r="N186" s="34" t="s">
        <v>50</v>
      </c>
      <c r="O186" s="33" t="n">
        <f>5632</f>
        <v>5632.0</v>
      </c>
      <c r="P186" s="34" t="s">
        <v>49</v>
      </c>
      <c r="Q186" s="33" t="n">
        <f>5944</f>
        <v>5944.0</v>
      </c>
      <c r="R186" s="34" t="s">
        <v>51</v>
      </c>
      <c r="S186" s="35" t="n">
        <f>5949.5</f>
        <v>5949.5</v>
      </c>
      <c r="T186" s="32" t="n">
        <f>3578</f>
        <v>3578.0</v>
      </c>
      <c r="U186" s="32" t="str">
        <f>"－"</f>
        <v>－</v>
      </c>
      <c r="V186" s="32" t="n">
        <f>21270074</f>
        <v>2.1270074E7</v>
      </c>
      <c r="W186" s="32" t="str">
        <f>"－"</f>
        <v>－</v>
      </c>
      <c r="X186" s="36" t="n">
        <f>22</f>
        <v>22.0</v>
      </c>
    </row>
    <row r="187">
      <c r="A187" s="27" t="s">
        <v>42</v>
      </c>
      <c r="B187" s="27" t="s">
        <v>608</v>
      </c>
      <c r="C187" s="27" t="s">
        <v>609</v>
      </c>
      <c r="D187" s="27" t="s">
        <v>610</v>
      </c>
      <c r="E187" s="28" t="s">
        <v>46</v>
      </c>
      <c r="F187" s="29" t="s">
        <v>46</v>
      </c>
      <c r="G187" s="30" t="s">
        <v>46</v>
      </c>
      <c r="H187" s="31"/>
      <c r="I187" s="31" t="s">
        <v>418</v>
      </c>
      <c r="J187" s="32" t="n">
        <v>1.0</v>
      </c>
      <c r="K187" s="33" t="n">
        <f>15740</f>
        <v>15740.0</v>
      </c>
      <c r="L187" s="34" t="s">
        <v>48</v>
      </c>
      <c r="M187" s="33" t="n">
        <f>17800</f>
        <v>17800.0</v>
      </c>
      <c r="N187" s="34" t="s">
        <v>51</v>
      </c>
      <c r="O187" s="33" t="n">
        <f>14815</f>
        <v>14815.0</v>
      </c>
      <c r="P187" s="34" t="s">
        <v>61</v>
      </c>
      <c r="Q187" s="33" t="n">
        <f>17260</f>
        <v>17260.0</v>
      </c>
      <c r="R187" s="34" t="s">
        <v>51</v>
      </c>
      <c r="S187" s="35" t="n">
        <f>16263.41</f>
        <v>16263.41</v>
      </c>
      <c r="T187" s="32" t="n">
        <f>9748</f>
        <v>9748.0</v>
      </c>
      <c r="U187" s="32" t="str">
        <f>"－"</f>
        <v>－</v>
      </c>
      <c r="V187" s="32" t="n">
        <f>159282250</f>
        <v>1.5928225E8</v>
      </c>
      <c r="W187" s="32" t="str">
        <f>"－"</f>
        <v>－</v>
      </c>
      <c r="X187" s="36" t="n">
        <f>22</f>
        <v>22.0</v>
      </c>
    </row>
    <row r="188">
      <c r="A188" s="27" t="s">
        <v>42</v>
      </c>
      <c r="B188" s="27" t="s">
        <v>611</v>
      </c>
      <c r="C188" s="27" t="s">
        <v>612</v>
      </c>
      <c r="D188" s="27" t="s">
        <v>613</v>
      </c>
      <c r="E188" s="28" t="s">
        <v>46</v>
      </c>
      <c r="F188" s="29" t="s">
        <v>46</v>
      </c>
      <c r="G188" s="30" t="s">
        <v>46</v>
      </c>
      <c r="H188" s="31"/>
      <c r="I188" s="31" t="s">
        <v>418</v>
      </c>
      <c r="J188" s="32" t="n">
        <v>1.0</v>
      </c>
      <c r="K188" s="33" t="n">
        <f>6230</f>
        <v>6230.0</v>
      </c>
      <c r="L188" s="34" t="s">
        <v>48</v>
      </c>
      <c r="M188" s="33" t="n">
        <f>6364</f>
        <v>6364.0</v>
      </c>
      <c r="N188" s="34" t="s">
        <v>118</v>
      </c>
      <c r="O188" s="33" t="n">
        <f>5920</f>
        <v>5920.0</v>
      </c>
      <c r="P188" s="34" t="s">
        <v>104</v>
      </c>
      <c r="Q188" s="33" t="n">
        <f>5990</f>
        <v>5990.0</v>
      </c>
      <c r="R188" s="34" t="s">
        <v>51</v>
      </c>
      <c r="S188" s="35" t="n">
        <f>6103.55</f>
        <v>6103.55</v>
      </c>
      <c r="T188" s="32" t="n">
        <f>5030</f>
        <v>5030.0</v>
      </c>
      <c r="U188" s="32" t="str">
        <f>"－"</f>
        <v>－</v>
      </c>
      <c r="V188" s="32" t="n">
        <f>30558400</f>
        <v>3.05584E7</v>
      </c>
      <c r="W188" s="32" t="str">
        <f>"－"</f>
        <v>－</v>
      </c>
      <c r="X188" s="36" t="n">
        <f>22</f>
        <v>22.0</v>
      </c>
    </row>
    <row r="189">
      <c r="A189" s="27" t="s">
        <v>42</v>
      </c>
      <c r="B189" s="27" t="s">
        <v>614</v>
      </c>
      <c r="C189" s="27" t="s">
        <v>615</v>
      </c>
      <c r="D189" s="27" t="s">
        <v>616</v>
      </c>
      <c r="E189" s="28" t="s">
        <v>46</v>
      </c>
      <c r="F189" s="29" t="s">
        <v>46</v>
      </c>
      <c r="G189" s="30" t="s">
        <v>46</v>
      </c>
      <c r="H189" s="31"/>
      <c r="I189" s="31" t="s">
        <v>418</v>
      </c>
      <c r="J189" s="32" t="n">
        <v>1.0</v>
      </c>
      <c r="K189" s="33" t="n">
        <f>92530</f>
        <v>92530.0</v>
      </c>
      <c r="L189" s="34" t="s">
        <v>48</v>
      </c>
      <c r="M189" s="33" t="n">
        <f>102350</f>
        <v>102350.0</v>
      </c>
      <c r="N189" s="34" t="s">
        <v>88</v>
      </c>
      <c r="O189" s="33" t="n">
        <f>91550</f>
        <v>91550.0</v>
      </c>
      <c r="P189" s="34" t="s">
        <v>167</v>
      </c>
      <c r="Q189" s="33" t="n">
        <f>98000</f>
        <v>98000.0</v>
      </c>
      <c r="R189" s="34" t="s">
        <v>51</v>
      </c>
      <c r="S189" s="35" t="n">
        <f>97310.91</f>
        <v>97310.91</v>
      </c>
      <c r="T189" s="32" t="n">
        <f>112796</f>
        <v>112796.0</v>
      </c>
      <c r="U189" s="32" t="str">
        <f>"－"</f>
        <v>－</v>
      </c>
      <c r="V189" s="32" t="n">
        <f>10999253840</f>
        <v>1.099925384E10</v>
      </c>
      <c r="W189" s="32" t="str">
        <f>"－"</f>
        <v>－</v>
      </c>
      <c r="X189" s="36" t="n">
        <f>22</f>
        <v>22.0</v>
      </c>
    </row>
    <row r="190">
      <c r="A190" s="27" t="s">
        <v>42</v>
      </c>
      <c r="B190" s="27" t="s">
        <v>617</v>
      </c>
      <c r="C190" s="27" t="s">
        <v>618</v>
      </c>
      <c r="D190" s="27" t="s">
        <v>619</v>
      </c>
      <c r="E190" s="28" t="s">
        <v>46</v>
      </c>
      <c r="F190" s="29" t="s">
        <v>46</v>
      </c>
      <c r="G190" s="30" t="s">
        <v>46</v>
      </c>
      <c r="H190" s="31"/>
      <c r="I190" s="31" t="s">
        <v>418</v>
      </c>
      <c r="J190" s="32" t="n">
        <v>1.0</v>
      </c>
      <c r="K190" s="33" t="n">
        <f>2073</f>
        <v>2073.0</v>
      </c>
      <c r="L190" s="34" t="s">
        <v>48</v>
      </c>
      <c r="M190" s="33" t="n">
        <f>2073</f>
        <v>2073.0</v>
      </c>
      <c r="N190" s="34" t="s">
        <v>48</v>
      </c>
      <c r="O190" s="33" t="n">
        <f>1955</f>
        <v>1955.0</v>
      </c>
      <c r="P190" s="34" t="s">
        <v>88</v>
      </c>
      <c r="Q190" s="33" t="n">
        <f>2000</f>
        <v>2000.0</v>
      </c>
      <c r="R190" s="34" t="s">
        <v>51</v>
      </c>
      <c r="S190" s="35" t="n">
        <f>2007.14</f>
        <v>2007.14</v>
      </c>
      <c r="T190" s="32" t="n">
        <f>31371</f>
        <v>31371.0</v>
      </c>
      <c r="U190" s="32" t="str">
        <f>"－"</f>
        <v>－</v>
      </c>
      <c r="V190" s="32" t="n">
        <f>62738632</f>
        <v>6.2738632E7</v>
      </c>
      <c r="W190" s="32" t="str">
        <f>"－"</f>
        <v>－</v>
      </c>
      <c r="X190" s="36" t="n">
        <f>22</f>
        <v>22.0</v>
      </c>
    </row>
    <row r="191">
      <c r="A191" s="27" t="s">
        <v>42</v>
      </c>
      <c r="B191" s="27" t="s">
        <v>620</v>
      </c>
      <c r="C191" s="27" t="s">
        <v>621</v>
      </c>
      <c r="D191" s="27" t="s">
        <v>622</v>
      </c>
      <c r="E191" s="28" t="s">
        <v>46</v>
      </c>
      <c r="F191" s="29" t="s">
        <v>46</v>
      </c>
      <c r="G191" s="30" t="s">
        <v>46</v>
      </c>
      <c r="H191" s="31"/>
      <c r="I191" s="31" t="s">
        <v>418</v>
      </c>
      <c r="J191" s="32" t="n">
        <v>1.0</v>
      </c>
      <c r="K191" s="33" t="n">
        <f>1312</f>
        <v>1312.0</v>
      </c>
      <c r="L191" s="34" t="s">
        <v>48</v>
      </c>
      <c r="M191" s="33" t="n">
        <f>1678</f>
        <v>1678.0</v>
      </c>
      <c r="N191" s="34" t="s">
        <v>51</v>
      </c>
      <c r="O191" s="33" t="n">
        <f>1311</f>
        <v>1311.0</v>
      </c>
      <c r="P191" s="34" t="s">
        <v>48</v>
      </c>
      <c r="Q191" s="33" t="n">
        <f>1654</f>
        <v>1654.0</v>
      </c>
      <c r="R191" s="34" t="s">
        <v>51</v>
      </c>
      <c r="S191" s="35" t="n">
        <f>1463.27</f>
        <v>1463.27</v>
      </c>
      <c r="T191" s="32" t="n">
        <f>6510365</f>
        <v>6510365.0</v>
      </c>
      <c r="U191" s="32" t="n">
        <f>175</f>
        <v>175.0</v>
      </c>
      <c r="V191" s="32" t="n">
        <f>9613421894</f>
        <v>9.613421894E9</v>
      </c>
      <c r="W191" s="32" t="n">
        <f>248414</f>
        <v>248414.0</v>
      </c>
      <c r="X191" s="36" t="n">
        <f>22</f>
        <v>22.0</v>
      </c>
    </row>
    <row r="192">
      <c r="A192" s="27" t="s">
        <v>42</v>
      </c>
      <c r="B192" s="27" t="s">
        <v>623</v>
      </c>
      <c r="C192" s="27" t="s">
        <v>624</v>
      </c>
      <c r="D192" s="27" t="s">
        <v>625</v>
      </c>
      <c r="E192" s="28" t="s">
        <v>46</v>
      </c>
      <c r="F192" s="29" t="s">
        <v>46</v>
      </c>
      <c r="G192" s="30" t="s">
        <v>46</v>
      </c>
      <c r="H192" s="31"/>
      <c r="I192" s="31" t="s">
        <v>418</v>
      </c>
      <c r="J192" s="32" t="n">
        <v>1.0</v>
      </c>
      <c r="K192" s="33" t="n">
        <f>978</f>
        <v>978.0</v>
      </c>
      <c r="L192" s="34" t="s">
        <v>48</v>
      </c>
      <c r="M192" s="33" t="n">
        <f>982</f>
        <v>982.0</v>
      </c>
      <c r="N192" s="34" t="s">
        <v>48</v>
      </c>
      <c r="O192" s="33" t="n">
        <f>871</f>
        <v>871.0</v>
      </c>
      <c r="P192" s="34" t="s">
        <v>51</v>
      </c>
      <c r="Q192" s="33" t="n">
        <f>880</f>
        <v>880.0</v>
      </c>
      <c r="R192" s="34" t="s">
        <v>51</v>
      </c>
      <c r="S192" s="35" t="n">
        <f>927.18</f>
        <v>927.18</v>
      </c>
      <c r="T192" s="32" t="n">
        <f>818865</f>
        <v>818865.0</v>
      </c>
      <c r="U192" s="32" t="str">
        <f>"－"</f>
        <v>－</v>
      </c>
      <c r="V192" s="32" t="n">
        <f>754271432</f>
        <v>7.54271432E8</v>
      </c>
      <c r="W192" s="32" t="str">
        <f>"－"</f>
        <v>－</v>
      </c>
      <c r="X192" s="36" t="n">
        <f>22</f>
        <v>22.0</v>
      </c>
    </row>
    <row r="193">
      <c r="A193" s="27" t="s">
        <v>42</v>
      </c>
      <c r="B193" s="27" t="s">
        <v>626</v>
      </c>
      <c r="C193" s="27" t="s">
        <v>627</v>
      </c>
      <c r="D193" s="27" t="s">
        <v>628</v>
      </c>
      <c r="E193" s="28" t="s">
        <v>46</v>
      </c>
      <c r="F193" s="29" t="s">
        <v>46</v>
      </c>
      <c r="G193" s="30" t="s">
        <v>46</v>
      </c>
      <c r="H193" s="31"/>
      <c r="I193" s="31" t="s">
        <v>418</v>
      </c>
      <c r="J193" s="32" t="n">
        <v>1.0</v>
      </c>
      <c r="K193" s="33" t="n">
        <f>30470</f>
        <v>30470.0</v>
      </c>
      <c r="L193" s="34" t="s">
        <v>48</v>
      </c>
      <c r="M193" s="33" t="n">
        <f>31600</f>
        <v>31600.0</v>
      </c>
      <c r="N193" s="34" t="s">
        <v>70</v>
      </c>
      <c r="O193" s="33" t="n">
        <f>30050</f>
        <v>30050.0</v>
      </c>
      <c r="P193" s="34" t="s">
        <v>48</v>
      </c>
      <c r="Q193" s="33" t="n">
        <f>30850</f>
        <v>30850.0</v>
      </c>
      <c r="R193" s="34" t="s">
        <v>51</v>
      </c>
      <c r="S193" s="35" t="n">
        <f>30871.82</f>
        <v>30871.82</v>
      </c>
      <c r="T193" s="32" t="n">
        <f>21623</f>
        <v>21623.0</v>
      </c>
      <c r="U193" s="32" t="n">
        <f>1</f>
        <v>1.0</v>
      </c>
      <c r="V193" s="32" t="n">
        <f>669704840</f>
        <v>6.6970484E8</v>
      </c>
      <c r="W193" s="32" t="n">
        <f>31300</f>
        <v>31300.0</v>
      </c>
      <c r="X193" s="36" t="n">
        <f>22</f>
        <v>22.0</v>
      </c>
    </row>
    <row r="194">
      <c r="A194" s="27" t="s">
        <v>42</v>
      </c>
      <c r="B194" s="27" t="s">
        <v>629</v>
      </c>
      <c r="C194" s="27" t="s">
        <v>630</v>
      </c>
      <c r="D194" s="27" t="s">
        <v>631</v>
      </c>
      <c r="E194" s="28" t="s">
        <v>46</v>
      </c>
      <c r="F194" s="29" t="s">
        <v>46</v>
      </c>
      <c r="G194" s="30" t="s">
        <v>46</v>
      </c>
      <c r="H194" s="31"/>
      <c r="I194" s="31" t="s">
        <v>418</v>
      </c>
      <c r="J194" s="32" t="n">
        <v>1.0</v>
      </c>
      <c r="K194" s="33" t="n">
        <f>2310</f>
        <v>2310.0</v>
      </c>
      <c r="L194" s="34" t="s">
        <v>48</v>
      </c>
      <c r="M194" s="33" t="n">
        <f>2330</f>
        <v>2330.0</v>
      </c>
      <c r="N194" s="34" t="s">
        <v>69</v>
      </c>
      <c r="O194" s="33" t="n">
        <f>2260</f>
        <v>2260.0</v>
      </c>
      <c r="P194" s="34" t="s">
        <v>70</v>
      </c>
      <c r="Q194" s="33" t="n">
        <f>2302</f>
        <v>2302.0</v>
      </c>
      <c r="R194" s="34" t="s">
        <v>51</v>
      </c>
      <c r="S194" s="35" t="n">
        <f>2304.77</f>
        <v>2304.77</v>
      </c>
      <c r="T194" s="32" t="n">
        <f>124725</f>
        <v>124725.0</v>
      </c>
      <c r="U194" s="32" t="str">
        <f>"－"</f>
        <v>－</v>
      </c>
      <c r="V194" s="32" t="n">
        <f>287451226</f>
        <v>2.87451226E8</v>
      </c>
      <c r="W194" s="32" t="str">
        <f>"－"</f>
        <v>－</v>
      </c>
      <c r="X194" s="36" t="n">
        <f>22</f>
        <v>22.0</v>
      </c>
    </row>
    <row r="195">
      <c r="A195" s="27" t="s">
        <v>42</v>
      </c>
      <c r="B195" s="27" t="s">
        <v>632</v>
      </c>
      <c r="C195" s="27" t="s">
        <v>633</v>
      </c>
      <c r="D195" s="27" t="s">
        <v>634</v>
      </c>
      <c r="E195" s="28" t="s">
        <v>46</v>
      </c>
      <c r="F195" s="29" t="s">
        <v>46</v>
      </c>
      <c r="G195" s="30" t="s">
        <v>46</v>
      </c>
      <c r="H195" s="31"/>
      <c r="I195" s="31" t="s">
        <v>418</v>
      </c>
      <c r="J195" s="32" t="n">
        <v>1.0</v>
      </c>
      <c r="K195" s="33" t="n">
        <f>7833</f>
        <v>7833.0</v>
      </c>
      <c r="L195" s="34" t="s">
        <v>48</v>
      </c>
      <c r="M195" s="33" t="n">
        <f>8037</f>
        <v>8037.0</v>
      </c>
      <c r="N195" s="34" t="s">
        <v>80</v>
      </c>
      <c r="O195" s="33" t="n">
        <f>7469</f>
        <v>7469.0</v>
      </c>
      <c r="P195" s="34" t="s">
        <v>167</v>
      </c>
      <c r="Q195" s="33" t="n">
        <f>7952</f>
        <v>7952.0</v>
      </c>
      <c r="R195" s="34" t="s">
        <v>51</v>
      </c>
      <c r="S195" s="35" t="n">
        <f>7796.73</f>
        <v>7796.73</v>
      </c>
      <c r="T195" s="32" t="n">
        <f>24057</f>
        <v>24057.0</v>
      </c>
      <c r="U195" s="32" t="str">
        <f>"－"</f>
        <v>－</v>
      </c>
      <c r="V195" s="32" t="n">
        <f>188177648</f>
        <v>1.88177648E8</v>
      </c>
      <c r="W195" s="32" t="str">
        <f>"－"</f>
        <v>－</v>
      </c>
      <c r="X195" s="36" t="n">
        <f>22</f>
        <v>22.0</v>
      </c>
    </row>
    <row r="196">
      <c r="A196" s="27" t="s">
        <v>42</v>
      </c>
      <c r="B196" s="27" t="s">
        <v>635</v>
      </c>
      <c r="C196" s="27" t="s">
        <v>636</v>
      </c>
      <c r="D196" s="27" t="s">
        <v>637</v>
      </c>
      <c r="E196" s="28" t="s">
        <v>46</v>
      </c>
      <c r="F196" s="29" t="s">
        <v>46</v>
      </c>
      <c r="G196" s="30" t="s">
        <v>46</v>
      </c>
      <c r="H196" s="31"/>
      <c r="I196" s="31" t="s">
        <v>418</v>
      </c>
      <c r="J196" s="32" t="n">
        <v>1.0</v>
      </c>
      <c r="K196" s="33" t="n">
        <f>20310</f>
        <v>20310.0</v>
      </c>
      <c r="L196" s="34" t="s">
        <v>48</v>
      </c>
      <c r="M196" s="33" t="n">
        <f>22220</f>
        <v>22220.0</v>
      </c>
      <c r="N196" s="34" t="s">
        <v>70</v>
      </c>
      <c r="O196" s="33" t="n">
        <f>20310</f>
        <v>20310.0</v>
      </c>
      <c r="P196" s="34" t="s">
        <v>48</v>
      </c>
      <c r="Q196" s="33" t="n">
        <f>22170</f>
        <v>22170.0</v>
      </c>
      <c r="R196" s="34" t="s">
        <v>51</v>
      </c>
      <c r="S196" s="35" t="n">
        <f>21259.5</f>
        <v>21259.5</v>
      </c>
      <c r="T196" s="32" t="n">
        <f>973</f>
        <v>973.0</v>
      </c>
      <c r="U196" s="32" t="str">
        <f>"－"</f>
        <v>－</v>
      </c>
      <c r="V196" s="32" t="n">
        <f>20282890</f>
        <v>2.028289E7</v>
      </c>
      <c r="W196" s="32" t="str">
        <f>"－"</f>
        <v>－</v>
      </c>
      <c r="X196" s="36" t="n">
        <f>20</f>
        <v>20.0</v>
      </c>
    </row>
    <row r="197">
      <c r="A197" s="27" t="s">
        <v>42</v>
      </c>
      <c r="B197" s="27" t="s">
        <v>638</v>
      </c>
      <c r="C197" s="27" t="s">
        <v>639</v>
      </c>
      <c r="D197" s="27" t="s">
        <v>640</v>
      </c>
      <c r="E197" s="28" t="s">
        <v>46</v>
      </c>
      <c r="F197" s="29" t="s">
        <v>46</v>
      </c>
      <c r="G197" s="30" t="s">
        <v>46</v>
      </c>
      <c r="H197" s="31"/>
      <c r="I197" s="31" t="s">
        <v>418</v>
      </c>
      <c r="J197" s="32" t="n">
        <v>1.0</v>
      </c>
      <c r="K197" s="33" t="n">
        <f>27630</f>
        <v>27630.0</v>
      </c>
      <c r="L197" s="34" t="s">
        <v>48</v>
      </c>
      <c r="M197" s="33" t="n">
        <f>29700</f>
        <v>29700.0</v>
      </c>
      <c r="N197" s="34" t="s">
        <v>51</v>
      </c>
      <c r="O197" s="33" t="n">
        <f>27555</f>
        <v>27555.0</v>
      </c>
      <c r="P197" s="34" t="s">
        <v>48</v>
      </c>
      <c r="Q197" s="33" t="n">
        <f>29325</f>
        <v>29325.0</v>
      </c>
      <c r="R197" s="34" t="s">
        <v>51</v>
      </c>
      <c r="S197" s="35" t="n">
        <f>28839.09</f>
        <v>28839.09</v>
      </c>
      <c r="T197" s="32" t="n">
        <f>15842</f>
        <v>15842.0</v>
      </c>
      <c r="U197" s="32" t="str">
        <f>"－"</f>
        <v>－</v>
      </c>
      <c r="V197" s="32" t="n">
        <f>460492530</f>
        <v>4.6049253E8</v>
      </c>
      <c r="W197" s="32" t="str">
        <f>"－"</f>
        <v>－</v>
      </c>
      <c r="X197" s="36" t="n">
        <f>22</f>
        <v>22.0</v>
      </c>
    </row>
    <row r="198">
      <c r="A198" s="27" t="s">
        <v>42</v>
      </c>
      <c r="B198" s="27" t="s">
        <v>641</v>
      </c>
      <c r="C198" s="27" t="s">
        <v>642</v>
      </c>
      <c r="D198" s="27" t="s">
        <v>643</v>
      </c>
      <c r="E198" s="28" t="s">
        <v>46</v>
      </c>
      <c r="F198" s="29" t="s">
        <v>46</v>
      </c>
      <c r="G198" s="30" t="s">
        <v>46</v>
      </c>
      <c r="H198" s="31"/>
      <c r="I198" s="31" t="s">
        <v>418</v>
      </c>
      <c r="J198" s="32" t="n">
        <v>1.0</v>
      </c>
      <c r="K198" s="33" t="n">
        <f>17110</f>
        <v>17110.0</v>
      </c>
      <c r="L198" s="34" t="s">
        <v>61</v>
      </c>
      <c r="M198" s="33" t="n">
        <f>18330</f>
        <v>18330.0</v>
      </c>
      <c r="N198" s="34" t="s">
        <v>212</v>
      </c>
      <c r="O198" s="33" t="n">
        <f>16965</f>
        <v>16965.0</v>
      </c>
      <c r="P198" s="34" t="s">
        <v>167</v>
      </c>
      <c r="Q198" s="33" t="n">
        <f>18150</f>
        <v>18150.0</v>
      </c>
      <c r="R198" s="34" t="s">
        <v>51</v>
      </c>
      <c r="S198" s="35" t="n">
        <f>17571.56</f>
        <v>17571.56</v>
      </c>
      <c r="T198" s="32" t="n">
        <f>666</f>
        <v>666.0</v>
      </c>
      <c r="U198" s="32" t="str">
        <f>"－"</f>
        <v>－</v>
      </c>
      <c r="V198" s="32" t="n">
        <f>11744325</f>
        <v>1.1744325E7</v>
      </c>
      <c r="W198" s="32" t="str">
        <f>"－"</f>
        <v>－</v>
      </c>
      <c r="X198" s="36" t="n">
        <f>16</f>
        <v>16.0</v>
      </c>
    </row>
    <row r="199">
      <c r="A199" s="27" t="s">
        <v>42</v>
      </c>
      <c r="B199" s="27" t="s">
        <v>644</v>
      </c>
      <c r="C199" s="27" t="s">
        <v>645</v>
      </c>
      <c r="D199" s="27" t="s">
        <v>646</v>
      </c>
      <c r="E199" s="28" t="s">
        <v>46</v>
      </c>
      <c r="F199" s="29" t="s">
        <v>46</v>
      </c>
      <c r="G199" s="30" t="s">
        <v>46</v>
      </c>
      <c r="H199" s="31"/>
      <c r="I199" s="31" t="s">
        <v>418</v>
      </c>
      <c r="J199" s="32" t="n">
        <v>1.0</v>
      </c>
      <c r="K199" s="33" t="n">
        <f>30800</f>
        <v>30800.0</v>
      </c>
      <c r="L199" s="34" t="s">
        <v>48</v>
      </c>
      <c r="M199" s="33" t="n">
        <f>31320</f>
        <v>31320.0</v>
      </c>
      <c r="N199" s="34" t="s">
        <v>330</v>
      </c>
      <c r="O199" s="33" t="n">
        <f>28860</f>
        <v>28860.0</v>
      </c>
      <c r="P199" s="34" t="s">
        <v>51</v>
      </c>
      <c r="Q199" s="33" t="n">
        <f>29250</f>
        <v>29250.0</v>
      </c>
      <c r="R199" s="34" t="s">
        <v>51</v>
      </c>
      <c r="S199" s="35" t="n">
        <f>30269.32</f>
        <v>30269.32</v>
      </c>
      <c r="T199" s="32" t="n">
        <f>39496</f>
        <v>39496.0</v>
      </c>
      <c r="U199" s="32" t="str">
        <f>"－"</f>
        <v>－</v>
      </c>
      <c r="V199" s="32" t="n">
        <f>1197877010</f>
        <v>1.19787701E9</v>
      </c>
      <c r="W199" s="32" t="str">
        <f>"－"</f>
        <v>－</v>
      </c>
      <c r="X199" s="36" t="n">
        <f>22</f>
        <v>22.0</v>
      </c>
    </row>
    <row r="200">
      <c r="A200" s="27" t="s">
        <v>42</v>
      </c>
      <c r="B200" s="27" t="s">
        <v>647</v>
      </c>
      <c r="C200" s="27" t="s">
        <v>648</v>
      </c>
      <c r="D200" s="27" t="s">
        <v>649</v>
      </c>
      <c r="E200" s="28" t="s">
        <v>46</v>
      </c>
      <c r="F200" s="29" t="s">
        <v>46</v>
      </c>
      <c r="G200" s="30" t="s">
        <v>46</v>
      </c>
      <c r="H200" s="31"/>
      <c r="I200" s="31" t="s">
        <v>418</v>
      </c>
      <c r="J200" s="32" t="n">
        <v>1.0</v>
      </c>
      <c r="K200" s="33" t="n">
        <f>3245</f>
        <v>3245.0</v>
      </c>
      <c r="L200" s="34" t="s">
        <v>48</v>
      </c>
      <c r="M200" s="33" t="n">
        <f>3411</f>
        <v>3411.0</v>
      </c>
      <c r="N200" s="34" t="s">
        <v>69</v>
      </c>
      <c r="O200" s="33" t="n">
        <f>3220</f>
        <v>3220.0</v>
      </c>
      <c r="P200" s="34" t="s">
        <v>84</v>
      </c>
      <c r="Q200" s="33" t="n">
        <f>3398</f>
        <v>3398.0</v>
      </c>
      <c r="R200" s="34" t="s">
        <v>51</v>
      </c>
      <c r="S200" s="35" t="n">
        <f>3322.43</f>
        <v>3322.43</v>
      </c>
      <c r="T200" s="32" t="n">
        <f>2203</f>
        <v>2203.0</v>
      </c>
      <c r="U200" s="32" t="str">
        <f>"－"</f>
        <v>－</v>
      </c>
      <c r="V200" s="32" t="n">
        <f>7328547</f>
        <v>7328547.0</v>
      </c>
      <c r="W200" s="32" t="str">
        <f>"－"</f>
        <v>－</v>
      </c>
      <c r="X200" s="36" t="n">
        <f>21</f>
        <v>21.0</v>
      </c>
    </row>
    <row r="201">
      <c r="A201" s="27" t="s">
        <v>42</v>
      </c>
      <c r="B201" s="27" t="s">
        <v>650</v>
      </c>
      <c r="C201" s="27" t="s">
        <v>651</v>
      </c>
      <c r="D201" s="27" t="s">
        <v>652</v>
      </c>
      <c r="E201" s="28" t="s">
        <v>46</v>
      </c>
      <c r="F201" s="29" t="s">
        <v>46</v>
      </c>
      <c r="G201" s="30" t="s">
        <v>46</v>
      </c>
      <c r="H201" s="31"/>
      <c r="I201" s="31" t="s">
        <v>418</v>
      </c>
      <c r="J201" s="32" t="n">
        <v>1.0</v>
      </c>
      <c r="K201" s="33" t="n">
        <f>31120</f>
        <v>31120.0</v>
      </c>
      <c r="L201" s="34" t="s">
        <v>118</v>
      </c>
      <c r="M201" s="33" t="n">
        <f>34050</f>
        <v>34050.0</v>
      </c>
      <c r="N201" s="34" t="s">
        <v>70</v>
      </c>
      <c r="O201" s="33" t="n">
        <f>31040</f>
        <v>31040.0</v>
      </c>
      <c r="P201" s="34" t="s">
        <v>167</v>
      </c>
      <c r="Q201" s="33" t="n">
        <f>33300</f>
        <v>33300.0</v>
      </c>
      <c r="R201" s="34" t="s">
        <v>80</v>
      </c>
      <c r="S201" s="35" t="n">
        <f>32259.33</f>
        <v>32259.33</v>
      </c>
      <c r="T201" s="32" t="n">
        <f>11211</f>
        <v>11211.0</v>
      </c>
      <c r="U201" s="32" t="n">
        <f>4000</f>
        <v>4000.0</v>
      </c>
      <c r="V201" s="32" t="n">
        <f>367110030</f>
        <v>3.6711003E8</v>
      </c>
      <c r="W201" s="32" t="n">
        <f>128280000</f>
        <v>1.2828E8</v>
      </c>
      <c r="X201" s="36" t="n">
        <f>15</f>
        <v>15.0</v>
      </c>
    </row>
    <row r="202">
      <c r="A202" s="27" t="s">
        <v>42</v>
      </c>
      <c r="B202" s="27" t="s">
        <v>653</v>
      </c>
      <c r="C202" s="27" t="s">
        <v>654</v>
      </c>
      <c r="D202" s="27" t="s">
        <v>655</v>
      </c>
      <c r="E202" s="28" t="s">
        <v>46</v>
      </c>
      <c r="F202" s="29" t="s">
        <v>46</v>
      </c>
      <c r="G202" s="30" t="s">
        <v>46</v>
      </c>
      <c r="H202" s="31"/>
      <c r="I202" s="31" t="s">
        <v>418</v>
      </c>
      <c r="J202" s="32" t="n">
        <v>1.0</v>
      </c>
      <c r="K202" s="33" t="n">
        <f>21775</f>
        <v>21775.0</v>
      </c>
      <c r="L202" s="34" t="s">
        <v>65</v>
      </c>
      <c r="M202" s="33" t="n">
        <f>22100</f>
        <v>22100.0</v>
      </c>
      <c r="N202" s="34" t="s">
        <v>65</v>
      </c>
      <c r="O202" s="33" t="n">
        <f>21775</f>
        <v>21775.0</v>
      </c>
      <c r="P202" s="34" t="s">
        <v>65</v>
      </c>
      <c r="Q202" s="33" t="n">
        <f>22100</f>
        <v>22100.0</v>
      </c>
      <c r="R202" s="34" t="s">
        <v>88</v>
      </c>
      <c r="S202" s="35" t="n">
        <f>22066.67</f>
        <v>22066.67</v>
      </c>
      <c r="T202" s="32" t="n">
        <f>30</f>
        <v>30.0</v>
      </c>
      <c r="U202" s="32" t="str">
        <f>"－"</f>
        <v>－</v>
      </c>
      <c r="V202" s="32" t="n">
        <f>659975</f>
        <v>659975.0</v>
      </c>
      <c r="W202" s="32" t="str">
        <f>"－"</f>
        <v>－</v>
      </c>
      <c r="X202" s="36" t="n">
        <f>3</f>
        <v>3.0</v>
      </c>
    </row>
    <row r="203">
      <c r="A203" s="27" t="s">
        <v>42</v>
      </c>
      <c r="B203" s="27" t="s">
        <v>656</v>
      </c>
      <c r="C203" s="27" t="s">
        <v>657</v>
      </c>
      <c r="D203" s="27" t="s">
        <v>658</v>
      </c>
      <c r="E203" s="28" t="s">
        <v>46</v>
      </c>
      <c r="F203" s="29" t="s">
        <v>46</v>
      </c>
      <c r="G203" s="30" t="s">
        <v>46</v>
      </c>
      <c r="H203" s="31"/>
      <c r="I203" s="31" t="s">
        <v>418</v>
      </c>
      <c r="J203" s="32" t="n">
        <v>1.0</v>
      </c>
      <c r="K203" s="33" t="n">
        <f>36860</f>
        <v>36860.0</v>
      </c>
      <c r="L203" s="34" t="s">
        <v>48</v>
      </c>
      <c r="M203" s="33" t="n">
        <f>39930</f>
        <v>39930.0</v>
      </c>
      <c r="N203" s="34" t="s">
        <v>70</v>
      </c>
      <c r="O203" s="33" t="n">
        <f>36340</f>
        <v>36340.0</v>
      </c>
      <c r="P203" s="34" t="s">
        <v>118</v>
      </c>
      <c r="Q203" s="33" t="n">
        <f>39200</f>
        <v>39200.0</v>
      </c>
      <c r="R203" s="34" t="s">
        <v>104</v>
      </c>
      <c r="S203" s="35" t="n">
        <f>38265.83</f>
        <v>38265.83</v>
      </c>
      <c r="T203" s="32" t="n">
        <f>183</f>
        <v>183.0</v>
      </c>
      <c r="U203" s="32" t="str">
        <f>"－"</f>
        <v>－</v>
      </c>
      <c r="V203" s="32" t="n">
        <f>7032490</f>
        <v>7032490.0</v>
      </c>
      <c r="W203" s="32" t="str">
        <f>"－"</f>
        <v>－</v>
      </c>
      <c r="X203" s="36" t="n">
        <f>12</f>
        <v>12.0</v>
      </c>
    </row>
    <row r="204">
      <c r="A204" s="27" t="s">
        <v>42</v>
      </c>
      <c r="B204" s="27" t="s">
        <v>659</v>
      </c>
      <c r="C204" s="27" t="s">
        <v>660</v>
      </c>
      <c r="D204" s="27" t="s">
        <v>661</v>
      </c>
      <c r="E204" s="28" t="s">
        <v>46</v>
      </c>
      <c r="F204" s="29" t="s">
        <v>46</v>
      </c>
      <c r="G204" s="30" t="s">
        <v>46</v>
      </c>
      <c r="H204" s="31"/>
      <c r="I204" s="31" t="s">
        <v>418</v>
      </c>
      <c r="J204" s="32" t="n">
        <v>1.0</v>
      </c>
      <c r="K204" s="33" t="n">
        <f>20480</f>
        <v>20480.0</v>
      </c>
      <c r="L204" s="34" t="s">
        <v>118</v>
      </c>
      <c r="M204" s="33" t="n">
        <f>21220</f>
        <v>21220.0</v>
      </c>
      <c r="N204" s="34" t="s">
        <v>49</v>
      </c>
      <c r="O204" s="33" t="n">
        <f>20480</f>
        <v>20480.0</v>
      </c>
      <c r="P204" s="34" t="s">
        <v>118</v>
      </c>
      <c r="Q204" s="33" t="n">
        <f>20975</f>
        <v>20975.0</v>
      </c>
      <c r="R204" s="34" t="s">
        <v>49</v>
      </c>
      <c r="S204" s="35" t="n">
        <f>20773</f>
        <v>20773.0</v>
      </c>
      <c r="T204" s="32" t="n">
        <f>1952</f>
        <v>1952.0</v>
      </c>
      <c r="U204" s="32" t="str">
        <f>"－"</f>
        <v>－</v>
      </c>
      <c r="V204" s="32" t="n">
        <f>40527925</f>
        <v>4.0527925E7</v>
      </c>
      <c r="W204" s="32" t="str">
        <f>"－"</f>
        <v>－</v>
      </c>
      <c r="X204" s="36" t="n">
        <f>5</f>
        <v>5.0</v>
      </c>
    </row>
    <row r="205">
      <c r="A205" s="27" t="s">
        <v>42</v>
      </c>
      <c r="B205" s="27" t="s">
        <v>662</v>
      </c>
      <c r="C205" s="27" t="s">
        <v>663</v>
      </c>
      <c r="D205" s="27" t="s">
        <v>664</v>
      </c>
      <c r="E205" s="28" t="s">
        <v>46</v>
      </c>
      <c r="F205" s="29" t="s">
        <v>46</v>
      </c>
      <c r="G205" s="30" t="s">
        <v>46</v>
      </c>
      <c r="H205" s="31"/>
      <c r="I205" s="31" t="s">
        <v>418</v>
      </c>
      <c r="J205" s="32" t="n">
        <v>1.0</v>
      </c>
      <c r="K205" s="33" t="n">
        <f>20800</f>
        <v>20800.0</v>
      </c>
      <c r="L205" s="34" t="s">
        <v>48</v>
      </c>
      <c r="M205" s="33" t="n">
        <f>21400</f>
        <v>21400.0</v>
      </c>
      <c r="N205" s="34" t="s">
        <v>49</v>
      </c>
      <c r="O205" s="33" t="n">
        <f>20100</f>
        <v>20100.0</v>
      </c>
      <c r="P205" s="34" t="s">
        <v>50</v>
      </c>
      <c r="Q205" s="33" t="n">
        <f>20905</f>
        <v>20905.0</v>
      </c>
      <c r="R205" s="34" t="s">
        <v>80</v>
      </c>
      <c r="S205" s="35" t="n">
        <f>20426.79</f>
        <v>20426.79</v>
      </c>
      <c r="T205" s="32" t="n">
        <f>572</f>
        <v>572.0</v>
      </c>
      <c r="U205" s="32" t="str">
        <f>"－"</f>
        <v>－</v>
      </c>
      <c r="V205" s="32" t="n">
        <f>11692695</f>
        <v>1.1692695E7</v>
      </c>
      <c r="W205" s="32" t="str">
        <f>"－"</f>
        <v>－</v>
      </c>
      <c r="X205" s="36" t="n">
        <f>14</f>
        <v>14.0</v>
      </c>
    </row>
    <row r="206">
      <c r="A206" s="27" t="s">
        <v>42</v>
      </c>
      <c r="B206" s="27" t="s">
        <v>665</v>
      </c>
      <c r="C206" s="27" t="s">
        <v>666</v>
      </c>
      <c r="D206" s="27" t="s">
        <v>667</v>
      </c>
      <c r="E206" s="28" t="s">
        <v>46</v>
      </c>
      <c r="F206" s="29" t="s">
        <v>46</v>
      </c>
      <c r="G206" s="30" t="s">
        <v>46</v>
      </c>
      <c r="H206" s="31"/>
      <c r="I206" s="31" t="s">
        <v>418</v>
      </c>
      <c r="J206" s="32" t="n">
        <v>1.0</v>
      </c>
      <c r="K206" s="33" t="n">
        <f>25140</f>
        <v>25140.0</v>
      </c>
      <c r="L206" s="34" t="s">
        <v>61</v>
      </c>
      <c r="M206" s="33" t="n">
        <f>25900</f>
        <v>25900.0</v>
      </c>
      <c r="N206" s="34" t="s">
        <v>80</v>
      </c>
      <c r="O206" s="33" t="n">
        <f>24940</f>
        <v>24940.0</v>
      </c>
      <c r="P206" s="34" t="s">
        <v>250</v>
      </c>
      <c r="Q206" s="33" t="n">
        <f>25900</f>
        <v>25900.0</v>
      </c>
      <c r="R206" s="34" t="s">
        <v>80</v>
      </c>
      <c r="S206" s="35" t="n">
        <f>25203.33</f>
        <v>25203.33</v>
      </c>
      <c r="T206" s="32" t="n">
        <f>9500</f>
        <v>9500.0</v>
      </c>
      <c r="U206" s="32" t="str">
        <f>"－"</f>
        <v>－</v>
      </c>
      <c r="V206" s="32" t="n">
        <f>239990130</f>
        <v>2.3999013E8</v>
      </c>
      <c r="W206" s="32" t="str">
        <f>"－"</f>
        <v>－</v>
      </c>
      <c r="X206" s="36" t="n">
        <f>6</f>
        <v>6.0</v>
      </c>
    </row>
    <row r="207">
      <c r="A207" s="27" t="s">
        <v>42</v>
      </c>
      <c r="B207" s="27" t="s">
        <v>668</v>
      </c>
      <c r="C207" s="27" t="s">
        <v>669</v>
      </c>
      <c r="D207" s="27" t="s">
        <v>670</v>
      </c>
      <c r="E207" s="28" t="s">
        <v>46</v>
      </c>
      <c r="F207" s="29" t="s">
        <v>46</v>
      </c>
      <c r="G207" s="30" t="s">
        <v>46</v>
      </c>
      <c r="H207" s="31"/>
      <c r="I207" s="31" t="s">
        <v>418</v>
      </c>
      <c r="J207" s="32" t="n">
        <v>1.0</v>
      </c>
      <c r="K207" s="33" t="n">
        <f>18300</f>
        <v>18300.0</v>
      </c>
      <c r="L207" s="34" t="s">
        <v>205</v>
      </c>
      <c r="M207" s="33" t="n">
        <f>18300</f>
        <v>18300.0</v>
      </c>
      <c r="N207" s="34" t="s">
        <v>205</v>
      </c>
      <c r="O207" s="33" t="n">
        <f>18300</f>
        <v>18300.0</v>
      </c>
      <c r="P207" s="34" t="s">
        <v>205</v>
      </c>
      <c r="Q207" s="33" t="n">
        <f>18300</f>
        <v>18300.0</v>
      </c>
      <c r="R207" s="34" t="s">
        <v>205</v>
      </c>
      <c r="S207" s="35" t="n">
        <f>18300</f>
        <v>18300.0</v>
      </c>
      <c r="T207" s="32" t="n">
        <f>1</f>
        <v>1.0</v>
      </c>
      <c r="U207" s="32" t="str">
        <f>"－"</f>
        <v>－</v>
      </c>
      <c r="V207" s="32" t="n">
        <f>18300</f>
        <v>18300.0</v>
      </c>
      <c r="W207" s="32" t="str">
        <f>"－"</f>
        <v>－</v>
      </c>
      <c r="X207" s="36" t="n">
        <f>1</f>
        <v>1.0</v>
      </c>
    </row>
    <row r="208">
      <c r="A208" s="27" t="s">
        <v>42</v>
      </c>
      <c r="B208" s="27" t="s">
        <v>671</v>
      </c>
      <c r="C208" s="27" t="s">
        <v>672</v>
      </c>
      <c r="D208" s="27" t="s">
        <v>673</v>
      </c>
      <c r="E208" s="28" t="s">
        <v>46</v>
      </c>
      <c r="F208" s="29" t="s">
        <v>46</v>
      </c>
      <c r="G208" s="30" t="s">
        <v>46</v>
      </c>
      <c r="H208" s="31"/>
      <c r="I208" s="31" t="s">
        <v>418</v>
      </c>
      <c r="J208" s="32" t="n">
        <v>1.0</v>
      </c>
      <c r="K208" s="33" t="n">
        <f>12125</f>
        <v>12125.0</v>
      </c>
      <c r="L208" s="34" t="s">
        <v>84</v>
      </c>
      <c r="M208" s="33" t="n">
        <f>12635</f>
        <v>12635.0</v>
      </c>
      <c r="N208" s="34" t="s">
        <v>104</v>
      </c>
      <c r="O208" s="33" t="n">
        <f>12060</f>
        <v>12060.0</v>
      </c>
      <c r="P208" s="34" t="s">
        <v>250</v>
      </c>
      <c r="Q208" s="33" t="n">
        <f>12635</f>
        <v>12635.0</v>
      </c>
      <c r="R208" s="34" t="s">
        <v>104</v>
      </c>
      <c r="S208" s="35" t="n">
        <f>12272.5</f>
        <v>12272.5</v>
      </c>
      <c r="T208" s="32" t="n">
        <f>2654</f>
        <v>2654.0</v>
      </c>
      <c r="U208" s="32" t="str">
        <f>"－"</f>
        <v>－</v>
      </c>
      <c r="V208" s="32" t="n">
        <f>32557460</f>
        <v>3.255746E7</v>
      </c>
      <c r="W208" s="32" t="str">
        <f>"－"</f>
        <v>－</v>
      </c>
      <c r="X208" s="36" t="n">
        <f>8</f>
        <v>8.0</v>
      </c>
    </row>
    <row r="209">
      <c r="A209" s="27" t="s">
        <v>42</v>
      </c>
      <c r="B209" s="27" t="s">
        <v>674</v>
      </c>
      <c r="C209" s="27" t="s">
        <v>675</v>
      </c>
      <c r="D209" s="27" t="s">
        <v>676</v>
      </c>
      <c r="E209" s="28" t="s">
        <v>46</v>
      </c>
      <c r="F209" s="29" t="s">
        <v>46</v>
      </c>
      <c r="G209" s="30" t="s">
        <v>46</v>
      </c>
      <c r="H209" s="31"/>
      <c r="I209" s="31" t="s">
        <v>418</v>
      </c>
      <c r="J209" s="32" t="n">
        <v>1.0</v>
      </c>
      <c r="K209" s="33" t="n">
        <f>16080</f>
        <v>16080.0</v>
      </c>
      <c r="L209" s="34" t="s">
        <v>48</v>
      </c>
      <c r="M209" s="33" t="n">
        <f>16530</f>
        <v>16530.0</v>
      </c>
      <c r="N209" s="34" t="s">
        <v>49</v>
      </c>
      <c r="O209" s="33" t="n">
        <f>15820</f>
        <v>15820.0</v>
      </c>
      <c r="P209" s="34" t="s">
        <v>84</v>
      </c>
      <c r="Q209" s="33" t="n">
        <f>16250</f>
        <v>16250.0</v>
      </c>
      <c r="R209" s="34" t="s">
        <v>104</v>
      </c>
      <c r="S209" s="35" t="n">
        <f>16045</f>
        <v>16045.0</v>
      </c>
      <c r="T209" s="32" t="n">
        <f>9936</f>
        <v>9936.0</v>
      </c>
      <c r="U209" s="32" t="str">
        <f>"－"</f>
        <v>－</v>
      </c>
      <c r="V209" s="32" t="n">
        <f>160210870</f>
        <v>1.6021087E8</v>
      </c>
      <c r="W209" s="32" t="str">
        <f>"－"</f>
        <v>－</v>
      </c>
      <c r="X209" s="36" t="n">
        <f>16</f>
        <v>16.0</v>
      </c>
    </row>
    <row r="210">
      <c r="A210" s="27" t="s">
        <v>42</v>
      </c>
      <c r="B210" s="27" t="s">
        <v>677</v>
      </c>
      <c r="C210" s="27" t="s">
        <v>678</v>
      </c>
      <c r="D210" s="27" t="s">
        <v>679</v>
      </c>
      <c r="E210" s="28" t="s">
        <v>46</v>
      </c>
      <c r="F210" s="29" t="s">
        <v>46</v>
      </c>
      <c r="G210" s="30" t="s">
        <v>46</v>
      </c>
      <c r="H210" s="31"/>
      <c r="I210" s="31" t="s">
        <v>418</v>
      </c>
      <c r="J210" s="32" t="n">
        <v>1.0</v>
      </c>
      <c r="K210" s="33" t="n">
        <f>13360</f>
        <v>13360.0</v>
      </c>
      <c r="L210" s="34" t="s">
        <v>61</v>
      </c>
      <c r="M210" s="33" t="n">
        <f>13595</f>
        <v>13595.0</v>
      </c>
      <c r="N210" s="34" t="s">
        <v>70</v>
      </c>
      <c r="O210" s="33" t="n">
        <f>13240</f>
        <v>13240.0</v>
      </c>
      <c r="P210" s="34" t="s">
        <v>69</v>
      </c>
      <c r="Q210" s="33" t="n">
        <f>13595</f>
        <v>13595.0</v>
      </c>
      <c r="R210" s="34" t="s">
        <v>70</v>
      </c>
      <c r="S210" s="35" t="n">
        <f>13364</f>
        <v>13364.0</v>
      </c>
      <c r="T210" s="32" t="n">
        <f>80</f>
        <v>80.0</v>
      </c>
      <c r="U210" s="32" t="str">
        <f>"－"</f>
        <v>－</v>
      </c>
      <c r="V210" s="32" t="n">
        <f>1064215</f>
        <v>1064215.0</v>
      </c>
      <c r="W210" s="32" t="str">
        <f>"－"</f>
        <v>－</v>
      </c>
      <c r="X210" s="36" t="n">
        <f>5</f>
        <v>5.0</v>
      </c>
    </row>
    <row r="211">
      <c r="A211" s="27" t="s">
        <v>42</v>
      </c>
      <c r="B211" s="27" t="s">
        <v>680</v>
      </c>
      <c r="C211" s="27" t="s">
        <v>681</v>
      </c>
      <c r="D211" s="27" t="s">
        <v>682</v>
      </c>
      <c r="E211" s="28" t="s">
        <v>46</v>
      </c>
      <c r="F211" s="29" t="s">
        <v>46</v>
      </c>
      <c r="G211" s="30" t="s">
        <v>46</v>
      </c>
      <c r="H211" s="31"/>
      <c r="I211" s="31" t="s">
        <v>418</v>
      </c>
      <c r="J211" s="32" t="n">
        <v>1.0</v>
      </c>
      <c r="K211" s="33" t="n">
        <f>15670</f>
        <v>15670.0</v>
      </c>
      <c r="L211" s="34" t="s">
        <v>48</v>
      </c>
      <c r="M211" s="33" t="n">
        <f>15670</f>
        <v>15670.0</v>
      </c>
      <c r="N211" s="34" t="s">
        <v>48</v>
      </c>
      <c r="O211" s="33" t="n">
        <f>15210</f>
        <v>15210.0</v>
      </c>
      <c r="P211" s="34" t="s">
        <v>167</v>
      </c>
      <c r="Q211" s="33" t="n">
        <f>15210</f>
        <v>15210.0</v>
      </c>
      <c r="R211" s="34" t="s">
        <v>167</v>
      </c>
      <c r="S211" s="35" t="n">
        <f>15370</f>
        <v>15370.0</v>
      </c>
      <c r="T211" s="32" t="n">
        <f>33</f>
        <v>33.0</v>
      </c>
      <c r="U211" s="32" t="str">
        <f>"－"</f>
        <v>－</v>
      </c>
      <c r="V211" s="32" t="n">
        <f>516370</f>
        <v>516370.0</v>
      </c>
      <c r="W211" s="32" t="str">
        <f>"－"</f>
        <v>－</v>
      </c>
      <c r="X211" s="36" t="n">
        <f>2</f>
        <v>2.0</v>
      </c>
    </row>
    <row r="212">
      <c r="A212" s="27" t="s">
        <v>42</v>
      </c>
      <c r="B212" s="27" t="s">
        <v>683</v>
      </c>
      <c r="C212" s="27" t="s">
        <v>684</v>
      </c>
      <c r="D212" s="27" t="s">
        <v>685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1247</f>
        <v>1247.0</v>
      </c>
      <c r="L212" s="34" t="s">
        <v>48</v>
      </c>
      <c r="M212" s="33" t="n">
        <f>1338</f>
        <v>1338.0</v>
      </c>
      <c r="N212" s="34" t="s">
        <v>49</v>
      </c>
      <c r="O212" s="33" t="n">
        <f>1242</f>
        <v>1242.0</v>
      </c>
      <c r="P212" s="34" t="s">
        <v>48</v>
      </c>
      <c r="Q212" s="33" t="n">
        <f>1326</f>
        <v>1326.0</v>
      </c>
      <c r="R212" s="34" t="s">
        <v>51</v>
      </c>
      <c r="S212" s="35" t="n">
        <f>1280.5</f>
        <v>1280.5</v>
      </c>
      <c r="T212" s="32" t="n">
        <f>1230776</f>
        <v>1230776.0</v>
      </c>
      <c r="U212" s="32" t="n">
        <f>30</f>
        <v>30.0</v>
      </c>
      <c r="V212" s="32" t="n">
        <f>1577150745</f>
        <v>1.577150745E9</v>
      </c>
      <c r="W212" s="32" t="n">
        <f>39192</f>
        <v>39192.0</v>
      </c>
      <c r="X212" s="36" t="n">
        <f>22</f>
        <v>22.0</v>
      </c>
    </row>
    <row r="213">
      <c r="A213" s="27" t="s">
        <v>42</v>
      </c>
      <c r="B213" s="27" t="s">
        <v>686</v>
      </c>
      <c r="C213" s="27" t="s">
        <v>687</v>
      </c>
      <c r="D213" s="27" t="s">
        <v>688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1378</f>
        <v>1378.0</v>
      </c>
      <c r="L213" s="34" t="s">
        <v>48</v>
      </c>
      <c r="M213" s="33" t="n">
        <f>1440</f>
        <v>1440.0</v>
      </c>
      <c r="N213" s="34" t="s">
        <v>49</v>
      </c>
      <c r="O213" s="33" t="n">
        <f>1339</f>
        <v>1339.0</v>
      </c>
      <c r="P213" s="34" t="s">
        <v>118</v>
      </c>
      <c r="Q213" s="33" t="n">
        <f>1421</f>
        <v>1421.0</v>
      </c>
      <c r="R213" s="34" t="s">
        <v>51</v>
      </c>
      <c r="S213" s="35" t="n">
        <f>1376.14</f>
        <v>1376.14</v>
      </c>
      <c r="T213" s="32" t="n">
        <f>35221</f>
        <v>35221.0</v>
      </c>
      <c r="U213" s="32" t="str">
        <f>"－"</f>
        <v>－</v>
      </c>
      <c r="V213" s="32" t="n">
        <f>48614381</f>
        <v>4.8614381E7</v>
      </c>
      <c r="W213" s="32" t="str">
        <f>"－"</f>
        <v>－</v>
      </c>
      <c r="X213" s="36" t="n">
        <f>22</f>
        <v>22.0</v>
      </c>
    </row>
    <row r="214">
      <c r="A214" s="27" t="s">
        <v>42</v>
      </c>
      <c r="B214" s="27" t="s">
        <v>689</v>
      </c>
      <c r="C214" s="27" t="s">
        <v>690</v>
      </c>
      <c r="D214" s="27" t="s">
        <v>691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1185</f>
        <v>1185.0</v>
      </c>
      <c r="L214" s="34" t="s">
        <v>48</v>
      </c>
      <c r="M214" s="33" t="n">
        <f>1192</f>
        <v>1192.0</v>
      </c>
      <c r="N214" s="34" t="s">
        <v>49</v>
      </c>
      <c r="O214" s="33" t="n">
        <f>1135</f>
        <v>1135.0</v>
      </c>
      <c r="P214" s="34" t="s">
        <v>167</v>
      </c>
      <c r="Q214" s="33" t="n">
        <f>1159</f>
        <v>1159.0</v>
      </c>
      <c r="R214" s="34" t="s">
        <v>51</v>
      </c>
      <c r="S214" s="35" t="n">
        <f>1155.14</f>
        <v>1155.14</v>
      </c>
      <c r="T214" s="32" t="n">
        <f>33770</f>
        <v>33770.0</v>
      </c>
      <c r="U214" s="32" t="str">
        <f>"－"</f>
        <v>－</v>
      </c>
      <c r="V214" s="32" t="n">
        <f>38921280</f>
        <v>3.892128E7</v>
      </c>
      <c r="W214" s="32" t="str">
        <f>"－"</f>
        <v>－</v>
      </c>
      <c r="X214" s="36" t="n">
        <f>22</f>
        <v>22.0</v>
      </c>
    </row>
    <row r="215">
      <c r="A215" s="27" t="s">
        <v>42</v>
      </c>
      <c r="B215" s="27" t="s">
        <v>692</v>
      </c>
      <c r="C215" s="27" t="s">
        <v>693</v>
      </c>
      <c r="D215" s="27" t="s">
        <v>694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2359</f>
        <v>2359.0</v>
      </c>
      <c r="L215" s="34" t="s">
        <v>48</v>
      </c>
      <c r="M215" s="33" t="n">
        <f>2454</f>
        <v>2454.0</v>
      </c>
      <c r="N215" s="34" t="s">
        <v>49</v>
      </c>
      <c r="O215" s="33" t="n">
        <f>2310</f>
        <v>2310.0</v>
      </c>
      <c r="P215" s="34" t="s">
        <v>111</v>
      </c>
      <c r="Q215" s="33" t="n">
        <f>2433</f>
        <v>2433.0</v>
      </c>
      <c r="R215" s="34" t="s">
        <v>51</v>
      </c>
      <c r="S215" s="35" t="n">
        <f>2358.27</f>
        <v>2358.27</v>
      </c>
      <c r="T215" s="32" t="n">
        <f>188454</f>
        <v>188454.0</v>
      </c>
      <c r="U215" s="32" t="str">
        <f>"－"</f>
        <v>－</v>
      </c>
      <c r="V215" s="32" t="n">
        <f>447427198</f>
        <v>4.47427198E8</v>
      </c>
      <c r="W215" s="32" t="str">
        <f>"－"</f>
        <v>－</v>
      </c>
      <c r="X215" s="36" t="n">
        <f>22</f>
        <v>22.0</v>
      </c>
    </row>
    <row r="216">
      <c r="A216" s="27" t="s">
        <v>42</v>
      </c>
      <c r="B216" s="27" t="s">
        <v>695</v>
      </c>
      <c r="C216" s="27" t="s">
        <v>696</v>
      </c>
      <c r="D216" s="27" t="s">
        <v>697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2325</f>
        <v>2325.0</v>
      </c>
      <c r="L216" s="34" t="s">
        <v>48</v>
      </c>
      <c r="M216" s="33" t="n">
        <f>2499</f>
        <v>2499.0</v>
      </c>
      <c r="N216" s="34" t="s">
        <v>51</v>
      </c>
      <c r="O216" s="33" t="n">
        <f>2311</f>
        <v>2311.0</v>
      </c>
      <c r="P216" s="34" t="s">
        <v>180</v>
      </c>
      <c r="Q216" s="33" t="n">
        <f>2496</f>
        <v>2496.0</v>
      </c>
      <c r="R216" s="34" t="s">
        <v>51</v>
      </c>
      <c r="S216" s="35" t="n">
        <f>2388.05</f>
        <v>2388.05</v>
      </c>
      <c r="T216" s="32" t="n">
        <f>355404</f>
        <v>355404.0</v>
      </c>
      <c r="U216" s="32" t="n">
        <f>87000</f>
        <v>87000.0</v>
      </c>
      <c r="V216" s="32" t="n">
        <f>857315272</f>
        <v>8.57315272E8</v>
      </c>
      <c r="W216" s="32" t="n">
        <f>211244700</f>
        <v>2.112447E8</v>
      </c>
      <c r="X216" s="36" t="n">
        <f>22</f>
        <v>22.0</v>
      </c>
    </row>
    <row r="217">
      <c r="A217" s="27" t="s">
        <v>42</v>
      </c>
      <c r="B217" s="27" t="s">
        <v>698</v>
      </c>
      <c r="C217" s="27" t="s">
        <v>699</v>
      </c>
      <c r="D217" s="27" t="s">
        <v>700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561</f>
        <v>561.0</v>
      </c>
      <c r="L217" s="34" t="s">
        <v>48</v>
      </c>
      <c r="M217" s="33" t="n">
        <f>594</f>
        <v>594.0</v>
      </c>
      <c r="N217" s="34" t="s">
        <v>49</v>
      </c>
      <c r="O217" s="33" t="n">
        <f>555.1</f>
        <v>555.1</v>
      </c>
      <c r="P217" s="34" t="s">
        <v>118</v>
      </c>
      <c r="Q217" s="33" t="n">
        <f>592.3</f>
        <v>592.3</v>
      </c>
      <c r="R217" s="34" t="s">
        <v>51</v>
      </c>
      <c r="S217" s="35" t="n">
        <f>574.03</f>
        <v>574.03</v>
      </c>
      <c r="T217" s="32" t="n">
        <f>2394420</f>
        <v>2394420.0</v>
      </c>
      <c r="U217" s="32" t="n">
        <f>1316640</f>
        <v>1316640.0</v>
      </c>
      <c r="V217" s="32" t="n">
        <f>1360883473</f>
        <v>1.360883473E9</v>
      </c>
      <c r="W217" s="32" t="n">
        <f>739068740</f>
        <v>7.3906874E8</v>
      </c>
      <c r="X217" s="36" t="n">
        <f>22</f>
        <v>22.0</v>
      </c>
    </row>
    <row r="218">
      <c r="A218" s="27" t="s">
        <v>42</v>
      </c>
      <c r="B218" s="27" t="s">
        <v>701</v>
      </c>
      <c r="C218" s="27" t="s">
        <v>702</v>
      </c>
      <c r="D218" s="27" t="s">
        <v>703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2575</f>
        <v>2575.0</v>
      </c>
      <c r="L218" s="34" t="s">
        <v>48</v>
      </c>
      <c r="M218" s="33" t="n">
        <f>2662</f>
        <v>2662.0</v>
      </c>
      <c r="N218" s="34" t="s">
        <v>70</v>
      </c>
      <c r="O218" s="33" t="n">
        <f>2571</f>
        <v>2571.0</v>
      </c>
      <c r="P218" s="34" t="s">
        <v>48</v>
      </c>
      <c r="Q218" s="33" t="n">
        <f>2645</f>
        <v>2645.0</v>
      </c>
      <c r="R218" s="34" t="s">
        <v>104</v>
      </c>
      <c r="S218" s="35" t="n">
        <f>2609.73</f>
        <v>2609.73</v>
      </c>
      <c r="T218" s="32" t="n">
        <f>244940</f>
        <v>244940.0</v>
      </c>
      <c r="U218" s="32" t="str">
        <f>"－"</f>
        <v>－</v>
      </c>
      <c r="V218" s="32" t="n">
        <f>638835375</f>
        <v>6.38835375E8</v>
      </c>
      <c r="W218" s="32" t="str">
        <f>"－"</f>
        <v>－</v>
      </c>
      <c r="X218" s="36" t="n">
        <f>20</f>
        <v>20.0</v>
      </c>
    </row>
    <row r="219">
      <c r="A219" s="27" t="s">
        <v>42</v>
      </c>
      <c r="B219" s="27" t="s">
        <v>704</v>
      </c>
      <c r="C219" s="27" t="s">
        <v>705</v>
      </c>
      <c r="D219" s="27" t="s">
        <v>706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2764.5</f>
        <v>2764.5</v>
      </c>
      <c r="L219" s="34" t="s">
        <v>61</v>
      </c>
      <c r="M219" s="33" t="n">
        <f>2846</f>
        <v>2846.0</v>
      </c>
      <c r="N219" s="34" t="s">
        <v>70</v>
      </c>
      <c r="O219" s="33" t="n">
        <f>2747.5</f>
        <v>2747.5</v>
      </c>
      <c r="P219" s="34" t="s">
        <v>61</v>
      </c>
      <c r="Q219" s="33" t="n">
        <f>2843.5</f>
        <v>2843.5</v>
      </c>
      <c r="R219" s="34" t="s">
        <v>80</v>
      </c>
      <c r="S219" s="35" t="n">
        <f>2793.58</f>
        <v>2793.58</v>
      </c>
      <c r="T219" s="32" t="n">
        <f>32500</f>
        <v>32500.0</v>
      </c>
      <c r="U219" s="32" t="str">
        <f>"－"</f>
        <v>－</v>
      </c>
      <c r="V219" s="32" t="n">
        <f>90395910</f>
        <v>9.039591E7</v>
      </c>
      <c r="W219" s="32" t="str">
        <f>"－"</f>
        <v>－</v>
      </c>
      <c r="X219" s="36" t="n">
        <f>13</f>
        <v>13.0</v>
      </c>
    </row>
    <row r="220">
      <c r="A220" s="27" t="s">
        <v>42</v>
      </c>
      <c r="B220" s="27" t="s">
        <v>707</v>
      </c>
      <c r="C220" s="27" t="s">
        <v>708</v>
      </c>
      <c r="D220" s="27" t="s">
        <v>709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2335.5</f>
        <v>2335.5</v>
      </c>
      <c r="L220" s="34" t="s">
        <v>61</v>
      </c>
      <c r="M220" s="33" t="n">
        <f>2336</f>
        <v>2336.0</v>
      </c>
      <c r="N220" s="34" t="s">
        <v>104</v>
      </c>
      <c r="O220" s="33" t="n">
        <f>2287</f>
        <v>2287.0</v>
      </c>
      <c r="P220" s="34" t="s">
        <v>51</v>
      </c>
      <c r="Q220" s="33" t="n">
        <f>2330</f>
        <v>2330.0</v>
      </c>
      <c r="R220" s="34" t="s">
        <v>51</v>
      </c>
      <c r="S220" s="35" t="n">
        <f>2333.67</f>
        <v>2333.67</v>
      </c>
      <c r="T220" s="32" t="n">
        <f>7270</f>
        <v>7270.0</v>
      </c>
      <c r="U220" s="32" t="str">
        <f>"－"</f>
        <v>－</v>
      </c>
      <c r="V220" s="32" t="n">
        <f>16938785</f>
        <v>1.6938785E7</v>
      </c>
      <c r="W220" s="32" t="str">
        <f>"－"</f>
        <v>－</v>
      </c>
      <c r="X220" s="36" t="n">
        <f>3</f>
        <v>3.0</v>
      </c>
    </row>
    <row r="221">
      <c r="A221" s="27" t="s">
        <v>42</v>
      </c>
      <c r="B221" s="27" t="s">
        <v>710</v>
      </c>
      <c r="C221" s="27" t="s">
        <v>711</v>
      </c>
      <c r="D221" s="27" t="s">
        <v>712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2738</f>
        <v>2738.0</v>
      </c>
      <c r="L221" s="34" t="s">
        <v>48</v>
      </c>
      <c r="M221" s="33" t="n">
        <f>2820</f>
        <v>2820.0</v>
      </c>
      <c r="N221" s="34" t="s">
        <v>70</v>
      </c>
      <c r="O221" s="33" t="n">
        <f>2712</f>
        <v>2712.0</v>
      </c>
      <c r="P221" s="34" t="s">
        <v>61</v>
      </c>
      <c r="Q221" s="33" t="n">
        <f>2770.5</f>
        <v>2770.5</v>
      </c>
      <c r="R221" s="34" t="s">
        <v>51</v>
      </c>
      <c r="S221" s="35" t="n">
        <f>2757</f>
        <v>2757.0</v>
      </c>
      <c r="T221" s="32" t="n">
        <f>232640</f>
        <v>232640.0</v>
      </c>
      <c r="U221" s="32" t="n">
        <f>80000</f>
        <v>80000.0</v>
      </c>
      <c r="V221" s="32" t="n">
        <f>636424910</f>
        <v>6.3642491E8</v>
      </c>
      <c r="W221" s="32" t="n">
        <f>220000000</f>
        <v>2.2E8</v>
      </c>
      <c r="X221" s="36" t="n">
        <f>17</f>
        <v>17.0</v>
      </c>
    </row>
    <row r="222">
      <c r="A222" s="27" t="s">
        <v>42</v>
      </c>
      <c r="B222" s="27" t="s">
        <v>713</v>
      </c>
      <c r="C222" s="27" t="s">
        <v>714</v>
      </c>
      <c r="D222" s="27" t="s">
        <v>715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4582</f>
        <v>4582.0</v>
      </c>
      <c r="L222" s="34" t="s">
        <v>48</v>
      </c>
      <c r="M222" s="33" t="n">
        <f>4600</f>
        <v>4600.0</v>
      </c>
      <c r="N222" s="34" t="s">
        <v>84</v>
      </c>
      <c r="O222" s="33" t="n">
        <f>4489</f>
        <v>4489.0</v>
      </c>
      <c r="P222" s="34" t="s">
        <v>69</v>
      </c>
      <c r="Q222" s="33" t="n">
        <f>4528</f>
        <v>4528.0</v>
      </c>
      <c r="R222" s="34" t="s">
        <v>51</v>
      </c>
      <c r="S222" s="35" t="n">
        <f>4526.8</f>
        <v>4526.8</v>
      </c>
      <c r="T222" s="32" t="n">
        <f>34560</f>
        <v>34560.0</v>
      </c>
      <c r="U222" s="32" t="str">
        <f>"－"</f>
        <v>－</v>
      </c>
      <c r="V222" s="32" t="n">
        <f>156393100</f>
        <v>1.563931E8</v>
      </c>
      <c r="W222" s="32" t="str">
        <f>"－"</f>
        <v>－</v>
      </c>
      <c r="X222" s="36" t="n">
        <f>20</f>
        <v>20.0</v>
      </c>
    </row>
    <row r="223">
      <c r="A223" s="27" t="s">
        <v>42</v>
      </c>
      <c r="B223" s="27" t="s">
        <v>716</v>
      </c>
      <c r="C223" s="27" t="s">
        <v>717</v>
      </c>
      <c r="D223" s="27" t="s">
        <v>718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4748</f>
        <v>4748.0</v>
      </c>
      <c r="L223" s="34" t="s">
        <v>49</v>
      </c>
      <c r="M223" s="33" t="n">
        <f>5028</f>
        <v>5028.0</v>
      </c>
      <c r="N223" s="34" t="s">
        <v>70</v>
      </c>
      <c r="O223" s="33" t="n">
        <f>4724</f>
        <v>4724.0</v>
      </c>
      <c r="P223" s="34" t="s">
        <v>70</v>
      </c>
      <c r="Q223" s="33" t="n">
        <f>4732</f>
        <v>4732.0</v>
      </c>
      <c r="R223" s="34" t="s">
        <v>80</v>
      </c>
      <c r="S223" s="35" t="n">
        <f>4734.67</f>
        <v>4734.67</v>
      </c>
      <c r="T223" s="32" t="n">
        <f>120</f>
        <v>120.0</v>
      </c>
      <c r="U223" s="32" t="str">
        <f>"－"</f>
        <v>－</v>
      </c>
      <c r="V223" s="32" t="n">
        <f>576480</f>
        <v>576480.0</v>
      </c>
      <c r="W223" s="32" t="str">
        <f>"－"</f>
        <v>－</v>
      </c>
      <c r="X223" s="36" t="n">
        <f>3</f>
        <v>3.0</v>
      </c>
    </row>
    <row r="224">
      <c r="A224" s="27" t="s">
        <v>42</v>
      </c>
      <c r="B224" s="27" t="s">
        <v>719</v>
      </c>
      <c r="C224" s="27" t="s">
        <v>720</v>
      </c>
      <c r="D224" s="27" t="s">
        <v>721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str">
        <f>"－"</f>
        <v>－</v>
      </c>
      <c r="L224" s="34"/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5" t="str">
        <f>"－"</f>
        <v>－</v>
      </c>
      <c r="T224" s="32" t="str">
        <f>"－"</f>
        <v>－</v>
      </c>
      <c r="U224" s="32" t="str">
        <f>"－"</f>
        <v>－</v>
      </c>
      <c r="V224" s="32" t="str">
        <f>"－"</f>
        <v>－</v>
      </c>
      <c r="W224" s="32" t="str">
        <f>"－"</f>
        <v>－</v>
      </c>
      <c r="X224" s="36" t="str">
        <f>"－"</f>
        <v>－</v>
      </c>
    </row>
    <row r="225">
      <c r="A225" s="27" t="s">
        <v>42</v>
      </c>
      <c r="B225" s="27" t="s">
        <v>722</v>
      </c>
      <c r="C225" s="27" t="s">
        <v>723</v>
      </c>
      <c r="D225" s="27" t="s">
        <v>724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4842</f>
        <v>4842.0</v>
      </c>
      <c r="L225" s="34" t="s">
        <v>48</v>
      </c>
      <c r="M225" s="33" t="n">
        <f>5026</f>
        <v>5026.0</v>
      </c>
      <c r="N225" s="34" t="s">
        <v>51</v>
      </c>
      <c r="O225" s="33" t="n">
        <f>4828</f>
        <v>4828.0</v>
      </c>
      <c r="P225" s="34" t="s">
        <v>48</v>
      </c>
      <c r="Q225" s="33" t="n">
        <f>5007</f>
        <v>5007.0</v>
      </c>
      <c r="R225" s="34" t="s">
        <v>51</v>
      </c>
      <c r="S225" s="35" t="n">
        <f>4934.5</f>
        <v>4934.5</v>
      </c>
      <c r="T225" s="32" t="n">
        <f>199350</f>
        <v>199350.0</v>
      </c>
      <c r="U225" s="32" t="n">
        <f>121200</f>
        <v>121200.0</v>
      </c>
      <c r="V225" s="32" t="n">
        <f>984968110</f>
        <v>9.8496811E8</v>
      </c>
      <c r="W225" s="32" t="n">
        <f>593834400</f>
        <v>5.938344E8</v>
      </c>
      <c r="X225" s="36" t="n">
        <f>22</f>
        <v>22.0</v>
      </c>
    </row>
    <row r="226">
      <c r="A226" s="27" t="s">
        <v>42</v>
      </c>
      <c r="B226" s="27" t="s">
        <v>725</v>
      </c>
      <c r="C226" s="27" t="s">
        <v>726</v>
      </c>
      <c r="D226" s="27" t="s">
        <v>727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880</f>
        <v>880.0</v>
      </c>
      <c r="L226" s="34" t="s">
        <v>48</v>
      </c>
      <c r="M226" s="33" t="n">
        <f>889</f>
        <v>889.0</v>
      </c>
      <c r="N226" s="34" t="s">
        <v>61</v>
      </c>
      <c r="O226" s="33" t="n">
        <f>835</f>
        <v>835.0</v>
      </c>
      <c r="P226" s="34" t="s">
        <v>51</v>
      </c>
      <c r="Q226" s="33" t="n">
        <f>839</f>
        <v>839.0</v>
      </c>
      <c r="R226" s="34" t="s">
        <v>51</v>
      </c>
      <c r="S226" s="35" t="n">
        <f>865.05</f>
        <v>865.05</v>
      </c>
      <c r="T226" s="32" t="n">
        <f>113474</f>
        <v>113474.0</v>
      </c>
      <c r="U226" s="32" t="str">
        <f>"－"</f>
        <v>－</v>
      </c>
      <c r="V226" s="32" t="n">
        <f>99096195</f>
        <v>9.9096195E7</v>
      </c>
      <c r="W226" s="32" t="str">
        <f>"－"</f>
        <v>－</v>
      </c>
      <c r="X226" s="36" t="n">
        <f>22</f>
        <v>22.0</v>
      </c>
    </row>
    <row r="227">
      <c r="A227" s="27" t="s">
        <v>42</v>
      </c>
      <c r="B227" s="27" t="s">
        <v>728</v>
      </c>
      <c r="C227" s="27" t="s">
        <v>729</v>
      </c>
      <c r="D227" s="27" t="s">
        <v>730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1085</f>
        <v>1085.0</v>
      </c>
      <c r="L227" s="34" t="s">
        <v>48</v>
      </c>
      <c r="M227" s="33" t="n">
        <f>1116</f>
        <v>1116.0</v>
      </c>
      <c r="N227" s="34" t="s">
        <v>70</v>
      </c>
      <c r="O227" s="33" t="n">
        <f>1077</f>
        <v>1077.0</v>
      </c>
      <c r="P227" s="34" t="s">
        <v>48</v>
      </c>
      <c r="Q227" s="33" t="n">
        <f>1085</f>
        <v>1085.0</v>
      </c>
      <c r="R227" s="34" t="s">
        <v>51</v>
      </c>
      <c r="S227" s="35" t="n">
        <f>1098.18</f>
        <v>1098.18</v>
      </c>
      <c r="T227" s="32" t="n">
        <f>139615</f>
        <v>139615.0</v>
      </c>
      <c r="U227" s="32" t="str">
        <f>"－"</f>
        <v>－</v>
      </c>
      <c r="V227" s="32" t="n">
        <f>153410645</f>
        <v>1.53410645E8</v>
      </c>
      <c r="W227" s="32" t="str">
        <f>"－"</f>
        <v>－</v>
      </c>
      <c r="X227" s="36" t="n">
        <f>22</f>
        <v>22.0</v>
      </c>
    </row>
    <row r="228">
      <c r="A228" s="27" t="s">
        <v>42</v>
      </c>
      <c r="B228" s="27" t="s">
        <v>731</v>
      </c>
      <c r="C228" s="27" t="s">
        <v>732</v>
      </c>
      <c r="D228" s="27" t="s">
        <v>733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1057</f>
        <v>1057.0</v>
      </c>
      <c r="L228" s="34" t="s">
        <v>48</v>
      </c>
      <c r="M228" s="33" t="n">
        <f>1103</f>
        <v>1103.0</v>
      </c>
      <c r="N228" s="34" t="s">
        <v>104</v>
      </c>
      <c r="O228" s="33" t="n">
        <f>1045</f>
        <v>1045.0</v>
      </c>
      <c r="P228" s="34" t="s">
        <v>50</v>
      </c>
      <c r="Q228" s="33" t="n">
        <f>1102</f>
        <v>1102.0</v>
      </c>
      <c r="R228" s="34" t="s">
        <v>51</v>
      </c>
      <c r="S228" s="35" t="n">
        <f>1069.27</f>
        <v>1069.27</v>
      </c>
      <c r="T228" s="32" t="n">
        <f>183386</f>
        <v>183386.0</v>
      </c>
      <c r="U228" s="32" t="str">
        <f>"－"</f>
        <v>－</v>
      </c>
      <c r="V228" s="32" t="n">
        <f>194415607</f>
        <v>1.94415607E8</v>
      </c>
      <c r="W228" s="32" t="str">
        <f>"－"</f>
        <v>－</v>
      </c>
      <c r="X228" s="36" t="n">
        <f>22</f>
        <v>22.0</v>
      </c>
    </row>
    <row r="229">
      <c r="A229" s="27" t="s">
        <v>42</v>
      </c>
      <c r="B229" s="27" t="s">
        <v>734</v>
      </c>
      <c r="C229" s="27" t="s">
        <v>735</v>
      </c>
      <c r="D229" s="27" t="s">
        <v>736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935</f>
        <v>935.0</v>
      </c>
      <c r="L229" s="34" t="s">
        <v>48</v>
      </c>
      <c r="M229" s="33" t="n">
        <f>984</f>
        <v>984.0</v>
      </c>
      <c r="N229" s="34" t="s">
        <v>104</v>
      </c>
      <c r="O229" s="33" t="n">
        <f>932</f>
        <v>932.0</v>
      </c>
      <c r="P229" s="34" t="s">
        <v>48</v>
      </c>
      <c r="Q229" s="33" t="n">
        <f>981</f>
        <v>981.0</v>
      </c>
      <c r="R229" s="34" t="s">
        <v>51</v>
      </c>
      <c r="S229" s="35" t="n">
        <f>952.68</f>
        <v>952.68</v>
      </c>
      <c r="T229" s="32" t="n">
        <f>221192</f>
        <v>221192.0</v>
      </c>
      <c r="U229" s="32" t="str">
        <f>"－"</f>
        <v>－</v>
      </c>
      <c r="V229" s="32" t="n">
        <f>210406408</f>
        <v>2.10406408E8</v>
      </c>
      <c r="W229" s="32" t="str">
        <f>"－"</f>
        <v>－</v>
      </c>
      <c r="X229" s="36" t="n">
        <f>22</f>
        <v>22.0</v>
      </c>
    </row>
    <row r="230">
      <c r="A230" s="27" t="s">
        <v>42</v>
      </c>
      <c r="B230" s="27" t="s">
        <v>737</v>
      </c>
      <c r="C230" s="27" t="s">
        <v>738</v>
      </c>
      <c r="D230" s="27" t="s">
        <v>739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1017</f>
        <v>1017.0</v>
      </c>
      <c r="L230" s="34" t="s">
        <v>48</v>
      </c>
      <c r="M230" s="33" t="n">
        <f>1088</f>
        <v>1088.0</v>
      </c>
      <c r="N230" s="34" t="s">
        <v>104</v>
      </c>
      <c r="O230" s="33" t="n">
        <f>1007</f>
        <v>1007.0</v>
      </c>
      <c r="P230" s="34" t="s">
        <v>48</v>
      </c>
      <c r="Q230" s="33" t="n">
        <f>1083</f>
        <v>1083.0</v>
      </c>
      <c r="R230" s="34" t="s">
        <v>51</v>
      </c>
      <c r="S230" s="35" t="n">
        <f>1043.77</f>
        <v>1043.77</v>
      </c>
      <c r="T230" s="32" t="n">
        <f>275286</f>
        <v>275286.0</v>
      </c>
      <c r="U230" s="32" t="n">
        <f>50000</f>
        <v>50000.0</v>
      </c>
      <c r="V230" s="32" t="n">
        <f>282954377</f>
        <v>2.82954377E8</v>
      </c>
      <c r="W230" s="32" t="n">
        <f>50376590</f>
        <v>5.037659E7</v>
      </c>
      <c r="X230" s="36" t="n">
        <f>22</f>
        <v>22.0</v>
      </c>
    </row>
    <row r="231">
      <c r="A231" s="27" t="s">
        <v>42</v>
      </c>
      <c r="B231" s="27" t="s">
        <v>740</v>
      </c>
      <c r="C231" s="27" t="s">
        <v>741</v>
      </c>
      <c r="D231" s="27" t="s">
        <v>742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1564</f>
        <v>1564.0</v>
      </c>
      <c r="L231" s="34" t="s">
        <v>48</v>
      </c>
      <c r="M231" s="33" t="n">
        <f>1669</f>
        <v>1669.0</v>
      </c>
      <c r="N231" s="34" t="s">
        <v>51</v>
      </c>
      <c r="O231" s="33" t="n">
        <f>1555</f>
        <v>1555.0</v>
      </c>
      <c r="P231" s="34" t="s">
        <v>48</v>
      </c>
      <c r="Q231" s="33" t="n">
        <f>1653</f>
        <v>1653.0</v>
      </c>
      <c r="R231" s="34" t="s">
        <v>51</v>
      </c>
      <c r="S231" s="35" t="n">
        <f>1596.05</f>
        <v>1596.05</v>
      </c>
      <c r="T231" s="32" t="n">
        <f>259273</f>
        <v>259273.0</v>
      </c>
      <c r="U231" s="32" t="n">
        <f>55910</f>
        <v>55910.0</v>
      </c>
      <c r="V231" s="32" t="n">
        <f>414295188</f>
        <v>4.14295188E8</v>
      </c>
      <c r="W231" s="32" t="n">
        <f>90668017</f>
        <v>9.0668017E7</v>
      </c>
      <c r="X231" s="36" t="n">
        <f>22</f>
        <v>22.0</v>
      </c>
    </row>
    <row r="232">
      <c r="A232" s="27" t="s">
        <v>42</v>
      </c>
      <c r="B232" s="27" t="s">
        <v>743</v>
      </c>
      <c r="C232" s="27" t="s">
        <v>744</v>
      </c>
      <c r="D232" s="27" t="s">
        <v>745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159.9</f>
        <v>159.9</v>
      </c>
      <c r="L232" s="34" t="s">
        <v>48</v>
      </c>
      <c r="M232" s="33" t="n">
        <f>168</f>
        <v>168.0</v>
      </c>
      <c r="N232" s="34" t="s">
        <v>69</v>
      </c>
      <c r="O232" s="33" t="n">
        <f>154.8</f>
        <v>154.8</v>
      </c>
      <c r="P232" s="34" t="s">
        <v>61</v>
      </c>
      <c r="Q232" s="33" t="n">
        <f>160.6</f>
        <v>160.6</v>
      </c>
      <c r="R232" s="34" t="s">
        <v>51</v>
      </c>
      <c r="S232" s="35" t="n">
        <f>161.28</f>
        <v>161.28</v>
      </c>
      <c r="T232" s="32" t="n">
        <f>7159510</f>
        <v>7159510.0</v>
      </c>
      <c r="U232" s="32" t="n">
        <f>1506270</f>
        <v>1506270.0</v>
      </c>
      <c r="V232" s="32" t="n">
        <f>1154396319</f>
        <v>1.154396319E9</v>
      </c>
      <c r="W232" s="32" t="n">
        <f>247969919</f>
        <v>2.47969919E8</v>
      </c>
      <c r="X232" s="36" t="n">
        <f>22</f>
        <v>22.0</v>
      </c>
    </row>
    <row r="233">
      <c r="A233" s="27" t="s">
        <v>42</v>
      </c>
      <c r="B233" s="27" t="s">
        <v>746</v>
      </c>
      <c r="C233" s="27" t="s">
        <v>747</v>
      </c>
      <c r="D233" s="27" t="s">
        <v>748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454.1</f>
        <v>454.1</v>
      </c>
      <c r="L233" s="34" t="s">
        <v>48</v>
      </c>
      <c r="M233" s="33" t="n">
        <f>479.5</f>
        <v>479.5</v>
      </c>
      <c r="N233" s="34" t="s">
        <v>69</v>
      </c>
      <c r="O233" s="33" t="n">
        <f>439.5</f>
        <v>439.5</v>
      </c>
      <c r="P233" s="34" t="s">
        <v>61</v>
      </c>
      <c r="Q233" s="33" t="n">
        <f>456.2</f>
        <v>456.2</v>
      </c>
      <c r="R233" s="34" t="s">
        <v>51</v>
      </c>
      <c r="S233" s="35" t="n">
        <f>460.5</f>
        <v>460.5</v>
      </c>
      <c r="T233" s="32" t="n">
        <f>655720</f>
        <v>655720.0</v>
      </c>
      <c r="U233" s="32" t="str">
        <f>"－"</f>
        <v>－</v>
      </c>
      <c r="V233" s="32" t="n">
        <f>302248453</f>
        <v>3.02248453E8</v>
      </c>
      <c r="W233" s="32" t="str">
        <f>"－"</f>
        <v>－</v>
      </c>
      <c r="X233" s="36" t="n">
        <f>22</f>
        <v>22.0</v>
      </c>
    </row>
    <row r="234">
      <c r="A234" s="27" t="s">
        <v>42</v>
      </c>
      <c r="B234" s="27" t="s">
        <v>749</v>
      </c>
      <c r="C234" s="27" t="s">
        <v>750</v>
      </c>
      <c r="D234" s="27" t="s">
        <v>751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2796</f>
        <v>2796.0</v>
      </c>
      <c r="L234" s="34" t="s">
        <v>48</v>
      </c>
      <c r="M234" s="33" t="n">
        <f>2914</f>
        <v>2914.0</v>
      </c>
      <c r="N234" s="34" t="s">
        <v>70</v>
      </c>
      <c r="O234" s="33" t="n">
        <f>2770</f>
        <v>2770.0</v>
      </c>
      <c r="P234" s="34" t="s">
        <v>48</v>
      </c>
      <c r="Q234" s="33" t="n">
        <f>2897</f>
        <v>2897.0</v>
      </c>
      <c r="R234" s="34" t="s">
        <v>51</v>
      </c>
      <c r="S234" s="35" t="n">
        <f>2852.5</f>
        <v>2852.5</v>
      </c>
      <c r="T234" s="32" t="n">
        <f>159994</f>
        <v>159994.0</v>
      </c>
      <c r="U234" s="32" t="n">
        <f>400</f>
        <v>400.0</v>
      </c>
      <c r="V234" s="32" t="n">
        <f>454549709</f>
        <v>4.54549709E8</v>
      </c>
      <c r="W234" s="32" t="n">
        <f>1159200</f>
        <v>1159200.0</v>
      </c>
      <c r="X234" s="36" t="n">
        <f>22</f>
        <v>22.0</v>
      </c>
    </row>
    <row r="235">
      <c r="A235" s="27" t="s">
        <v>42</v>
      </c>
      <c r="B235" s="27" t="s">
        <v>752</v>
      </c>
      <c r="C235" s="27" t="s">
        <v>753</v>
      </c>
      <c r="D235" s="27" t="s">
        <v>754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1181</f>
        <v>1181.0</v>
      </c>
      <c r="L235" s="34" t="s">
        <v>48</v>
      </c>
      <c r="M235" s="33" t="n">
        <f>1262</f>
        <v>1262.0</v>
      </c>
      <c r="N235" s="34" t="s">
        <v>70</v>
      </c>
      <c r="O235" s="33" t="n">
        <f>1178</f>
        <v>1178.0</v>
      </c>
      <c r="P235" s="34" t="s">
        <v>48</v>
      </c>
      <c r="Q235" s="33" t="n">
        <f>1234</f>
        <v>1234.0</v>
      </c>
      <c r="R235" s="34" t="s">
        <v>51</v>
      </c>
      <c r="S235" s="35" t="n">
        <f>1229.59</f>
        <v>1229.59</v>
      </c>
      <c r="T235" s="32" t="n">
        <f>545045</f>
        <v>545045.0</v>
      </c>
      <c r="U235" s="32" t="n">
        <f>74200</f>
        <v>74200.0</v>
      </c>
      <c r="V235" s="32" t="n">
        <f>670599180</f>
        <v>6.7059918E8</v>
      </c>
      <c r="W235" s="32" t="n">
        <f>91023062</f>
        <v>9.1023062E7</v>
      </c>
      <c r="X235" s="36" t="n">
        <f>22</f>
        <v>22.0</v>
      </c>
    </row>
    <row r="236">
      <c r="A236" s="27" t="s">
        <v>42</v>
      </c>
      <c r="B236" s="27" t="s">
        <v>755</v>
      </c>
      <c r="C236" s="27" t="s">
        <v>756</v>
      </c>
      <c r="D236" s="27" t="s">
        <v>757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89750</f>
        <v>89750.0</v>
      </c>
      <c r="L236" s="34" t="s">
        <v>48</v>
      </c>
      <c r="M236" s="33" t="n">
        <f>95260</f>
        <v>95260.0</v>
      </c>
      <c r="N236" s="34" t="s">
        <v>70</v>
      </c>
      <c r="O236" s="33" t="n">
        <f>88940</f>
        <v>88940.0</v>
      </c>
      <c r="P236" s="34" t="s">
        <v>48</v>
      </c>
      <c r="Q236" s="33" t="n">
        <f>95140</f>
        <v>95140.0</v>
      </c>
      <c r="R236" s="34" t="s">
        <v>51</v>
      </c>
      <c r="S236" s="35" t="n">
        <f>91636.82</f>
        <v>91636.82</v>
      </c>
      <c r="T236" s="32" t="n">
        <f>26424</f>
        <v>26424.0</v>
      </c>
      <c r="U236" s="32" t="str">
        <f>"－"</f>
        <v>－</v>
      </c>
      <c r="V236" s="32" t="n">
        <f>2430895350</f>
        <v>2.43089535E9</v>
      </c>
      <c r="W236" s="32" t="str">
        <f>"－"</f>
        <v>－</v>
      </c>
      <c r="X236" s="36" t="n">
        <f>22</f>
        <v>22.0</v>
      </c>
    </row>
    <row r="237">
      <c r="A237" s="27" t="s">
        <v>42</v>
      </c>
      <c r="B237" s="27" t="s">
        <v>758</v>
      </c>
      <c r="C237" s="27" t="s">
        <v>759</v>
      </c>
      <c r="D237" s="27" t="s">
        <v>760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6371</f>
        <v>6371.0</v>
      </c>
      <c r="L237" s="34" t="s">
        <v>48</v>
      </c>
      <c r="M237" s="33" t="n">
        <f>6420</f>
        <v>6420.0</v>
      </c>
      <c r="N237" s="34" t="s">
        <v>61</v>
      </c>
      <c r="O237" s="33" t="n">
        <f>6148</f>
        <v>6148.0</v>
      </c>
      <c r="P237" s="34" t="s">
        <v>51</v>
      </c>
      <c r="Q237" s="33" t="n">
        <f>6148</f>
        <v>6148.0</v>
      </c>
      <c r="R237" s="34" t="s">
        <v>51</v>
      </c>
      <c r="S237" s="35" t="n">
        <f>6279.77</f>
        <v>6279.77</v>
      </c>
      <c r="T237" s="32" t="n">
        <f>136354</f>
        <v>136354.0</v>
      </c>
      <c r="U237" s="32" t="n">
        <f>89907</f>
        <v>89907.0</v>
      </c>
      <c r="V237" s="32" t="n">
        <f>850745039</f>
        <v>8.50745039E8</v>
      </c>
      <c r="W237" s="32" t="n">
        <f>559142590</f>
        <v>5.5914259E8</v>
      </c>
      <c r="X237" s="36" t="n">
        <f>22</f>
        <v>22.0</v>
      </c>
    </row>
    <row r="238">
      <c r="A238" s="27" t="s">
        <v>42</v>
      </c>
      <c r="B238" s="27" t="s">
        <v>761</v>
      </c>
      <c r="C238" s="27" t="s">
        <v>762</v>
      </c>
      <c r="D238" s="27" t="s">
        <v>763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19390</f>
        <v>19390.0</v>
      </c>
      <c r="L238" s="34" t="s">
        <v>48</v>
      </c>
      <c r="M238" s="33" t="n">
        <f>20610</f>
        <v>20610.0</v>
      </c>
      <c r="N238" s="34" t="s">
        <v>70</v>
      </c>
      <c r="O238" s="33" t="n">
        <f>19195</f>
        <v>19195.0</v>
      </c>
      <c r="P238" s="34" t="s">
        <v>48</v>
      </c>
      <c r="Q238" s="33" t="n">
        <f>20590</f>
        <v>20590.0</v>
      </c>
      <c r="R238" s="34" t="s">
        <v>51</v>
      </c>
      <c r="S238" s="35" t="n">
        <f>19821.36</f>
        <v>19821.36</v>
      </c>
      <c r="T238" s="32" t="n">
        <f>43179</f>
        <v>43179.0</v>
      </c>
      <c r="U238" s="32" t="n">
        <f>5</f>
        <v>5.0</v>
      </c>
      <c r="V238" s="32" t="n">
        <f>856623900</f>
        <v>8.566239E8</v>
      </c>
      <c r="W238" s="32" t="n">
        <f>101530</f>
        <v>101530.0</v>
      </c>
      <c r="X238" s="36" t="n">
        <f>22</f>
        <v>22.0</v>
      </c>
    </row>
    <row r="239">
      <c r="A239" s="27" t="s">
        <v>42</v>
      </c>
      <c r="B239" s="27" t="s">
        <v>764</v>
      </c>
      <c r="C239" s="27" t="s">
        <v>765</v>
      </c>
      <c r="D239" s="27" t="s">
        <v>766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1120</f>
        <v>1120.0</v>
      </c>
      <c r="L239" s="34" t="s">
        <v>48</v>
      </c>
      <c r="M239" s="33" t="n">
        <f>1211</f>
        <v>1211.0</v>
      </c>
      <c r="N239" s="34" t="s">
        <v>51</v>
      </c>
      <c r="O239" s="33" t="n">
        <f>1107</f>
        <v>1107.0</v>
      </c>
      <c r="P239" s="34" t="s">
        <v>61</v>
      </c>
      <c r="Q239" s="33" t="n">
        <f>1209</f>
        <v>1209.0</v>
      </c>
      <c r="R239" s="34" t="s">
        <v>51</v>
      </c>
      <c r="S239" s="35" t="n">
        <f>1162.18</f>
        <v>1162.18</v>
      </c>
      <c r="T239" s="32" t="n">
        <f>510399</f>
        <v>510399.0</v>
      </c>
      <c r="U239" s="32" t="n">
        <f>90000</f>
        <v>90000.0</v>
      </c>
      <c r="V239" s="32" t="n">
        <f>589634226</f>
        <v>5.89634226E8</v>
      </c>
      <c r="W239" s="32" t="n">
        <f>103981500</f>
        <v>1.039815E8</v>
      </c>
      <c r="X239" s="36" t="n">
        <f>22</f>
        <v>22.0</v>
      </c>
    </row>
    <row r="240">
      <c r="A240" s="27" t="s">
        <v>42</v>
      </c>
      <c r="B240" s="27" t="s">
        <v>767</v>
      </c>
      <c r="C240" s="27" t="s">
        <v>768</v>
      </c>
      <c r="D240" s="27" t="s">
        <v>769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6452</f>
        <v>6452.0</v>
      </c>
      <c r="L240" s="34" t="s">
        <v>48</v>
      </c>
      <c r="M240" s="33" t="n">
        <f>6515</f>
        <v>6515.0</v>
      </c>
      <c r="N240" s="34" t="s">
        <v>118</v>
      </c>
      <c r="O240" s="33" t="n">
        <f>6236</f>
        <v>6236.0</v>
      </c>
      <c r="P240" s="34" t="s">
        <v>70</v>
      </c>
      <c r="Q240" s="33" t="n">
        <f>6240</f>
        <v>6240.0</v>
      </c>
      <c r="R240" s="34" t="s">
        <v>51</v>
      </c>
      <c r="S240" s="35" t="n">
        <f>6364.27</f>
        <v>6364.27</v>
      </c>
      <c r="T240" s="32" t="n">
        <f>25490</f>
        <v>25490.0</v>
      </c>
      <c r="U240" s="32" t="str">
        <f>"－"</f>
        <v>－</v>
      </c>
      <c r="V240" s="32" t="n">
        <f>162473765</f>
        <v>1.62473765E8</v>
      </c>
      <c r="W240" s="32" t="str">
        <f>"－"</f>
        <v>－</v>
      </c>
      <c r="X240" s="36" t="n">
        <f>22</f>
        <v>22.0</v>
      </c>
    </row>
    <row r="241">
      <c r="A241" s="27" t="s">
        <v>42</v>
      </c>
      <c r="B241" s="27" t="s">
        <v>770</v>
      </c>
      <c r="C241" s="27" t="s">
        <v>771</v>
      </c>
      <c r="D241" s="27" t="s">
        <v>772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706.7</f>
        <v>706.7</v>
      </c>
      <c r="L241" s="34" t="s">
        <v>48</v>
      </c>
      <c r="M241" s="33" t="n">
        <f>745.6</f>
        <v>745.6</v>
      </c>
      <c r="N241" s="34" t="s">
        <v>70</v>
      </c>
      <c r="O241" s="33" t="n">
        <f>705.7</f>
        <v>705.7</v>
      </c>
      <c r="P241" s="34" t="s">
        <v>48</v>
      </c>
      <c r="Q241" s="33" t="n">
        <f>741</f>
        <v>741.0</v>
      </c>
      <c r="R241" s="34" t="s">
        <v>51</v>
      </c>
      <c r="S241" s="35" t="n">
        <f>729.03</f>
        <v>729.03</v>
      </c>
      <c r="T241" s="32" t="n">
        <f>163090</f>
        <v>163090.0</v>
      </c>
      <c r="U241" s="32" t="n">
        <f>230</f>
        <v>230.0</v>
      </c>
      <c r="V241" s="32" t="n">
        <f>119373816</f>
        <v>1.19373816E8</v>
      </c>
      <c r="W241" s="32" t="n">
        <f>168495</f>
        <v>168495.0</v>
      </c>
      <c r="X241" s="36" t="n">
        <f>22</f>
        <v>22.0</v>
      </c>
    </row>
    <row r="242">
      <c r="A242" s="27" t="s">
        <v>42</v>
      </c>
      <c r="B242" s="27" t="s">
        <v>773</v>
      </c>
      <c r="C242" s="27" t="s">
        <v>774</v>
      </c>
      <c r="D242" s="27" t="s">
        <v>775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588.3</f>
        <v>588.3</v>
      </c>
      <c r="L242" s="34" t="s">
        <v>48</v>
      </c>
      <c r="M242" s="33" t="n">
        <f>602</f>
        <v>602.0</v>
      </c>
      <c r="N242" s="34" t="s">
        <v>80</v>
      </c>
      <c r="O242" s="33" t="n">
        <f>585.1</f>
        <v>585.1</v>
      </c>
      <c r="P242" s="34" t="s">
        <v>69</v>
      </c>
      <c r="Q242" s="33" t="n">
        <f>593.8</f>
        <v>593.8</v>
      </c>
      <c r="R242" s="34" t="s">
        <v>51</v>
      </c>
      <c r="S242" s="35" t="n">
        <f>593.16</f>
        <v>593.16</v>
      </c>
      <c r="T242" s="32" t="n">
        <f>83750</f>
        <v>83750.0</v>
      </c>
      <c r="U242" s="32" t="n">
        <f>200</f>
        <v>200.0</v>
      </c>
      <c r="V242" s="32" t="n">
        <f>49677671</f>
        <v>4.9677671E7</v>
      </c>
      <c r="W242" s="32" t="n">
        <f>119040</f>
        <v>119040.0</v>
      </c>
      <c r="X242" s="36" t="n">
        <f>22</f>
        <v>22.0</v>
      </c>
    </row>
    <row r="243">
      <c r="A243" s="27" t="s">
        <v>42</v>
      </c>
      <c r="B243" s="27" t="s">
        <v>776</v>
      </c>
      <c r="C243" s="27" t="s">
        <v>777</v>
      </c>
      <c r="D243" s="27" t="s">
        <v>778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1914</f>
        <v>1914.0</v>
      </c>
      <c r="L243" s="34" t="s">
        <v>48</v>
      </c>
      <c r="M243" s="33" t="n">
        <f>2059</f>
        <v>2059.0</v>
      </c>
      <c r="N243" s="34" t="s">
        <v>51</v>
      </c>
      <c r="O243" s="33" t="n">
        <f>1873</f>
        <v>1873.0</v>
      </c>
      <c r="P243" s="34" t="s">
        <v>61</v>
      </c>
      <c r="Q243" s="33" t="n">
        <f>2046</f>
        <v>2046.0</v>
      </c>
      <c r="R243" s="34" t="s">
        <v>51</v>
      </c>
      <c r="S243" s="35" t="n">
        <f>1985.14</f>
        <v>1985.14</v>
      </c>
      <c r="T243" s="32" t="n">
        <f>5531411</f>
        <v>5531411.0</v>
      </c>
      <c r="U243" s="32" t="n">
        <f>1023148</f>
        <v>1023148.0</v>
      </c>
      <c r="V243" s="32" t="n">
        <f>10979517517</f>
        <v>1.0979517517E10</v>
      </c>
      <c r="W243" s="32" t="n">
        <f>2082630545</f>
        <v>2.082630545E9</v>
      </c>
      <c r="X243" s="36" t="n">
        <f>22</f>
        <v>22.0</v>
      </c>
    </row>
    <row r="244">
      <c r="A244" s="27" t="s">
        <v>42</v>
      </c>
      <c r="B244" s="27" t="s">
        <v>779</v>
      </c>
      <c r="C244" s="27" t="s">
        <v>780</v>
      </c>
      <c r="D244" s="27" t="s">
        <v>781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2495</f>
        <v>2495.0</v>
      </c>
      <c r="L244" s="34" t="s">
        <v>48</v>
      </c>
      <c r="M244" s="33" t="n">
        <f>2739</f>
        <v>2739.0</v>
      </c>
      <c r="N244" s="34" t="s">
        <v>51</v>
      </c>
      <c r="O244" s="33" t="n">
        <f>2442</f>
        <v>2442.0</v>
      </c>
      <c r="P244" s="34" t="s">
        <v>61</v>
      </c>
      <c r="Q244" s="33" t="n">
        <f>2729</f>
        <v>2729.0</v>
      </c>
      <c r="R244" s="34" t="s">
        <v>51</v>
      </c>
      <c r="S244" s="35" t="n">
        <f>2577.77</f>
        <v>2577.77</v>
      </c>
      <c r="T244" s="32" t="n">
        <f>5087963</f>
        <v>5087963.0</v>
      </c>
      <c r="U244" s="32" t="n">
        <f>40551</f>
        <v>40551.0</v>
      </c>
      <c r="V244" s="32" t="n">
        <f>13139133197</f>
        <v>1.3139133197E10</v>
      </c>
      <c r="W244" s="32" t="n">
        <f>110922870</f>
        <v>1.1092287E8</v>
      </c>
      <c r="X244" s="36" t="n">
        <f>22</f>
        <v>22.0</v>
      </c>
    </row>
    <row r="245">
      <c r="A245" s="27" t="s">
        <v>42</v>
      </c>
      <c r="B245" s="27" t="s">
        <v>782</v>
      </c>
      <c r="C245" s="27" t="s">
        <v>783</v>
      </c>
      <c r="D245" s="27" t="s">
        <v>784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742.9</f>
        <v>742.9</v>
      </c>
      <c r="L245" s="34" t="s">
        <v>48</v>
      </c>
      <c r="M245" s="33" t="n">
        <f>753.2</f>
        <v>753.2</v>
      </c>
      <c r="N245" s="34" t="s">
        <v>65</v>
      </c>
      <c r="O245" s="33" t="n">
        <f>736.1</f>
        <v>736.1</v>
      </c>
      <c r="P245" s="34" t="s">
        <v>70</v>
      </c>
      <c r="Q245" s="33" t="n">
        <f>738.5</f>
        <v>738.5</v>
      </c>
      <c r="R245" s="34" t="s">
        <v>51</v>
      </c>
      <c r="S245" s="35" t="n">
        <f>740.14</f>
        <v>740.14</v>
      </c>
      <c r="T245" s="32" t="n">
        <f>3060</f>
        <v>3060.0</v>
      </c>
      <c r="U245" s="32" t="str">
        <f>"－"</f>
        <v>－</v>
      </c>
      <c r="V245" s="32" t="n">
        <f>2263374</f>
        <v>2263374.0</v>
      </c>
      <c r="W245" s="32" t="str">
        <f>"－"</f>
        <v>－</v>
      </c>
      <c r="X245" s="36" t="n">
        <f>22</f>
        <v>22.0</v>
      </c>
    </row>
    <row r="246">
      <c r="A246" s="27" t="s">
        <v>42</v>
      </c>
      <c r="B246" s="27" t="s">
        <v>785</v>
      </c>
      <c r="C246" s="27" t="s">
        <v>786</v>
      </c>
      <c r="D246" s="27" t="s">
        <v>787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746.3</f>
        <v>746.3</v>
      </c>
      <c r="L246" s="34" t="s">
        <v>48</v>
      </c>
      <c r="M246" s="33" t="n">
        <f>766</f>
        <v>766.0</v>
      </c>
      <c r="N246" s="34" t="s">
        <v>84</v>
      </c>
      <c r="O246" s="33" t="n">
        <f>723.5</f>
        <v>723.5</v>
      </c>
      <c r="P246" s="34" t="s">
        <v>69</v>
      </c>
      <c r="Q246" s="33" t="n">
        <f>741.9</f>
        <v>741.9</v>
      </c>
      <c r="R246" s="34" t="s">
        <v>51</v>
      </c>
      <c r="S246" s="35" t="n">
        <f>743.06</f>
        <v>743.06</v>
      </c>
      <c r="T246" s="32" t="n">
        <f>114830</f>
        <v>114830.0</v>
      </c>
      <c r="U246" s="32" t="str">
        <f>"－"</f>
        <v>－</v>
      </c>
      <c r="V246" s="32" t="n">
        <f>85387515</f>
        <v>8.5387515E7</v>
      </c>
      <c r="W246" s="32" t="str">
        <f>"－"</f>
        <v>－</v>
      </c>
      <c r="X246" s="36" t="n">
        <f>17</f>
        <v>17.0</v>
      </c>
    </row>
    <row r="247">
      <c r="A247" s="27" t="s">
        <v>42</v>
      </c>
      <c r="B247" s="27" t="s">
        <v>788</v>
      </c>
      <c r="C247" s="27" t="s">
        <v>789</v>
      </c>
      <c r="D247" s="27" t="s">
        <v>790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1676</f>
        <v>1676.0</v>
      </c>
      <c r="L247" s="34" t="s">
        <v>48</v>
      </c>
      <c r="M247" s="33" t="n">
        <f>1803</f>
        <v>1803.0</v>
      </c>
      <c r="N247" s="34" t="s">
        <v>51</v>
      </c>
      <c r="O247" s="33" t="n">
        <f>1671</f>
        <v>1671.0</v>
      </c>
      <c r="P247" s="34" t="s">
        <v>48</v>
      </c>
      <c r="Q247" s="33" t="n">
        <f>1799</f>
        <v>1799.0</v>
      </c>
      <c r="R247" s="34" t="s">
        <v>51</v>
      </c>
      <c r="S247" s="35" t="n">
        <f>1737.91</f>
        <v>1737.91</v>
      </c>
      <c r="T247" s="32" t="n">
        <f>849350</f>
        <v>849350.0</v>
      </c>
      <c r="U247" s="32" t="n">
        <f>57</f>
        <v>57.0</v>
      </c>
      <c r="V247" s="32" t="n">
        <f>1462636778</f>
        <v>1.462636778E9</v>
      </c>
      <c r="W247" s="32" t="n">
        <f>101519</f>
        <v>101519.0</v>
      </c>
      <c r="X247" s="36" t="n">
        <f>22</f>
        <v>22.0</v>
      </c>
    </row>
    <row r="248">
      <c r="A248" s="27" t="s">
        <v>42</v>
      </c>
      <c r="B248" s="27" t="s">
        <v>791</v>
      </c>
      <c r="C248" s="27" t="s">
        <v>792</v>
      </c>
      <c r="D248" s="27" t="s">
        <v>793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2321</f>
        <v>2321.0</v>
      </c>
      <c r="L248" s="34" t="s">
        <v>48</v>
      </c>
      <c r="M248" s="33" t="n">
        <f>2415</f>
        <v>2415.0</v>
      </c>
      <c r="N248" s="34" t="s">
        <v>51</v>
      </c>
      <c r="O248" s="33" t="n">
        <f>2317</f>
        <v>2317.0</v>
      </c>
      <c r="P248" s="34" t="s">
        <v>48</v>
      </c>
      <c r="Q248" s="33" t="n">
        <f>2402</f>
        <v>2402.0</v>
      </c>
      <c r="R248" s="34" t="s">
        <v>51</v>
      </c>
      <c r="S248" s="35" t="n">
        <f>2353.36</f>
        <v>2353.36</v>
      </c>
      <c r="T248" s="32" t="n">
        <f>1176116</f>
        <v>1176116.0</v>
      </c>
      <c r="U248" s="32" t="n">
        <f>210100</f>
        <v>210100.0</v>
      </c>
      <c r="V248" s="32" t="n">
        <f>2760276892</f>
        <v>2.760276892E9</v>
      </c>
      <c r="W248" s="32" t="n">
        <f>497390900</f>
        <v>4.973909E8</v>
      </c>
      <c r="X248" s="36" t="n">
        <f>22</f>
        <v>22.0</v>
      </c>
    </row>
    <row r="249">
      <c r="A249" s="27" t="s">
        <v>42</v>
      </c>
      <c r="B249" s="27" t="s">
        <v>794</v>
      </c>
      <c r="C249" s="27" t="s">
        <v>795</v>
      </c>
      <c r="D249" s="27" t="s">
        <v>796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14160</f>
        <v>14160.0</v>
      </c>
      <c r="L249" s="34" t="s">
        <v>48</v>
      </c>
      <c r="M249" s="33" t="n">
        <f>14235</f>
        <v>14235.0</v>
      </c>
      <c r="N249" s="34" t="s">
        <v>61</v>
      </c>
      <c r="O249" s="33" t="n">
        <f>13235</f>
        <v>13235.0</v>
      </c>
      <c r="P249" s="34" t="s">
        <v>51</v>
      </c>
      <c r="Q249" s="33" t="n">
        <f>13265</f>
        <v>13265.0</v>
      </c>
      <c r="R249" s="34" t="s">
        <v>51</v>
      </c>
      <c r="S249" s="35" t="n">
        <f>13791.36</f>
        <v>13791.36</v>
      </c>
      <c r="T249" s="32" t="n">
        <f>95941</f>
        <v>95941.0</v>
      </c>
      <c r="U249" s="32" t="n">
        <f>102</f>
        <v>102.0</v>
      </c>
      <c r="V249" s="32" t="n">
        <f>1322503055</f>
        <v>1.322503055E9</v>
      </c>
      <c r="W249" s="32" t="n">
        <f>1362835</f>
        <v>1362835.0</v>
      </c>
      <c r="X249" s="36" t="n">
        <f>22</f>
        <v>22.0</v>
      </c>
    </row>
    <row r="250">
      <c r="A250" s="27" t="s">
        <v>42</v>
      </c>
      <c r="B250" s="27" t="s">
        <v>797</v>
      </c>
      <c r="C250" s="27" t="s">
        <v>798</v>
      </c>
      <c r="D250" s="27" t="s">
        <v>799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1256</f>
        <v>1256.0</v>
      </c>
      <c r="L250" s="34" t="s">
        <v>48</v>
      </c>
      <c r="M250" s="33" t="n">
        <f>1442</f>
        <v>1442.0</v>
      </c>
      <c r="N250" s="34" t="s">
        <v>70</v>
      </c>
      <c r="O250" s="33" t="n">
        <f>1199</f>
        <v>1199.0</v>
      </c>
      <c r="P250" s="34" t="s">
        <v>50</v>
      </c>
      <c r="Q250" s="33" t="n">
        <f>1361</f>
        <v>1361.0</v>
      </c>
      <c r="R250" s="34" t="s">
        <v>51</v>
      </c>
      <c r="S250" s="35" t="n">
        <f>1298.82</f>
        <v>1298.82</v>
      </c>
      <c r="T250" s="32" t="n">
        <f>266245</f>
        <v>266245.0</v>
      </c>
      <c r="U250" s="32" t="n">
        <f>100</f>
        <v>100.0</v>
      </c>
      <c r="V250" s="32" t="n">
        <f>348727183</f>
        <v>3.48727183E8</v>
      </c>
      <c r="W250" s="32" t="n">
        <f>133000</f>
        <v>133000.0</v>
      </c>
      <c r="X250" s="36" t="n">
        <f>22</f>
        <v>22.0</v>
      </c>
    </row>
    <row r="251">
      <c r="A251" s="27" t="s">
        <v>42</v>
      </c>
      <c r="B251" s="27" t="s">
        <v>800</v>
      </c>
      <c r="C251" s="27" t="s">
        <v>801</v>
      </c>
      <c r="D251" s="27" t="s">
        <v>802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259.9</f>
        <v>259.9</v>
      </c>
      <c r="L251" s="34" t="s">
        <v>48</v>
      </c>
      <c r="M251" s="33" t="n">
        <f>269.9</f>
        <v>269.9</v>
      </c>
      <c r="N251" s="34" t="s">
        <v>246</v>
      </c>
      <c r="O251" s="33" t="n">
        <f>243.5</f>
        <v>243.5</v>
      </c>
      <c r="P251" s="34" t="s">
        <v>167</v>
      </c>
      <c r="Q251" s="33" t="n">
        <f>262.2</f>
        <v>262.2</v>
      </c>
      <c r="R251" s="34" t="s">
        <v>51</v>
      </c>
      <c r="S251" s="35" t="n">
        <f>254.76</f>
        <v>254.76</v>
      </c>
      <c r="T251" s="32" t="n">
        <f>33200</f>
        <v>33200.0</v>
      </c>
      <c r="U251" s="32" t="str">
        <f>"－"</f>
        <v>－</v>
      </c>
      <c r="V251" s="32" t="n">
        <f>8438344</f>
        <v>8438344.0</v>
      </c>
      <c r="W251" s="32" t="str">
        <f>"－"</f>
        <v>－</v>
      </c>
      <c r="X251" s="36" t="n">
        <f>22</f>
        <v>22.0</v>
      </c>
    </row>
    <row r="252">
      <c r="A252" s="27" t="s">
        <v>42</v>
      </c>
      <c r="B252" s="27" t="s">
        <v>803</v>
      </c>
      <c r="C252" s="27" t="s">
        <v>804</v>
      </c>
      <c r="D252" s="27" t="s">
        <v>805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783</f>
        <v>783.0</v>
      </c>
      <c r="L252" s="34" t="s">
        <v>48</v>
      </c>
      <c r="M252" s="33" t="n">
        <f>806</f>
        <v>806.0</v>
      </c>
      <c r="N252" s="34" t="s">
        <v>246</v>
      </c>
      <c r="O252" s="33" t="n">
        <f>783</f>
        <v>783.0</v>
      </c>
      <c r="P252" s="34" t="s">
        <v>48</v>
      </c>
      <c r="Q252" s="33" t="n">
        <f>798.8</f>
        <v>798.8</v>
      </c>
      <c r="R252" s="34" t="s">
        <v>51</v>
      </c>
      <c r="S252" s="35" t="n">
        <f>794.71</f>
        <v>794.71</v>
      </c>
      <c r="T252" s="32" t="n">
        <f>1721730</f>
        <v>1721730.0</v>
      </c>
      <c r="U252" s="32" t="n">
        <f>450000</f>
        <v>450000.0</v>
      </c>
      <c r="V252" s="32" t="n">
        <f>1374516623</f>
        <v>1.374516623E9</v>
      </c>
      <c r="W252" s="32" t="n">
        <f>358580000</f>
        <v>3.5858E8</v>
      </c>
      <c r="X252" s="36" t="n">
        <f>22</f>
        <v>22.0</v>
      </c>
    </row>
    <row r="253">
      <c r="A253" s="27" t="s">
        <v>42</v>
      </c>
      <c r="B253" s="27" t="s">
        <v>806</v>
      </c>
      <c r="C253" s="27" t="s">
        <v>807</v>
      </c>
      <c r="D253" s="27" t="s">
        <v>808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1148</f>
        <v>1148.0</v>
      </c>
      <c r="L253" s="34" t="s">
        <v>48</v>
      </c>
      <c r="M253" s="33" t="n">
        <f>1228</f>
        <v>1228.0</v>
      </c>
      <c r="N253" s="34" t="s">
        <v>70</v>
      </c>
      <c r="O253" s="33" t="n">
        <f>1136</f>
        <v>1136.0</v>
      </c>
      <c r="P253" s="34" t="s">
        <v>48</v>
      </c>
      <c r="Q253" s="33" t="n">
        <f>1206</f>
        <v>1206.0</v>
      </c>
      <c r="R253" s="34" t="s">
        <v>51</v>
      </c>
      <c r="S253" s="35" t="n">
        <f>1195</f>
        <v>1195.0</v>
      </c>
      <c r="T253" s="32" t="n">
        <f>288691</f>
        <v>288691.0</v>
      </c>
      <c r="U253" s="32" t="n">
        <f>43500</f>
        <v>43500.0</v>
      </c>
      <c r="V253" s="32" t="n">
        <f>345789714</f>
        <v>3.45789714E8</v>
      </c>
      <c r="W253" s="32" t="n">
        <f>51627096</f>
        <v>5.1627096E7</v>
      </c>
      <c r="X253" s="36" t="n">
        <f>22</f>
        <v>22.0</v>
      </c>
    </row>
    <row r="254">
      <c r="A254" s="27" t="s">
        <v>42</v>
      </c>
      <c r="B254" s="27" t="s">
        <v>809</v>
      </c>
      <c r="C254" s="27" t="s">
        <v>810</v>
      </c>
      <c r="D254" s="27" t="s">
        <v>811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1093</f>
        <v>1093.0</v>
      </c>
      <c r="L254" s="34" t="s">
        <v>48</v>
      </c>
      <c r="M254" s="33" t="n">
        <f>1165</f>
        <v>1165.0</v>
      </c>
      <c r="N254" s="34" t="s">
        <v>269</v>
      </c>
      <c r="O254" s="33" t="n">
        <f>1082</f>
        <v>1082.0</v>
      </c>
      <c r="P254" s="34" t="s">
        <v>48</v>
      </c>
      <c r="Q254" s="33" t="n">
        <f>1118</f>
        <v>1118.0</v>
      </c>
      <c r="R254" s="34" t="s">
        <v>51</v>
      </c>
      <c r="S254" s="35" t="n">
        <f>1123.77</f>
        <v>1123.77</v>
      </c>
      <c r="T254" s="32" t="n">
        <f>327408</f>
        <v>327408.0</v>
      </c>
      <c r="U254" s="32" t="str">
        <f>"－"</f>
        <v>－</v>
      </c>
      <c r="V254" s="32" t="n">
        <f>366501989</f>
        <v>3.66501989E8</v>
      </c>
      <c r="W254" s="32" t="str">
        <f>"－"</f>
        <v>－</v>
      </c>
      <c r="X254" s="36" t="n">
        <f>22</f>
        <v>22.0</v>
      </c>
    </row>
    <row r="255">
      <c r="A255" s="27" t="s">
        <v>42</v>
      </c>
      <c r="B255" s="27" t="s">
        <v>812</v>
      </c>
      <c r="C255" s="27" t="s">
        <v>813</v>
      </c>
      <c r="D255" s="27" t="s">
        <v>814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895</f>
        <v>895.0</v>
      </c>
      <c r="L255" s="34" t="s">
        <v>48</v>
      </c>
      <c r="M255" s="33" t="n">
        <f>966</f>
        <v>966.0</v>
      </c>
      <c r="N255" s="34" t="s">
        <v>88</v>
      </c>
      <c r="O255" s="33" t="n">
        <f>873</f>
        <v>873.0</v>
      </c>
      <c r="P255" s="34" t="s">
        <v>61</v>
      </c>
      <c r="Q255" s="33" t="n">
        <f>908</f>
        <v>908.0</v>
      </c>
      <c r="R255" s="34" t="s">
        <v>51</v>
      </c>
      <c r="S255" s="35" t="n">
        <f>914.23</f>
        <v>914.23</v>
      </c>
      <c r="T255" s="32" t="n">
        <f>1994078</f>
        <v>1994078.0</v>
      </c>
      <c r="U255" s="32" t="str">
        <f>"－"</f>
        <v>－</v>
      </c>
      <c r="V255" s="32" t="n">
        <f>1819333086</f>
        <v>1.819333086E9</v>
      </c>
      <c r="W255" s="32" t="str">
        <f>"－"</f>
        <v>－</v>
      </c>
      <c r="X255" s="36" t="n">
        <f>22</f>
        <v>22.0</v>
      </c>
    </row>
    <row r="256">
      <c r="A256" s="27" t="s">
        <v>42</v>
      </c>
      <c r="B256" s="27" t="s">
        <v>815</v>
      </c>
      <c r="C256" s="27" t="s">
        <v>816</v>
      </c>
      <c r="D256" s="27" t="s">
        <v>817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194</f>
        <v>194.0</v>
      </c>
      <c r="L256" s="34" t="s">
        <v>48</v>
      </c>
      <c r="M256" s="33" t="n">
        <f>197.2</f>
        <v>197.2</v>
      </c>
      <c r="N256" s="34" t="s">
        <v>51</v>
      </c>
      <c r="O256" s="33" t="n">
        <f>190.5</f>
        <v>190.5</v>
      </c>
      <c r="P256" s="34" t="s">
        <v>49</v>
      </c>
      <c r="Q256" s="33" t="n">
        <f>197.2</f>
        <v>197.2</v>
      </c>
      <c r="R256" s="34" t="s">
        <v>51</v>
      </c>
      <c r="S256" s="35" t="n">
        <f>193.18</f>
        <v>193.18</v>
      </c>
      <c r="T256" s="32" t="n">
        <f>4703870</f>
        <v>4703870.0</v>
      </c>
      <c r="U256" s="32" t="n">
        <f>1502250</f>
        <v>1502250.0</v>
      </c>
      <c r="V256" s="32" t="n">
        <f>908697292</f>
        <v>9.08697292E8</v>
      </c>
      <c r="W256" s="32" t="n">
        <f>290391277</f>
        <v>2.90391277E8</v>
      </c>
      <c r="X256" s="36" t="n">
        <f>22</f>
        <v>22.0</v>
      </c>
    </row>
    <row r="257">
      <c r="A257" s="27" t="s">
        <v>42</v>
      </c>
      <c r="B257" s="27" t="s">
        <v>818</v>
      </c>
      <c r="C257" s="27" t="s">
        <v>819</v>
      </c>
      <c r="D257" s="27" t="s">
        <v>820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204.1</f>
        <v>204.1</v>
      </c>
      <c r="L257" s="34" t="s">
        <v>48</v>
      </c>
      <c r="M257" s="33" t="n">
        <f>213</f>
        <v>213.0</v>
      </c>
      <c r="N257" s="34" t="s">
        <v>80</v>
      </c>
      <c r="O257" s="33" t="n">
        <f>202.5</f>
        <v>202.5</v>
      </c>
      <c r="P257" s="34" t="s">
        <v>61</v>
      </c>
      <c r="Q257" s="33" t="n">
        <f>208.1</f>
        <v>208.1</v>
      </c>
      <c r="R257" s="34" t="s">
        <v>51</v>
      </c>
      <c r="S257" s="35" t="n">
        <f>205.07</f>
        <v>205.07</v>
      </c>
      <c r="T257" s="32" t="n">
        <f>645170</f>
        <v>645170.0</v>
      </c>
      <c r="U257" s="32" t="n">
        <f>1240</f>
        <v>1240.0</v>
      </c>
      <c r="V257" s="32" t="n">
        <f>131956133</f>
        <v>1.31956133E8</v>
      </c>
      <c r="W257" s="32" t="n">
        <f>257018</f>
        <v>257018.0</v>
      </c>
      <c r="X257" s="36" t="n">
        <f>22</f>
        <v>22.0</v>
      </c>
    </row>
    <row r="258">
      <c r="A258" s="27" t="s">
        <v>42</v>
      </c>
      <c r="B258" s="27" t="s">
        <v>821</v>
      </c>
      <c r="C258" s="27" t="s">
        <v>822</v>
      </c>
      <c r="D258" s="27" t="s">
        <v>823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206</f>
        <v>206.0</v>
      </c>
      <c r="L258" s="34" t="s">
        <v>48</v>
      </c>
      <c r="M258" s="33" t="n">
        <f>211.7</f>
        <v>211.7</v>
      </c>
      <c r="N258" s="34" t="s">
        <v>104</v>
      </c>
      <c r="O258" s="33" t="n">
        <f>204.7</f>
        <v>204.7</v>
      </c>
      <c r="P258" s="34" t="s">
        <v>48</v>
      </c>
      <c r="Q258" s="33" t="n">
        <f>210</f>
        <v>210.0</v>
      </c>
      <c r="R258" s="34" t="s">
        <v>51</v>
      </c>
      <c r="S258" s="35" t="n">
        <f>207.16</f>
        <v>207.16</v>
      </c>
      <c r="T258" s="32" t="n">
        <f>226500</f>
        <v>226500.0</v>
      </c>
      <c r="U258" s="32" t="n">
        <f>710</f>
        <v>710.0</v>
      </c>
      <c r="V258" s="32" t="n">
        <f>46957518</f>
        <v>4.6957518E7</v>
      </c>
      <c r="W258" s="32" t="n">
        <f>145286</f>
        <v>145286.0</v>
      </c>
      <c r="X258" s="36" t="n">
        <f>22</f>
        <v>22.0</v>
      </c>
    </row>
    <row r="259">
      <c r="A259" s="27" t="s">
        <v>42</v>
      </c>
      <c r="B259" s="27" t="s">
        <v>824</v>
      </c>
      <c r="C259" s="27" t="s">
        <v>825</v>
      </c>
      <c r="D259" s="27" t="s">
        <v>826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214.6</f>
        <v>214.6</v>
      </c>
      <c r="L259" s="34" t="s">
        <v>48</v>
      </c>
      <c r="M259" s="33" t="n">
        <f>214.6</f>
        <v>214.6</v>
      </c>
      <c r="N259" s="34" t="s">
        <v>48</v>
      </c>
      <c r="O259" s="33" t="n">
        <f>208</f>
        <v>208.0</v>
      </c>
      <c r="P259" s="34" t="s">
        <v>61</v>
      </c>
      <c r="Q259" s="33" t="n">
        <f>213</f>
        <v>213.0</v>
      </c>
      <c r="R259" s="34" t="s">
        <v>51</v>
      </c>
      <c r="S259" s="35" t="n">
        <f>210.92</f>
        <v>210.92</v>
      </c>
      <c r="T259" s="32" t="n">
        <f>923080</f>
        <v>923080.0</v>
      </c>
      <c r="U259" s="32" t="n">
        <f>4670</f>
        <v>4670.0</v>
      </c>
      <c r="V259" s="32" t="n">
        <f>194673544</f>
        <v>1.94673544E8</v>
      </c>
      <c r="W259" s="32" t="n">
        <f>984449</f>
        <v>984449.0</v>
      </c>
      <c r="X259" s="36" t="n">
        <f>22</f>
        <v>22.0</v>
      </c>
    </row>
    <row r="260">
      <c r="A260" s="27" t="s">
        <v>42</v>
      </c>
      <c r="B260" s="27" t="s">
        <v>827</v>
      </c>
      <c r="C260" s="27" t="s">
        <v>828</v>
      </c>
      <c r="D260" s="27" t="s">
        <v>829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193.7</f>
        <v>193.7</v>
      </c>
      <c r="L260" s="34" t="s">
        <v>48</v>
      </c>
      <c r="M260" s="33" t="n">
        <f>194</f>
        <v>194.0</v>
      </c>
      <c r="N260" s="34" t="s">
        <v>61</v>
      </c>
      <c r="O260" s="33" t="n">
        <f>190.1</f>
        <v>190.1</v>
      </c>
      <c r="P260" s="34" t="s">
        <v>65</v>
      </c>
      <c r="Q260" s="33" t="n">
        <f>191.4</f>
        <v>191.4</v>
      </c>
      <c r="R260" s="34" t="s">
        <v>51</v>
      </c>
      <c r="S260" s="35" t="n">
        <f>191.72</f>
        <v>191.72</v>
      </c>
      <c r="T260" s="32" t="n">
        <f>628560</f>
        <v>628560.0</v>
      </c>
      <c r="U260" s="32" t="n">
        <f>60</f>
        <v>60.0</v>
      </c>
      <c r="V260" s="32" t="n">
        <f>120676171</f>
        <v>1.20676171E8</v>
      </c>
      <c r="W260" s="32" t="n">
        <f>11554</f>
        <v>11554.0</v>
      </c>
      <c r="X260" s="36" t="n">
        <f>22</f>
        <v>22.0</v>
      </c>
    </row>
    <row r="261">
      <c r="A261" s="27" t="s">
        <v>42</v>
      </c>
      <c r="B261" s="27" t="s">
        <v>830</v>
      </c>
      <c r="C261" s="27" t="s">
        <v>831</v>
      </c>
      <c r="D261" s="27" t="s">
        <v>832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2016</f>
        <v>2016.0</v>
      </c>
      <c r="L261" s="34" t="s">
        <v>48</v>
      </c>
      <c r="M261" s="33" t="n">
        <f>2052</f>
        <v>2052.0</v>
      </c>
      <c r="N261" s="34" t="s">
        <v>330</v>
      </c>
      <c r="O261" s="33" t="n">
        <f>1960</f>
        <v>1960.0</v>
      </c>
      <c r="P261" s="34" t="s">
        <v>51</v>
      </c>
      <c r="Q261" s="33" t="n">
        <f>1986</f>
        <v>1986.0</v>
      </c>
      <c r="R261" s="34" t="s">
        <v>51</v>
      </c>
      <c r="S261" s="35" t="n">
        <f>2011.86</f>
        <v>2011.86</v>
      </c>
      <c r="T261" s="32" t="n">
        <f>541058</f>
        <v>541058.0</v>
      </c>
      <c r="U261" s="32" t="n">
        <f>29528</f>
        <v>29528.0</v>
      </c>
      <c r="V261" s="32" t="n">
        <f>1088430688</f>
        <v>1.088430688E9</v>
      </c>
      <c r="W261" s="32" t="n">
        <f>59732369</f>
        <v>5.9732369E7</v>
      </c>
      <c r="X261" s="36" t="n">
        <f>22</f>
        <v>22.0</v>
      </c>
    </row>
    <row r="262">
      <c r="A262" s="27" t="s">
        <v>42</v>
      </c>
      <c r="B262" s="27" t="s">
        <v>833</v>
      </c>
      <c r="C262" s="27" t="s">
        <v>834</v>
      </c>
      <c r="D262" s="27" t="s">
        <v>835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1019</f>
        <v>1019.0</v>
      </c>
      <c r="L262" s="34" t="s">
        <v>48</v>
      </c>
      <c r="M262" s="33" t="n">
        <f>1095</f>
        <v>1095.0</v>
      </c>
      <c r="N262" s="34" t="s">
        <v>80</v>
      </c>
      <c r="O262" s="33" t="n">
        <f>1009</f>
        <v>1009.0</v>
      </c>
      <c r="P262" s="34" t="s">
        <v>61</v>
      </c>
      <c r="Q262" s="33" t="n">
        <f>1082</f>
        <v>1082.0</v>
      </c>
      <c r="R262" s="34" t="s">
        <v>51</v>
      </c>
      <c r="S262" s="35" t="n">
        <f>1044.14</f>
        <v>1044.14</v>
      </c>
      <c r="T262" s="32" t="n">
        <f>114819</f>
        <v>114819.0</v>
      </c>
      <c r="U262" s="32" t="n">
        <f>99000</f>
        <v>99000.0</v>
      </c>
      <c r="V262" s="32" t="n">
        <f>122940722</f>
        <v>1.22940722E8</v>
      </c>
      <c r="W262" s="32" t="n">
        <f>106395300</f>
        <v>1.063953E8</v>
      </c>
      <c r="X262" s="36" t="n">
        <f>22</f>
        <v>22.0</v>
      </c>
    </row>
    <row r="263">
      <c r="A263" s="27" t="s">
        <v>42</v>
      </c>
      <c r="B263" s="27" t="s">
        <v>836</v>
      </c>
      <c r="C263" s="27" t="s">
        <v>837</v>
      </c>
      <c r="D263" s="27" t="s">
        <v>838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1026</f>
        <v>1026.0</v>
      </c>
      <c r="L263" s="34" t="s">
        <v>48</v>
      </c>
      <c r="M263" s="33" t="n">
        <f>1093</f>
        <v>1093.0</v>
      </c>
      <c r="N263" s="34" t="s">
        <v>49</v>
      </c>
      <c r="O263" s="33" t="n">
        <f>1020</f>
        <v>1020.0</v>
      </c>
      <c r="P263" s="34" t="s">
        <v>48</v>
      </c>
      <c r="Q263" s="33" t="n">
        <f>1071</f>
        <v>1071.0</v>
      </c>
      <c r="R263" s="34" t="s">
        <v>51</v>
      </c>
      <c r="S263" s="35" t="n">
        <f>1051.36</f>
        <v>1051.36</v>
      </c>
      <c r="T263" s="32" t="n">
        <f>1320628</f>
        <v>1320628.0</v>
      </c>
      <c r="U263" s="32" t="n">
        <f>1001922</f>
        <v>1001922.0</v>
      </c>
      <c r="V263" s="32" t="n">
        <f>1382400724</f>
        <v>1.382400724E9</v>
      </c>
      <c r="W263" s="32" t="n">
        <f>1047346624</f>
        <v>1.047346624E9</v>
      </c>
      <c r="X263" s="36" t="n">
        <f>22</f>
        <v>22.0</v>
      </c>
    </row>
    <row r="264">
      <c r="A264" s="27" t="s">
        <v>42</v>
      </c>
      <c r="B264" s="27" t="s">
        <v>839</v>
      </c>
      <c r="C264" s="27" t="s">
        <v>840</v>
      </c>
      <c r="D264" s="27" t="s">
        <v>841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483</f>
        <v>483.0</v>
      </c>
      <c r="L264" s="34" t="s">
        <v>48</v>
      </c>
      <c r="M264" s="33" t="n">
        <f>484.4</f>
        <v>484.4</v>
      </c>
      <c r="N264" s="34" t="s">
        <v>61</v>
      </c>
      <c r="O264" s="33" t="n">
        <f>475.2</f>
        <v>475.2</v>
      </c>
      <c r="P264" s="34" t="s">
        <v>246</v>
      </c>
      <c r="Q264" s="33" t="n">
        <f>477.2</f>
        <v>477.2</v>
      </c>
      <c r="R264" s="34" t="s">
        <v>51</v>
      </c>
      <c r="S264" s="35" t="n">
        <f>479.21</f>
        <v>479.21</v>
      </c>
      <c r="T264" s="32" t="n">
        <f>3499780</f>
        <v>3499780.0</v>
      </c>
      <c r="U264" s="32" t="n">
        <f>3345790</f>
        <v>3345790.0</v>
      </c>
      <c r="V264" s="32" t="n">
        <f>1669103813</f>
        <v>1.669103813E9</v>
      </c>
      <c r="W264" s="32" t="n">
        <f>1595264754</f>
        <v>1.595264754E9</v>
      </c>
      <c r="X264" s="36" t="n">
        <f>22</f>
        <v>22.0</v>
      </c>
    </row>
    <row r="265">
      <c r="A265" s="27" t="s">
        <v>42</v>
      </c>
      <c r="B265" s="27" t="s">
        <v>842</v>
      </c>
      <c r="C265" s="27" t="s">
        <v>843</v>
      </c>
      <c r="D265" s="27" t="s">
        <v>844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158.4</f>
        <v>158.4</v>
      </c>
      <c r="L265" s="34" t="s">
        <v>48</v>
      </c>
      <c r="M265" s="33" t="n">
        <f>160.5</f>
        <v>160.5</v>
      </c>
      <c r="N265" s="34" t="s">
        <v>48</v>
      </c>
      <c r="O265" s="33" t="n">
        <f>151.1</f>
        <v>151.1</v>
      </c>
      <c r="P265" s="34" t="s">
        <v>111</v>
      </c>
      <c r="Q265" s="33" t="n">
        <f>158.6</f>
        <v>158.6</v>
      </c>
      <c r="R265" s="34" t="s">
        <v>51</v>
      </c>
      <c r="S265" s="35" t="n">
        <f>155.38</f>
        <v>155.38</v>
      </c>
      <c r="T265" s="32" t="n">
        <f>6032790</f>
        <v>6032790.0</v>
      </c>
      <c r="U265" s="32" t="n">
        <f>160</f>
        <v>160.0</v>
      </c>
      <c r="V265" s="32" t="n">
        <f>932200086</f>
        <v>9.32200086E8</v>
      </c>
      <c r="W265" s="32" t="n">
        <f>24415</f>
        <v>24415.0</v>
      </c>
      <c r="X265" s="36" t="n">
        <f>22</f>
        <v>22.0</v>
      </c>
    </row>
    <row r="266">
      <c r="A266" s="27" t="s">
        <v>42</v>
      </c>
      <c r="B266" s="27" t="s">
        <v>845</v>
      </c>
      <c r="C266" s="27" t="s">
        <v>846</v>
      </c>
      <c r="D266" s="27" t="s">
        <v>847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151.7</f>
        <v>151.7</v>
      </c>
      <c r="L266" s="34" t="s">
        <v>48</v>
      </c>
      <c r="M266" s="33" t="n">
        <f>152.9</f>
        <v>152.9</v>
      </c>
      <c r="N266" s="34" t="s">
        <v>48</v>
      </c>
      <c r="O266" s="33" t="n">
        <f>138.3</f>
        <v>138.3</v>
      </c>
      <c r="P266" s="34" t="s">
        <v>111</v>
      </c>
      <c r="Q266" s="33" t="n">
        <f>145</f>
        <v>145.0</v>
      </c>
      <c r="R266" s="34" t="s">
        <v>51</v>
      </c>
      <c r="S266" s="35" t="n">
        <f>144.56</f>
        <v>144.56</v>
      </c>
      <c r="T266" s="32" t="n">
        <f>5477230</f>
        <v>5477230.0</v>
      </c>
      <c r="U266" s="32" t="n">
        <f>100</f>
        <v>100.0</v>
      </c>
      <c r="V266" s="32" t="n">
        <f>785290709</f>
        <v>7.85290709E8</v>
      </c>
      <c r="W266" s="32" t="n">
        <f>15180</f>
        <v>15180.0</v>
      </c>
      <c r="X266" s="36" t="n">
        <f>22</f>
        <v>22.0</v>
      </c>
    </row>
    <row r="267">
      <c r="A267" s="27" t="s">
        <v>42</v>
      </c>
      <c r="B267" s="27" t="s">
        <v>848</v>
      </c>
      <c r="C267" s="27" t="s">
        <v>849</v>
      </c>
      <c r="D267" s="27" t="s">
        <v>850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873.6</f>
        <v>873.6</v>
      </c>
      <c r="L267" s="34" t="s">
        <v>48</v>
      </c>
      <c r="M267" s="33" t="n">
        <f>890.1</f>
        <v>890.1</v>
      </c>
      <c r="N267" s="34" t="s">
        <v>180</v>
      </c>
      <c r="O267" s="33" t="n">
        <f>860.6</f>
        <v>860.6</v>
      </c>
      <c r="P267" s="34" t="s">
        <v>88</v>
      </c>
      <c r="Q267" s="33" t="n">
        <f>866.4</f>
        <v>866.4</v>
      </c>
      <c r="R267" s="34" t="s">
        <v>51</v>
      </c>
      <c r="S267" s="35" t="n">
        <f>869</f>
        <v>869.0</v>
      </c>
      <c r="T267" s="32" t="n">
        <f>6025620</f>
        <v>6025620.0</v>
      </c>
      <c r="U267" s="32" t="n">
        <f>3939360</f>
        <v>3939360.0</v>
      </c>
      <c r="V267" s="32" t="n">
        <f>5223750855</f>
        <v>5.223750855E9</v>
      </c>
      <c r="W267" s="32" t="n">
        <f>3415040140</f>
        <v>3.41504014E9</v>
      </c>
      <c r="X267" s="36" t="n">
        <f>22</f>
        <v>22.0</v>
      </c>
    </row>
    <row r="268">
      <c r="A268" s="27" t="s">
        <v>42</v>
      </c>
      <c r="B268" s="27" t="s">
        <v>851</v>
      </c>
      <c r="C268" s="27" t="s">
        <v>852</v>
      </c>
      <c r="D268" s="27" t="s">
        <v>853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1082</f>
        <v>1082.0</v>
      </c>
      <c r="L268" s="34" t="s">
        <v>48</v>
      </c>
      <c r="M268" s="33" t="n">
        <f>1111</f>
        <v>1111.0</v>
      </c>
      <c r="N268" s="34" t="s">
        <v>84</v>
      </c>
      <c r="O268" s="33" t="n">
        <f>1081</f>
        <v>1081.0</v>
      </c>
      <c r="P268" s="34" t="s">
        <v>48</v>
      </c>
      <c r="Q268" s="33" t="n">
        <f>1106</f>
        <v>1106.0</v>
      </c>
      <c r="R268" s="34" t="s">
        <v>51</v>
      </c>
      <c r="S268" s="35" t="n">
        <f>1099.16</f>
        <v>1099.16</v>
      </c>
      <c r="T268" s="32" t="n">
        <f>1522670</f>
        <v>1522670.0</v>
      </c>
      <c r="U268" s="32" t="n">
        <f>473120</f>
        <v>473120.0</v>
      </c>
      <c r="V268" s="32" t="n">
        <f>1674003749</f>
        <v>1.674003749E9</v>
      </c>
      <c r="W268" s="32" t="n">
        <f>520845639</f>
        <v>5.20845639E8</v>
      </c>
      <c r="X268" s="36" t="n">
        <f>22</f>
        <v>22.0</v>
      </c>
    </row>
    <row r="269">
      <c r="A269" s="27" t="s">
        <v>42</v>
      </c>
      <c r="B269" s="27" t="s">
        <v>854</v>
      </c>
      <c r="C269" s="27" t="s">
        <v>855</v>
      </c>
      <c r="D269" s="27" t="s">
        <v>856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765</f>
        <v>765.0</v>
      </c>
      <c r="L269" s="34" t="s">
        <v>48</v>
      </c>
      <c r="M269" s="33" t="n">
        <f>768</f>
        <v>768.0</v>
      </c>
      <c r="N269" s="34" t="s">
        <v>61</v>
      </c>
      <c r="O269" s="33" t="n">
        <f>755.3</f>
        <v>755.3</v>
      </c>
      <c r="P269" s="34" t="s">
        <v>250</v>
      </c>
      <c r="Q269" s="33" t="n">
        <f>760.3</f>
        <v>760.3</v>
      </c>
      <c r="R269" s="34" t="s">
        <v>51</v>
      </c>
      <c r="S269" s="35" t="n">
        <f>760.42</f>
        <v>760.42</v>
      </c>
      <c r="T269" s="32" t="n">
        <f>3533300</f>
        <v>3533300.0</v>
      </c>
      <c r="U269" s="32" t="n">
        <f>2647480</f>
        <v>2647480.0</v>
      </c>
      <c r="V269" s="32" t="n">
        <f>2681411435</f>
        <v>2.681411435E9</v>
      </c>
      <c r="W269" s="32" t="n">
        <f>2007371449</f>
        <v>2.007371449E9</v>
      </c>
      <c r="X269" s="36" t="n">
        <f>22</f>
        <v>22.0</v>
      </c>
    </row>
    <row r="270">
      <c r="A270" s="27" t="s">
        <v>42</v>
      </c>
      <c r="B270" s="27" t="s">
        <v>857</v>
      </c>
      <c r="C270" s="27" t="s">
        <v>858</v>
      </c>
      <c r="D270" s="27" t="s">
        <v>859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2668.5</f>
        <v>2668.5</v>
      </c>
      <c r="L270" s="34" t="s">
        <v>48</v>
      </c>
      <c r="M270" s="33" t="n">
        <f>2838</f>
        <v>2838.0</v>
      </c>
      <c r="N270" s="34" t="s">
        <v>51</v>
      </c>
      <c r="O270" s="33" t="n">
        <f>2659.5</f>
        <v>2659.5</v>
      </c>
      <c r="P270" s="34" t="s">
        <v>61</v>
      </c>
      <c r="Q270" s="33" t="n">
        <f>2832.5</f>
        <v>2832.5</v>
      </c>
      <c r="R270" s="34" t="s">
        <v>51</v>
      </c>
      <c r="S270" s="35" t="n">
        <f>2754.7</f>
        <v>2754.7</v>
      </c>
      <c r="T270" s="32" t="n">
        <f>1006320</f>
        <v>1006320.0</v>
      </c>
      <c r="U270" s="32" t="n">
        <f>456050</f>
        <v>456050.0</v>
      </c>
      <c r="V270" s="32" t="n">
        <f>2807200104</f>
        <v>2.807200104E9</v>
      </c>
      <c r="W270" s="32" t="n">
        <f>1288764624</f>
        <v>1.288764624E9</v>
      </c>
      <c r="X270" s="36" t="n">
        <f>22</f>
        <v>22.0</v>
      </c>
    </row>
    <row r="271">
      <c r="A271" s="27" t="s">
        <v>42</v>
      </c>
      <c r="B271" s="27" t="s">
        <v>860</v>
      </c>
      <c r="C271" s="27" t="s">
        <v>861</v>
      </c>
      <c r="D271" s="27" t="s">
        <v>862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1719.5</f>
        <v>1719.5</v>
      </c>
      <c r="L271" s="34" t="s">
        <v>48</v>
      </c>
      <c r="M271" s="33" t="n">
        <f>1778</f>
        <v>1778.0</v>
      </c>
      <c r="N271" s="34" t="s">
        <v>70</v>
      </c>
      <c r="O271" s="33" t="n">
        <f>1718.5</f>
        <v>1718.5</v>
      </c>
      <c r="P271" s="34" t="s">
        <v>61</v>
      </c>
      <c r="Q271" s="33" t="n">
        <f>1774.5</f>
        <v>1774.5</v>
      </c>
      <c r="R271" s="34" t="s">
        <v>51</v>
      </c>
      <c r="S271" s="35" t="n">
        <f>1743.39</f>
        <v>1743.39</v>
      </c>
      <c r="T271" s="32" t="n">
        <f>646250</f>
        <v>646250.0</v>
      </c>
      <c r="U271" s="32" t="n">
        <f>220760</f>
        <v>220760.0</v>
      </c>
      <c r="V271" s="32" t="n">
        <f>1129776880</f>
        <v>1.12977688E9</v>
      </c>
      <c r="W271" s="32" t="n">
        <f>389221960</f>
        <v>3.8922196E8</v>
      </c>
      <c r="X271" s="36" t="n">
        <f>22</f>
        <v>22.0</v>
      </c>
    </row>
    <row r="272">
      <c r="A272" s="27" t="s">
        <v>42</v>
      </c>
      <c r="B272" s="27" t="s">
        <v>863</v>
      </c>
      <c r="C272" s="27" t="s">
        <v>864</v>
      </c>
      <c r="D272" s="27" t="s">
        <v>865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1344</f>
        <v>1344.0</v>
      </c>
      <c r="L272" s="34" t="s">
        <v>48</v>
      </c>
      <c r="M272" s="33" t="n">
        <f>1409</f>
        <v>1409.0</v>
      </c>
      <c r="N272" s="34" t="s">
        <v>51</v>
      </c>
      <c r="O272" s="33" t="n">
        <f>1312</f>
        <v>1312.0</v>
      </c>
      <c r="P272" s="34" t="s">
        <v>61</v>
      </c>
      <c r="Q272" s="33" t="n">
        <f>1396</f>
        <v>1396.0</v>
      </c>
      <c r="R272" s="34" t="s">
        <v>51</v>
      </c>
      <c r="S272" s="35" t="n">
        <f>1374.16</f>
        <v>1374.16</v>
      </c>
      <c r="T272" s="32" t="n">
        <f>1700680</f>
        <v>1700680.0</v>
      </c>
      <c r="U272" s="32" t="n">
        <f>139330</f>
        <v>139330.0</v>
      </c>
      <c r="V272" s="32" t="n">
        <f>2297334154</f>
        <v>2.297334154E9</v>
      </c>
      <c r="W272" s="32" t="n">
        <f>194527519</f>
        <v>1.94527519E8</v>
      </c>
      <c r="X272" s="36" t="n">
        <f>22</f>
        <v>22.0</v>
      </c>
    </row>
    <row r="273">
      <c r="A273" s="27" t="s">
        <v>42</v>
      </c>
      <c r="B273" s="27" t="s">
        <v>866</v>
      </c>
      <c r="C273" s="27" t="s">
        <v>867</v>
      </c>
      <c r="D273" s="27" t="s">
        <v>868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586.5</f>
        <v>586.5</v>
      </c>
      <c r="L273" s="34" t="s">
        <v>48</v>
      </c>
      <c r="M273" s="33" t="n">
        <f>602</f>
        <v>602.0</v>
      </c>
      <c r="N273" s="34" t="s">
        <v>70</v>
      </c>
      <c r="O273" s="33" t="n">
        <f>555.3</f>
        <v>555.3</v>
      </c>
      <c r="P273" s="34" t="s">
        <v>118</v>
      </c>
      <c r="Q273" s="33" t="n">
        <f>596.2</f>
        <v>596.2</v>
      </c>
      <c r="R273" s="34" t="s">
        <v>51</v>
      </c>
      <c r="S273" s="35" t="n">
        <f>581.58</f>
        <v>581.58</v>
      </c>
      <c r="T273" s="32" t="n">
        <f>24543680</f>
        <v>2.454368E7</v>
      </c>
      <c r="U273" s="32" t="n">
        <f>2163350</f>
        <v>2163350.0</v>
      </c>
      <c r="V273" s="32" t="n">
        <f>14209645418</f>
        <v>1.4209645418E10</v>
      </c>
      <c r="W273" s="32" t="n">
        <f>1250932260</f>
        <v>1.25093226E9</v>
      </c>
      <c r="X273" s="36" t="n">
        <f>22</f>
        <v>22.0</v>
      </c>
    </row>
    <row r="274">
      <c r="A274" s="27" t="s">
        <v>42</v>
      </c>
      <c r="B274" s="27" t="s">
        <v>869</v>
      </c>
      <c r="C274" s="27" t="s">
        <v>870</v>
      </c>
      <c r="D274" s="27" t="s">
        <v>871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1070.5</f>
        <v>1070.5</v>
      </c>
      <c r="L274" s="34" t="s">
        <v>48</v>
      </c>
      <c r="M274" s="33" t="n">
        <f>1126</f>
        <v>1126.0</v>
      </c>
      <c r="N274" s="34" t="s">
        <v>104</v>
      </c>
      <c r="O274" s="33" t="n">
        <f>1067</f>
        <v>1067.0</v>
      </c>
      <c r="P274" s="34" t="s">
        <v>61</v>
      </c>
      <c r="Q274" s="33" t="n">
        <f>1125</f>
        <v>1125.0</v>
      </c>
      <c r="R274" s="34" t="s">
        <v>51</v>
      </c>
      <c r="S274" s="35" t="n">
        <f>1090.09</f>
        <v>1090.09</v>
      </c>
      <c r="T274" s="32" t="n">
        <f>2142190</f>
        <v>2142190.0</v>
      </c>
      <c r="U274" s="32" t="n">
        <f>1769940</f>
        <v>1769940.0</v>
      </c>
      <c r="V274" s="32" t="n">
        <f>2319201367</f>
        <v>2.319201367E9</v>
      </c>
      <c r="W274" s="32" t="n">
        <f>1914340842</f>
        <v>1.914340842E9</v>
      </c>
      <c r="X274" s="36" t="n">
        <f>22</f>
        <v>22.0</v>
      </c>
    </row>
    <row r="275">
      <c r="A275" s="27" t="s">
        <v>42</v>
      </c>
      <c r="B275" s="27" t="s">
        <v>872</v>
      </c>
      <c r="C275" s="27" t="s">
        <v>873</v>
      </c>
      <c r="D275" s="27" t="s">
        <v>874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1646</f>
        <v>1646.0</v>
      </c>
      <c r="L275" s="34" t="s">
        <v>48</v>
      </c>
      <c r="M275" s="33" t="n">
        <f>1712</f>
        <v>1712.0</v>
      </c>
      <c r="N275" s="34" t="s">
        <v>49</v>
      </c>
      <c r="O275" s="33" t="n">
        <f>1616</f>
        <v>1616.0</v>
      </c>
      <c r="P275" s="34" t="s">
        <v>50</v>
      </c>
      <c r="Q275" s="33" t="n">
        <f>1701</f>
        <v>1701.0</v>
      </c>
      <c r="R275" s="34" t="s">
        <v>51</v>
      </c>
      <c r="S275" s="35" t="n">
        <f>1649.32</f>
        <v>1649.32</v>
      </c>
      <c r="T275" s="32" t="n">
        <f>18816</f>
        <v>18816.0</v>
      </c>
      <c r="U275" s="32" t="str">
        <f>"－"</f>
        <v>－</v>
      </c>
      <c r="V275" s="32" t="n">
        <f>30835724</f>
        <v>3.0835724E7</v>
      </c>
      <c r="W275" s="32" t="str">
        <f>"－"</f>
        <v>－</v>
      </c>
      <c r="X275" s="36" t="n">
        <f>22</f>
        <v>22.0</v>
      </c>
    </row>
    <row r="276">
      <c r="A276" s="27" t="s">
        <v>42</v>
      </c>
      <c r="B276" s="27" t="s">
        <v>875</v>
      </c>
      <c r="C276" s="27" t="s">
        <v>876</v>
      </c>
      <c r="D276" s="27" t="s">
        <v>877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1060</f>
        <v>1060.0</v>
      </c>
      <c r="L276" s="34" t="s">
        <v>48</v>
      </c>
      <c r="M276" s="33" t="n">
        <f>1113</f>
        <v>1113.0</v>
      </c>
      <c r="N276" s="34" t="s">
        <v>212</v>
      </c>
      <c r="O276" s="33" t="n">
        <f>1050.5</f>
        <v>1050.5</v>
      </c>
      <c r="P276" s="34" t="s">
        <v>48</v>
      </c>
      <c r="Q276" s="33" t="n">
        <f>1102.5</f>
        <v>1102.5</v>
      </c>
      <c r="R276" s="34" t="s">
        <v>51</v>
      </c>
      <c r="S276" s="35" t="n">
        <f>1081.89</f>
        <v>1081.89</v>
      </c>
      <c r="T276" s="32" t="n">
        <f>50540</f>
        <v>50540.0</v>
      </c>
      <c r="U276" s="32" t="n">
        <f>690</f>
        <v>690.0</v>
      </c>
      <c r="V276" s="32" t="n">
        <f>54739295</f>
        <v>5.4739295E7</v>
      </c>
      <c r="W276" s="32" t="n">
        <f>751060</f>
        <v>751060.0</v>
      </c>
      <c r="X276" s="36" t="n">
        <f>22</f>
        <v>22.0</v>
      </c>
    </row>
    <row r="277">
      <c r="A277" s="27" t="s">
        <v>42</v>
      </c>
      <c r="B277" s="27" t="s">
        <v>878</v>
      </c>
      <c r="C277" s="27" t="s">
        <v>879</v>
      </c>
      <c r="D277" s="27" t="s">
        <v>880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1548.5</f>
        <v>1548.5</v>
      </c>
      <c r="L277" s="34" t="s">
        <v>48</v>
      </c>
      <c r="M277" s="33" t="n">
        <f>1643</f>
        <v>1643.0</v>
      </c>
      <c r="N277" s="34" t="s">
        <v>49</v>
      </c>
      <c r="O277" s="33" t="n">
        <f>1527.5</f>
        <v>1527.5</v>
      </c>
      <c r="P277" s="34" t="s">
        <v>48</v>
      </c>
      <c r="Q277" s="33" t="n">
        <f>1631.5</f>
        <v>1631.5</v>
      </c>
      <c r="R277" s="34" t="s">
        <v>51</v>
      </c>
      <c r="S277" s="35" t="n">
        <f>1604.39</f>
        <v>1604.39</v>
      </c>
      <c r="T277" s="32" t="n">
        <f>131710</f>
        <v>131710.0</v>
      </c>
      <c r="U277" s="32" t="n">
        <f>1280</f>
        <v>1280.0</v>
      </c>
      <c r="V277" s="32" t="n">
        <f>211654151</f>
        <v>2.11654151E8</v>
      </c>
      <c r="W277" s="32" t="n">
        <f>2087631</f>
        <v>2087631.0</v>
      </c>
      <c r="X277" s="36" t="n">
        <f>22</f>
        <v>22.0</v>
      </c>
    </row>
    <row r="278">
      <c r="A278" s="27" t="s">
        <v>42</v>
      </c>
      <c r="B278" s="27" t="s">
        <v>881</v>
      </c>
      <c r="C278" s="27" t="s">
        <v>882</v>
      </c>
      <c r="D278" s="27" t="s">
        <v>883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1824</f>
        <v>1824.0</v>
      </c>
      <c r="L278" s="34" t="s">
        <v>48</v>
      </c>
      <c r="M278" s="33" t="n">
        <f>1894</f>
        <v>1894.0</v>
      </c>
      <c r="N278" s="34" t="s">
        <v>51</v>
      </c>
      <c r="O278" s="33" t="n">
        <f>1816</f>
        <v>1816.0</v>
      </c>
      <c r="P278" s="34" t="s">
        <v>330</v>
      </c>
      <c r="Q278" s="33" t="n">
        <f>1886</f>
        <v>1886.0</v>
      </c>
      <c r="R278" s="34" t="s">
        <v>51</v>
      </c>
      <c r="S278" s="35" t="n">
        <f>1849.09</f>
        <v>1849.09</v>
      </c>
      <c r="T278" s="32" t="n">
        <f>6013708</f>
        <v>6013708.0</v>
      </c>
      <c r="U278" s="32" t="n">
        <f>5438815</f>
        <v>5438815.0</v>
      </c>
      <c r="V278" s="32" t="n">
        <f>11172227300</f>
        <v>1.11722273E10</v>
      </c>
      <c r="W278" s="32" t="n">
        <f>10111384811</f>
        <v>1.0111384811E10</v>
      </c>
      <c r="X278" s="36" t="n">
        <f>22</f>
        <v>22.0</v>
      </c>
    </row>
    <row r="279">
      <c r="A279" s="27" t="s">
        <v>42</v>
      </c>
      <c r="B279" s="27" t="s">
        <v>884</v>
      </c>
      <c r="C279" s="27" t="s">
        <v>885</v>
      </c>
      <c r="D279" s="27" t="s">
        <v>886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5776</f>
        <v>5776.0</v>
      </c>
      <c r="L279" s="34" t="s">
        <v>48</v>
      </c>
      <c r="M279" s="33" t="n">
        <f>6106</f>
        <v>6106.0</v>
      </c>
      <c r="N279" s="34" t="s">
        <v>70</v>
      </c>
      <c r="O279" s="33" t="n">
        <f>5666</f>
        <v>5666.0</v>
      </c>
      <c r="P279" s="34" t="s">
        <v>61</v>
      </c>
      <c r="Q279" s="33" t="n">
        <f>6055</f>
        <v>6055.0</v>
      </c>
      <c r="R279" s="34" t="s">
        <v>51</v>
      </c>
      <c r="S279" s="35" t="n">
        <f>5924</f>
        <v>5924.0</v>
      </c>
      <c r="T279" s="32" t="n">
        <f>133614</f>
        <v>133614.0</v>
      </c>
      <c r="U279" s="32" t="str">
        <f>"－"</f>
        <v>－</v>
      </c>
      <c r="V279" s="32" t="n">
        <f>786881454</f>
        <v>7.86881454E8</v>
      </c>
      <c r="W279" s="32" t="str">
        <f>"－"</f>
        <v>－</v>
      </c>
      <c r="X279" s="36" t="n">
        <f>22</f>
        <v>22.0</v>
      </c>
    </row>
    <row r="280">
      <c r="A280" s="27" t="s">
        <v>42</v>
      </c>
      <c r="B280" s="27" t="s">
        <v>887</v>
      </c>
      <c r="C280" s="27" t="s">
        <v>888</v>
      </c>
      <c r="D280" s="27" t="s">
        <v>889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2338.5</f>
        <v>2338.5</v>
      </c>
      <c r="L280" s="34" t="s">
        <v>205</v>
      </c>
      <c r="M280" s="33" t="n">
        <f>2467</f>
        <v>2467.0</v>
      </c>
      <c r="N280" s="34" t="s">
        <v>70</v>
      </c>
      <c r="O280" s="33" t="n">
        <f>2338.5</f>
        <v>2338.5</v>
      </c>
      <c r="P280" s="34" t="s">
        <v>205</v>
      </c>
      <c r="Q280" s="33" t="n">
        <f>2467</f>
        <v>2467.0</v>
      </c>
      <c r="R280" s="34" t="s">
        <v>70</v>
      </c>
      <c r="S280" s="35" t="n">
        <f>2385.33</f>
        <v>2385.33</v>
      </c>
      <c r="T280" s="32" t="n">
        <f>110</f>
        <v>110.0</v>
      </c>
      <c r="U280" s="32" t="n">
        <f>30</f>
        <v>30.0</v>
      </c>
      <c r="V280" s="32" t="n">
        <f>259720</f>
        <v>259720.0</v>
      </c>
      <c r="W280" s="32" t="n">
        <f>71070</f>
        <v>71070.0</v>
      </c>
      <c r="X280" s="36" t="n">
        <f>3</f>
        <v>3.0</v>
      </c>
    </row>
    <row r="281">
      <c r="A281" s="27" t="s">
        <v>42</v>
      </c>
      <c r="B281" s="27" t="s">
        <v>890</v>
      </c>
      <c r="C281" s="27" t="s">
        <v>891</v>
      </c>
      <c r="D281" s="27" t="s">
        <v>892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2921.5</f>
        <v>2921.5</v>
      </c>
      <c r="L281" s="34" t="s">
        <v>48</v>
      </c>
      <c r="M281" s="33" t="n">
        <f>3070</f>
        <v>3070.0</v>
      </c>
      <c r="N281" s="34" t="s">
        <v>49</v>
      </c>
      <c r="O281" s="33" t="n">
        <f>2895</f>
        <v>2895.0</v>
      </c>
      <c r="P281" s="34" t="s">
        <v>180</v>
      </c>
      <c r="Q281" s="33" t="n">
        <f>3028</f>
        <v>3028.0</v>
      </c>
      <c r="R281" s="34" t="s">
        <v>51</v>
      </c>
      <c r="S281" s="35" t="n">
        <f>2953.37</f>
        <v>2953.37</v>
      </c>
      <c r="T281" s="32" t="n">
        <f>374370</f>
        <v>374370.0</v>
      </c>
      <c r="U281" s="32" t="n">
        <f>140030</f>
        <v>140030.0</v>
      </c>
      <c r="V281" s="32" t="n">
        <f>1100090185</f>
        <v>1.100090185E9</v>
      </c>
      <c r="W281" s="32" t="n">
        <f>406433320</f>
        <v>4.0643332E8</v>
      </c>
      <c r="X281" s="36" t="n">
        <f>19</f>
        <v>19.0</v>
      </c>
    </row>
    <row r="282">
      <c r="A282" s="27" t="s">
        <v>42</v>
      </c>
      <c r="B282" s="27" t="s">
        <v>893</v>
      </c>
      <c r="C282" s="27" t="s">
        <v>894</v>
      </c>
      <c r="D282" s="27" t="s">
        <v>895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40790</f>
        <v>40790.0</v>
      </c>
      <c r="L282" s="34" t="s">
        <v>48</v>
      </c>
      <c r="M282" s="33" t="n">
        <f>42400</f>
        <v>42400.0</v>
      </c>
      <c r="N282" s="34" t="s">
        <v>49</v>
      </c>
      <c r="O282" s="33" t="n">
        <f>39800</f>
        <v>39800.0</v>
      </c>
      <c r="P282" s="34" t="s">
        <v>65</v>
      </c>
      <c r="Q282" s="33" t="n">
        <f>41610</f>
        <v>41610.0</v>
      </c>
      <c r="R282" s="34" t="s">
        <v>51</v>
      </c>
      <c r="S282" s="35" t="n">
        <f>40588.18</f>
        <v>40588.18</v>
      </c>
      <c r="T282" s="32" t="n">
        <f>121943</f>
        <v>121943.0</v>
      </c>
      <c r="U282" s="32" t="n">
        <f>49332</f>
        <v>49332.0</v>
      </c>
      <c r="V282" s="32" t="n">
        <f>4982847285</f>
        <v>4.982847285E9</v>
      </c>
      <c r="W282" s="32" t="n">
        <f>2038028145</f>
        <v>2.038028145E9</v>
      </c>
      <c r="X282" s="36" t="n">
        <f>22</f>
        <v>22.0</v>
      </c>
    </row>
    <row r="283">
      <c r="A283" s="27" t="s">
        <v>42</v>
      </c>
      <c r="B283" s="27" t="s">
        <v>896</v>
      </c>
      <c r="C283" s="27" t="s">
        <v>897</v>
      </c>
      <c r="D283" s="27" t="s">
        <v>898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26465</f>
        <v>26465.0</v>
      </c>
      <c r="L283" s="34" t="s">
        <v>48</v>
      </c>
      <c r="M283" s="33" t="n">
        <f>27320</f>
        <v>27320.0</v>
      </c>
      <c r="N283" s="34" t="s">
        <v>49</v>
      </c>
      <c r="O283" s="33" t="n">
        <f>25960</f>
        <v>25960.0</v>
      </c>
      <c r="P283" s="34" t="s">
        <v>50</v>
      </c>
      <c r="Q283" s="33" t="n">
        <f>27025</f>
        <v>27025.0</v>
      </c>
      <c r="R283" s="34" t="s">
        <v>51</v>
      </c>
      <c r="S283" s="35" t="n">
        <f>26430</f>
        <v>26430.0</v>
      </c>
      <c r="T283" s="32" t="n">
        <f>19803</f>
        <v>19803.0</v>
      </c>
      <c r="U283" s="32" t="n">
        <f>2000</f>
        <v>2000.0</v>
      </c>
      <c r="V283" s="32" t="n">
        <f>523428255</f>
        <v>5.23428255E8</v>
      </c>
      <c r="W283" s="32" t="n">
        <f>53275500</f>
        <v>5.32755E7</v>
      </c>
      <c r="X283" s="36" t="n">
        <f>19</f>
        <v>19.0</v>
      </c>
    </row>
    <row r="284">
      <c r="A284" s="27" t="s">
        <v>42</v>
      </c>
      <c r="B284" s="27" t="s">
        <v>899</v>
      </c>
      <c r="C284" s="27" t="s">
        <v>900</v>
      </c>
      <c r="D284" s="27" t="s">
        <v>901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1089.5</f>
        <v>1089.5</v>
      </c>
      <c r="L284" s="34" t="s">
        <v>61</v>
      </c>
      <c r="M284" s="33" t="n">
        <f>1121</f>
        <v>1121.0</v>
      </c>
      <c r="N284" s="34" t="s">
        <v>51</v>
      </c>
      <c r="O284" s="33" t="n">
        <f>1077.5</f>
        <v>1077.5</v>
      </c>
      <c r="P284" s="34" t="s">
        <v>65</v>
      </c>
      <c r="Q284" s="33" t="n">
        <f>1121</f>
        <v>1121.0</v>
      </c>
      <c r="R284" s="34" t="s">
        <v>51</v>
      </c>
      <c r="S284" s="35" t="n">
        <f>1096.11</f>
        <v>1096.11</v>
      </c>
      <c r="T284" s="32" t="n">
        <f>1092920</f>
        <v>1092920.0</v>
      </c>
      <c r="U284" s="32" t="n">
        <f>770000</f>
        <v>770000.0</v>
      </c>
      <c r="V284" s="32" t="n">
        <f>1205139950</f>
        <v>1.20513995E9</v>
      </c>
      <c r="W284" s="32" t="n">
        <f>851927000</f>
        <v>8.51927E8</v>
      </c>
      <c r="X284" s="36" t="n">
        <f>19</f>
        <v>19.0</v>
      </c>
    </row>
    <row r="285">
      <c r="A285" s="27" t="s">
        <v>42</v>
      </c>
      <c r="B285" s="27" t="s">
        <v>902</v>
      </c>
      <c r="C285" s="27" t="s">
        <v>903</v>
      </c>
      <c r="D285" s="27" t="s">
        <v>904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1067</f>
        <v>1067.0</v>
      </c>
      <c r="L285" s="34" t="s">
        <v>48</v>
      </c>
      <c r="M285" s="33" t="n">
        <f>1123</f>
        <v>1123.0</v>
      </c>
      <c r="N285" s="34" t="s">
        <v>104</v>
      </c>
      <c r="O285" s="33" t="n">
        <f>1063</f>
        <v>1063.0</v>
      </c>
      <c r="P285" s="34" t="s">
        <v>48</v>
      </c>
      <c r="Q285" s="33" t="n">
        <f>1117</f>
        <v>1117.0</v>
      </c>
      <c r="R285" s="34" t="s">
        <v>51</v>
      </c>
      <c r="S285" s="35" t="n">
        <f>1085.68</f>
        <v>1085.68</v>
      </c>
      <c r="T285" s="32" t="n">
        <f>1010310</f>
        <v>1010310.0</v>
      </c>
      <c r="U285" s="32" t="n">
        <f>699121</f>
        <v>699121.0</v>
      </c>
      <c r="V285" s="32" t="n">
        <f>1110037095</f>
        <v>1.110037095E9</v>
      </c>
      <c r="W285" s="32" t="n">
        <f>768623117</f>
        <v>7.68623117E8</v>
      </c>
      <c r="X285" s="36" t="n">
        <f>22</f>
        <v>22.0</v>
      </c>
    </row>
    <row r="286">
      <c r="A286" s="27" t="s">
        <v>42</v>
      </c>
      <c r="B286" s="27" t="s">
        <v>905</v>
      </c>
      <c r="C286" s="27" t="s">
        <v>906</v>
      </c>
      <c r="D286" s="27" t="s">
        <v>907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1633</f>
        <v>1633.0</v>
      </c>
      <c r="L286" s="34" t="s">
        <v>48</v>
      </c>
      <c r="M286" s="33" t="n">
        <f>1715</f>
        <v>1715.0</v>
      </c>
      <c r="N286" s="34" t="s">
        <v>49</v>
      </c>
      <c r="O286" s="33" t="n">
        <f>1615</f>
        <v>1615.0</v>
      </c>
      <c r="P286" s="34" t="s">
        <v>61</v>
      </c>
      <c r="Q286" s="33" t="n">
        <f>1696</f>
        <v>1696.0</v>
      </c>
      <c r="R286" s="34" t="s">
        <v>51</v>
      </c>
      <c r="S286" s="35" t="n">
        <f>1651.32</f>
        <v>1651.32</v>
      </c>
      <c r="T286" s="32" t="n">
        <f>317761</f>
        <v>317761.0</v>
      </c>
      <c r="U286" s="32" t="n">
        <f>130463</f>
        <v>130463.0</v>
      </c>
      <c r="V286" s="32" t="n">
        <f>532010707</f>
        <v>5.32010707E8</v>
      </c>
      <c r="W286" s="32" t="n">
        <f>219126791</f>
        <v>2.19126791E8</v>
      </c>
      <c r="X286" s="36" t="n">
        <f>22</f>
        <v>22.0</v>
      </c>
    </row>
    <row r="287">
      <c r="A287" s="27" t="s">
        <v>42</v>
      </c>
      <c r="B287" s="27" t="s">
        <v>908</v>
      </c>
      <c r="C287" s="27" t="s">
        <v>909</v>
      </c>
      <c r="D287" s="27" t="s">
        <v>910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13700</f>
        <v>13700.0</v>
      </c>
      <c r="L287" s="34" t="s">
        <v>48</v>
      </c>
      <c r="M287" s="33" t="n">
        <f>14995</f>
        <v>14995.0</v>
      </c>
      <c r="N287" s="34" t="s">
        <v>104</v>
      </c>
      <c r="O287" s="33" t="n">
        <f>13580</f>
        <v>13580.0</v>
      </c>
      <c r="P287" s="34" t="s">
        <v>84</v>
      </c>
      <c r="Q287" s="33" t="n">
        <f>14820</f>
        <v>14820.0</v>
      </c>
      <c r="R287" s="34" t="s">
        <v>51</v>
      </c>
      <c r="S287" s="35" t="n">
        <f>14292.95</f>
        <v>14292.95</v>
      </c>
      <c r="T287" s="32" t="n">
        <f>2554</f>
        <v>2554.0</v>
      </c>
      <c r="U287" s="32" t="str">
        <f>"－"</f>
        <v>－</v>
      </c>
      <c r="V287" s="32" t="n">
        <f>37230330</f>
        <v>3.723033E7</v>
      </c>
      <c r="W287" s="32" t="str">
        <f>"－"</f>
        <v>－</v>
      </c>
      <c r="X287" s="36" t="n">
        <f>22</f>
        <v>22.0</v>
      </c>
    </row>
    <row r="288">
      <c r="A288" s="27" t="s">
        <v>42</v>
      </c>
      <c r="B288" s="27" t="s">
        <v>911</v>
      </c>
      <c r="C288" s="27" t="s">
        <v>912</v>
      </c>
      <c r="D288" s="27" t="s">
        <v>913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1925</f>
        <v>1925.0</v>
      </c>
      <c r="L288" s="34" t="s">
        <v>48</v>
      </c>
      <c r="M288" s="33" t="n">
        <f>2019</f>
        <v>2019.0</v>
      </c>
      <c r="N288" s="34" t="s">
        <v>51</v>
      </c>
      <c r="O288" s="33" t="n">
        <f>1912</f>
        <v>1912.0</v>
      </c>
      <c r="P288" s="34" t="s">
        <v>48</v>
      </c>
      <c r="Q288" s="33" t="n">
        <f>2013</f>
        <v>2013.0</v>
      </c>
      <c r="R288" s="34" t="s">
        <v>51</v>
      </c>
      <c r="S288" s="35" t="n">
        <f>1952</f>
        <v>1952.0</v>
      </c>
      <c r="T288" s="32" t="n">
        <f>79603</f>
        <v>79603.0</v>
      </c>
      <c r="U288" s="32" t="n">
        <f>29393</f>
        <v>29393.0</v>
      </c>
      <c r="V288" s="32" t="n">
        <f>155659018</f>
        <v>1.55659018E8</v>
      </c>
      <c r="W288" s="32" t="n">
        <f>57213524</f>
        <v>5.7213524E7</v>
      </c>
      <c r="X288" s="36" t="n">
        <f>22</f>
        <v>22.0</v>
      </c>
    </row>
    <row r="289">
      <c r="A289" s="27" t="s">
        <v>42</v>
      </c>
      <c r="B289" s="27" t="s">
        <v>914</v>
      </c>
      <c r="C289" s="27" t="s">
        <v>915</v>
      </c>
      <c r="D289" s="27" t="s">
        <v>916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1620</f>
        <v>1620.0</v>
      </c>
      <c r="L289" s="34" t="s">
        <v>48</v>
      </c>
      <c r="M289" s="33" t="n">
        <f>1787.5</f>
        <v>1787.5</v>
      </c>
      <c r="N289" s="34" t="s">
        <v>104</v>
      </c>
      <c r="O289" s="33" t="n">
        <f>1600</f>
        <v>1600.0</v>
      </c>
      <c r="P289" s="34" t="s">
        <v>180</v>
      </c>
      <c r="Q289" s="33" t="n">
        <f>1750</f>
        <v>1750.0</v>
      </c>
      <c r="R289" s="34" t="s">
        <v>51</v>
      </c>
      <c r="S289" s="35" t="n">
        <f>1691.95</f>
        <v>1691.95</v>
      </c>
      <c r="T289" s="32" t="n">
        <f>473020</f>
        <v>473020.0</v>
      </c>
      <c r="U289" s="32" t="str">
        <f>"－"</f>
        <v>－</v>
      </c>
      <c r="V289" s="32" t="n">
        <f>799006020</f>
        <v>7.9900602E8</v>
      </c>
      <c r="W289" s="32" t="str">
        <f>"－"</f>
        <v>－</v>
      </c>
      <c r="X289" s="36" t="n">
        <f>22</f>
        <v>22.0</v>
      </c>
    </row>
    <row r="290">
      <c r="A290" s="27" t="s">
        <v>42</v>
      </c>
      <c r="B290" s="27" t="s">
        <v>917</v>
      </c>
      <c r="C290" s="27" t="s">
        <v>918</v>
      </c>
      <c r="D290" s="27" t="s">
        <v>919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785.4</f>
        <v>785.4</v>
      </c>
      <c r="L290" s="34" t="s">
        <v>48</v>
      </c>
      <c r="M290" s="33" t="n">
        <f>788</f>
        <v>788.0</v>
      </c>
      <c r="N290" s="34" t="s">
        <v>118</v>
      </c>
      <c r="O290" s="33" t="n">
        <f>778.6</f>
        <v>778.6</v>
      </c>
      <c r="P290" s="34" t="s">
        <v>69</v>
      </c>
      <c r="Q290" s="33" t="n">
        <f>783.3</f>
        <v>783.3</v>
      </c>
      <c r="R290" s="34" t="s">
        <v>51</v>
      </c>
      <c r="S290" s="35" t="n">
        <f>783.04</f>
        <v>783.04</v>
      </c>
      <c r="T290" s="32" t="n">
        <f>587090</f>
        <v>587090.0</v>
      </c>
      <c r="U290" s="32" t="n">
        <f>473430</f>
        <v>473430.0</v>
      </c>
      <c r="V290" s="32" t="n">
        <f>459670119</f>
        <v>4.59670119E8</v>
      </c>
      <c r="W290" s="32" t="n">
        <f>370752769</f>
        <v>3.70752769E8</v>
      </c>
      <c r="X290" s="36" t="n">
        <f>22</f>
        <v>22.0</v>
      </c>
    </row>
    <row r="291">
      <c r="A291" s="27" t="s">
        <v>42</v>
      </c>
      <c r="B291" s="27" t="s">
        <v>920</v>
      </c>
      <c r="C291" s="27" t="s">
        <v>921</v>
      </c>
      <c r="D291" s="27" t="s">
        <v>922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1854.5</f>
        <v>1854.5</v>
      </c>
      <c r="L291" s="34" t="s">
        <v>48</v>
      </c>
      <c r="M291" s="33" t="n">
        <f>1924</f>
        <v>1924.0</v>
      </c>
      <c r="N291" s="34" t="s">
        <v>51</v>
      </c>
      <c r="O291" s="33" t="n">
        <f>1826</f>
        <v>1826.0</v>
      </c>
      <c r="P291" s="34" t="s">
        <v>50</v>
      </c>
      <c r="Q291" s="33" t="n">
        <f>1910</f>
        <v>1910.0</v>
      </c>
      <c r="R291" s="34" t="s">
        <v>51</v>
      </c>
      <c r="S291" s="35" t="n">
        <f>1866.57</f>
        <v>1866.57</v>
      </c>
      <c r="T291" s="32" t="n">
        <f>1423260</f>
        <v>1423260.0</v>
      </c>
      <c r="U291" s="32" t="n">
        <f>1361860</f>
        <v>1361860.0</v>
      </c>
      <c r="V291" s="32" t="n">
        <f>2673649899</f>
        <v>2.673649899E9</v>
      </c>
      <c r="W291" s="32" t="n">
        <f>2559111734</f>
        <v>2.559111734E9</v>
      </c>
      <c r="X291" s="36" t="n">
        <f>22</f>
        <v>22.0</v>
      </c>
    </row>
    <row r="292">
      <c r="A292" s="27" t="s">
        <v>42</v>
      </c>
      <c r="B292" s="27" t="s">
        <v>923</v>
      </c>
      <c r="C292" s="27" t="s">
        <v>924</v>
      </c>
      <c r="D292" s="27" t="s">
        <v>925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1837.5</f>
        <v>1837.5</v>
      </c>
      <c r="L292" s="34" t="s">
        <v>48</v>
      </c>
      <c r="M292" s="33" t="n">
        <f>1914.5</f>
        <v>1914.5</v>
      </c>
      <c r="N292" s="34" t="s">
        <v>104</v>
      </c>
      <c r="O292" s="33" t="n">
        <f>1821.5</f>
        <v>1821.5</v>
      </c>
      <c r="P292" s="34" t="s">
        <v>50</v>
      </c>
      <c r="Q292" s="33" t="n">
        <f>1907</f>
        <v>1907.0</v>
      </c>
      <c r="R292" s="34" t="s">
        <v>51</v>
      </c>
      <c r="S292" s="35" t="n">
        <f>1857</f>
        <v>1857.0</v>
      </c>
      <c r="T292" s="32" t="n">
        <f>1965210</f>
        <v>1965210.0</v>
      </c>
      <c r="U292" s="32" t="n">
        <f>1527990</f>
        <v>1527990.0</v>
      </c>
      <c r="V292" s="32" t="n">
        <f>3663137403</f>
        <v>3.663137403E9</v>
      </c>
      <c r="W292" s="32" t="n">
        <f>2853683378</f>
        <v>2.853683378E9</v>
      </c>
      <c r="X292" s="36" t="n">
        <f>22</f>
        <v>22.0</v>
      </c>
    </row>
    <row r="293">
      <c r="A293" s="27" t="s">
        <v>42</v>
      </c>
      <c r="B293" s="27" t="s">
        <v>926</v>
      </c>
      <c r="C293" s="27" t="s">
        <v>927</v>
      </c>
      <c r="D293" s="27" t="s">
        <v>928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2873</f>
        <v>2873.0</v>
      </c>
      <c r="L293" s="34" t="s">
        <v>48</v>
      </c>
      <c r="M293" s="33" t="n">
        <f>3013</f>
        <v>3013.0</v>
      </c>
      <c r="N293" s="34" t="s">
        <v>49</v>
      </c>
      <c r="O293" s="33" t="n">
        <f>2831</f>
        <v>2831.0</v>
      </c>
      <c r="P293" s="34" t="s">
        <v>50</v>
      </c>
      <c r="Q293" s="33" t="n">
        <f>2974.5</f>
        <v>2974.5</v>
      </c>
      <c r="R293" s="34" t="s">
        <v>51</v>
      </c>
      <c r="S293" s="35" t="n">
        <f>2889.55</f>
        <v>2889.55</v>
      </c>
      <c r="T293" s="32" t="n">
        <f>937610</f>
        <v>937610.0</v>
      </c>
      <c r="U293" s="32" t="n">
        <f>337060</f>
        <v>337060.0</v>
      </c>
      <c r="V293" s="32" t="n">
        <f>2711244635</f>
        <v>2.711244635E9</v>
      </c>
      <c r="W293" s="32" t="n">
        <f>981546660</f>
        <v>9.8154666E8</v>
      </c>
      <c r="X293" s="36" t="n">
        <f>22</f>
        <v>22.0</v>
      </c>
    </row>
    <row r="294">
      <c r="A294" s="27" t="s">
        <v>42</v>
      </c>
      <c r="B294" s="27" t="s">
        <v>929</v>
      </c>
      <c r="C294" s="27" t="s">
        <v>930</v>
      </c>
      <c r="D294" s="27" t="s">
        <v>931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25600</f>
        <v>25600.0</v>
      </c>
      <c r="L294" s="34" t="s">
        <v>48</v>
      </c>
      <c r="M294" s="33" t="n">
        <f>27530</f>
        <v>27530.0</v>
      </c>
      <c r="N294" s="34" t="s">
        <v>51</v>
      </c>
      <c r="O294" s="33" t="n">
        <f>25520</f>
        <v>25520.0</v>
      </c>
      <c r="P294" s="34" t="s">
        <v>48</v>
      </c>
      <c r="Q294" s="33" t="n">
        <f>27445</f>
        <v>27445.0</v>
      </c>
      <c r="R294" s="34" t="s">
        <v>51</v>
      </c>
      <c r="S294" s="35" t="n">
        <f>26528.86</f>
        <v>26528.86</v>
      </c>
      <c r="T294" s="32" t="n">
        <f>609606</f>
        <v>609606.0</v>
      </c>
      <c r="U294" s="32" t="n">
        <f>140449</f>
        <v>140449.0</v>
      </c>
      <c r="V294" s="32" t="n">
        <f>16204108849</f>
        <v>1.6204108849E10</v>
      </c>
      <c r="W294" s="32" t="n">
        <f>3717883284</f>
        <v>3.717883284E9</v>
      </c>
      <c r="X294" s="36" t="n">
        <f>22</f>
        <v>22.0</v>
      </c>
    </row>
    <row r="295">
      <c r="A295" s="27" t="s">
        <v>42</v>
      </c>
      <c r="B295" s="27" t="s">
        <v>932</v>
      </c>
      <c r="C295" s="27" t="s">
        <v>933</v>
      </c>
      <c r="D295" s="27" t="s">
        <v>934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21640</f>
        <v>21640.0</v>
      </c>
      <c r="L295" s="34" t="s">
        <v>48</v>
      </c>
      <c r="M295" s="33" t="n">
        <f>22990</f>
        <v>22990.0</v>
      </c>
      <c r="N295" s="34" t="s">
        <v>51</v>
      </c>
      <c r="O295" s="33" t="n">
        <f>21510</f>
        <v>21510.0</v>
      </c>
      <c r="P295" s="34" t="s">
        <v>61</v>
      </c>
      <c r="Q295" s="33" t="n">
        <f>22945</f>
        <v>22945.0</v>
      </c>
      <c r="R295" s="34" t="s">
        <v>51</v>
      </c>
      <c r="S295" s="35" t="n">
        <f>22328.64</f>
        <v>22328.64</v>
      </c>
      <c r="T295" s="32" t="n">
        <f>302663</f>
        <v>302663.0</v>
      </c>
      <c r="U295" s="32" t="n">
        <f>2663</f>
        <v>2663.0</v>
      </c>
      <c r="V295" s="32" t="n">
        <f>6763852618</f>
        <v>6.763852618E9</v>
      </c>
      <c r="W295" s="32" t="n">
        <f>59332668</f>
        <v>5.9332668E7</v>
      </c>
      <c r="X295" s="36" t="n">
        <f>22</f>
        <v>22.0</v>
      </c>
    </row>
    <row r="296">
      <c r="A296" s="27" t="s">
        <v>42</v>
      </c>
      <c r="B296" s="27" t="s">
        <v>935</v>
      </c>
      <c r="C296" s="27" t="s">
        <v>936</v>
      </c>
      <c r="D296" s="27" t="s">
        <v>937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38100</f>
        <v>38100.0</v>
      </c>
      <c r="L296" s="34" t="s">
        <v>48</v>
      </c>
      <c r="M296" s="33" t="n">
        <f>39260</f>
        <v>39260.0</v>
      </c>
      <c r="N296" s="34" t="s">
        <v>49</v>
      </c>
      <c r="O296" s="33" t="n">
        <f>37540</f>
        <v>37540.0</v>
      </c>
      <c r="P296" s="34" t="s">
        <v>69</v>
      </c>
      <c r="Q296" s="33" t="n">
        <f>39260</f>
        <v>39260.0</v>
      </c>
      <c r="R296" s="34" t="s">
        <v>49</v>
      </c>
      <c r="S296" s="35" t="n">
        <f>38304</f>
        <v>38304.0</v>
      </c>
      <c r="T296" s="32" t="n">
        <f>44</f>
        <v>44.0</v>
      </c>
      <c r="U296" s="32" t="str">
        <f>"－"</f>
        <v>－</v>
      </c>
      <c r="V296" s="32" t="n">
        <f>1699600</f>
        <v>1699600.0</v>
      </c>
      <c r="W296" s="32" t="str">
        <f>"－"</f>
        <v>－</v>
      </c>
      <c r="X296" s="36" t="n">
        <f>5</f>
        <v>5.0</v>
      </c>
    </row>
    <row r="297">
      <c r="A297" s="27" t="s">
        <v>42</v>
      </c>
      <c r="B297" s="27" t="s">
        <v>938</v>
      </c>
      <c r="C297" s="27" t="s">
        <v>939</v>
      </c>
      <c r="D297" s="27" t="s">
        <v>940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2247</f>
        <v>2247.0</v>
      </c>
      <c r="L297" s="34" t="s">
        <v>48</v>
      </c>
      <c r="M297" s="33" t="n">
        <f>2249</f>
        <v>2249.0</v>
      </c>
      <c r="N297" s="34" t="s">
        <v>180</v>
      </c>
      <c r="O297" s="33" t="n">
        <f>2169</f>
        <v>2169.0</v>
      </c>
      <c r="P297" s="34" t="s">
        <v>88</v>
      </c>
      <c r="Q297" s="33" t="n">
        <f>2193</f>
        <v>2193.0</v>
      </c>
      <c r="R297" s="34" t="s">
        <v>51</v>
      </c>
      <c r="S297" s="35" t="n">
        <f>2202.5</f>
        <v>2202.5</v>
      </c>
      <c r="T297" s="32" t="n">
        <f>2558964</f>
        <v>2558964.0</v>
      </c>
      <c r="U297" s="32" t="n">
        <f>2282185</f>
        <v>2282185.0</v>
      </c>
      <c r="V297" s="32" t="n">
        <f>5585896150</f>
        <v>5.58589615E9</v>
      </c>
      <c r="W297" s="32" t="n">
        <f>4978449301</f>
        <v>4.978449301E9</v>
      </c>
      <c r="X297" s="36" t="n">
        <f>22</f>
        <v>22.0</v>
      </c>
    </row>
    <row r="298">
      <c r="A298" s="27" t="s">
        <v>42</v>
      </c>
      <c r="B298" s="27" t="s">
        <v>941</v>
      </c>
      <c r="C298" s="27" t="s">
        <v>942</v>
      </c>
      <c r="D298" s="27" t="s">
        <v>943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3206</f>
        <v>3206.0</v>
      </c>
      <c r="L298" s="34" t="s">
        <v>48</v>
      </c>
      <c r="M298" s="33" t="n">
        <f>3270</f>
        <v>3270.0</v>
      </c>
      <c r="N298" s="34" t="s">
        <v>70</v>
      </c>
      <c r="O298" s="33" t="n">
        <f>3168</f>
        <v>3168.0</v>
      </c>
      <c r="P298" s="34" t="s">
        <v>69</v>
      </c>
      <c r="Q298" s="33" t="n">
        <f>3215</f>
        <v>3215.0</v>
      </c>
      <c r="R298" s="34" t="s">
        <v>51</v>
      </c>
      <c r="S298" s="35" t="n">
        <f>3215.59</f>
        <v>3215.59</v>
      </c>
      <c r="T298" s="32" t="n">
        <f>913074</f>
        <v>913074.0</v>
      </c>
      <c r="U298" s="32" t="n">
        <f>512736</f>
        <v>512736.0</v>
      </c>
      <c r="V298" s="32" t="n">
        <f>2941454379</f>
        <v>2.941454379E9</v>
      </c>
      <c r="W298" s="32" t="n">
        <f>1649882530</f>
        <v>1.64988253E9</v>
      </c>
      <c r="X298" s="36" t="n">
        <f>22</f>
        <v>22.0</v>
      </c>
    </row>
    <row r="299">
      <c r="A299" s="27" t="s">
        <v>42</v>
      </c>
      <c r="B299" s="27" t="s">
        <v>944</v>
      </c>
      <c r="C299" s="27" t="s">
        <v>945</v>
      </c>
      <c r="D299" s="27" t="s">
        <v>946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342</f>
        <v>342.0</v>
      </c>
      <c r="L299" s="34" t="s">
        <v>48</v>
      </c>
      <c r="M299" s="33" t="n">
        <f>353.9</f>
        <v>353.9</v>
      </c>
      <c r="N299" s="34" t="s">
        <v>51</v>
      </c>
      <c r="O299" s="33" t="n">
        <f>341.5</f>
        <v>341.5</v>
      </c>
      <c r="P299" s="34" t="s">
        <v>48</v>
      </c>
      <c r="Q299" s="33" t="n">
        <f>353.8</f>
        <v>353.8</v>
      </c>
      <c r="R299" s="34" t="s">
        <v>51</v>
      </c>
      <c r="S299" s="35" t="n">
        <f>346.75</f>
        <v>346.75</v>
      </c>
      <c r="T299" s="32" t="n">
        <f>33306560</f>
        <v>3.330656E7</v>
      </c>
      <c r="U299" s="32" t="n">
        <f>16698910</f>
        <v>1.669891E7</v>
      </c>
      <c r="V299" s="32" t="n">
        <f>11569949900</f>
        <v>1.15699499E10</v>
      </c>
      <c r="W299" s="32" t="n">
        <f>5806703068</f>
        <v>5.806703068E9</v>
      </c>
      <c r="X299" s="36" t="n">
        <f>22</f>
        <v>22.0</v>
      </c>
    </row>
    <row r="300">
      <c r="A300" s="27" t="s">
        <v>42</v>
      </c>
      <c r="B300" s="27" t="s">
        <v>947</v>
      </c>
      <c r="C300" s="27" t="s">
        <v>948</v>
      </c>
      <c r="D300" s="27" t="s">
        <v>949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2773</f>
        <v>2773.0</v>
      </c>
      <c r="L300" s="34" t="s">
        <v>48</v>
      </c>
      <c r="M300" s="33" t="n">
        <f>2954</f>
        <v>2954.0</v>
      </c>
      <c r="N300" s="34" t="s">
        <v>51</v>
      </c>
      <c r="O300" s="33" t="n">
        <f>2750</f>
        <v>2750.0</v>
      </c>
      <c r="P300" s="34" t="s">
        <v>61</v>
      </c>
      <c r="Q300" s="33" t="n">
        <f>2950</f>
        <v>2950.0</v>
      </c>
      <c r="R300" s="34" t="s">
        <v>51</v>
      </c>
      <c r="S300" s="35" t="n">
        <f>2853.41</f>
        <v>2853.41</v>
      </c>
      <c r="T300" s="32" t="n">
        <f>608976</f>
        <v>608976.0</v>
      </c>
      <c r="U300" s="32" t="n">
        <f>183528</f>
        <v>183528.0</v>
      </c>
      <c r="V300" s="32" t="n">
        <f>1754805694</f>
        <v>1.754805694E9</v>
      </c>
      <c r="W300" s="32" t="n">
        <f>536831272</f>
        <v>5.36831272E8</v>
      </c>
      <c r="X300" s="36" t="n">
        <f>22</f>
        <v>22.0</v>
      </c>
    </row>
    <row r="301">
      <c r="A301" s="27" t="s">
        <v>42</v>
      </c>
      <c r="B301" s="27" t="s">
        <v>950</v>
      </c>
      <c r="C301" s="27" t="s">
        <v>951</v>
      </c>
      <c r="D301" s="27" t="s">
        <v>952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853</f>
        <v>853.0</v>
      </c>
      <c r="L301" s="34" t="s">
        <v>48</v>
      </c>
      <c r="M301" s="33" t="n">
        <f>885</f>
        <v>885.0</v>
      </c>
      <c r="N301" s="34" t="s">
        <v>104</v>
      </c>
      <c r="O301" s="33" t="n">
        <f>847</f>
        <v>847.0</v>
      </c>
      <c r="P301" s="34" t="s">
        <v>65</v>
      </c>
      <c r="Q301" s="33" t="n">
        <f>883</f>
        <v>883.0</v>
      </c>
      <c r="R301" s="34" t="s">
        <v>51</v>
      </c>
      <c r="S301" s="35" t="n">
        <f>861.95</f>
        <v>861.95</v>
      </c>
      <c r="T301" s="32" t="n">
        <f>218012</f>
        <v>218012.0</v>
      </c>
      <c r="U301" s="32" t="n">
        <f>12010</f>
        <v>12010.0</v>
      </c>
      <c r="V301" s="32" t="n">
        <f>187626591</f>
        <v>1.87626591E8</v>
      </c>
      <c r="W301" s="32" t="n">
        <f>10294730</f>
        <v>1.029473E7</v>
      </c>
      <c r="X301" s="36" t="n">
        <f>22</f>
        <v>22.0</v>
      </c>
    </row>
    <row r="302">
      <c r="A302" s="27" t="s">
        <v>42</v>
      </c>
      <c r="B302" s="27" t="s">
        <v>953</v>
      </c>
      <c r="C302" s="27" t="s">
        <v>954</v>
      </c>
      <c r="D302" s="27" t="s">
        <v>955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1008</f>
        <v>1008.0</v>
      </c>
      <c r="L302" s="34" t="s">
        <v>48</v>
      </c>
      <c r="M302" s="33" t="n">
        <f>1050</f>
        <v>1050.0</v>
      </c>
      <c r="N302" s="34" t="s">
        <v>104</v>
      </c>
      <c r="O302" s="33" t="n">
        <f>1000</f>
        <v>1000.0</v>
      </c>
      <c r="P302" s="34" t="s">
        <v>50</v>
      </c>
      <c r="Q302" s="33" t="n">
        <f>1049</f>
        <v>1049.0</v>
      </c>
      <c r="R302" s="34" t="s">
        <v>51</v>
      </c>
      <c r="S302" s="35" t="n">
        <f>1019.82</f>
        <v>1019.82</v>
      </c>
      <c r="T302" s="32" t="n">
        <f>287296</f>
        <v>287296.0</v>
      </c>
      <c r="U302" s="32" t="n">
        <f>265737</f>
        <v>265737.0</v>
      </c>
      <c r="V302" s="32" t="n">
        <f>294857518</f>
        <v>2.94857518E8</v>
      </c>
      <c r="W302" s="32" t="n">
        <f>272785405</f>
        <v>2.72785405E8</v>
      </c>
      <c r="X302" s="36" t="n">
        <f>22</f>
        <v>22.0</v>
      </c>
    </row>
    <row r="303">
      <c r="A303" s="27" t="s">
        <v>42</v>
      </c>
      <c r="B303" s="27" t="s">
        <v>956</v>
      </c>
      <c r="C303" s="27" t="s">
        <v>957</v>
      </c>
      <c r="D303" s="27" t="s">
        <v>958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383.2</f>
        <v>383.2</v>
      </c>
      <c r="L303" s="34" t="s">
        <v>48</v>
      </c>
      <c r="M303" s="33" t="n">
        <f>400</f>
        <v>400.0</v>
      </c>
      <c r="N303" s="34" t="s">
        <v>70</v>
      </c>
      <c r="O303" s="33" t="n">
        <f>369.4</f>
        <v>369.4</v>
      </c>
      <c r="P303" s="34" t="s">
        <v>212</v>
      </c>
      <c r="Q303" s="33" t="n">
        <f>390</f>
        <v>390.0</v>
      </c>
      <c r="R303" s="34" t="s">
        <v>80</v>
      </c>
      <c r="S303" s="35" t="n">
        <f>384.39</f>
        <v>384.39</v>
      </c>
      <c r="T303" s="32" t="n">
        <f>2500</f>
        <v>2500.0</v>
      </c>
      <c r="U303" s="32" t="str">
        <f>"－"</f>
        <v>－</v>
      </c>
      <c r="V303" s="32" t="n">
        <f>971159</f>
        <v>971159.0</v>
      </c>
      <c r="W303" s="32" t="str">
        <f>"－"</f>
        <v>－</v>
      </c>
      <c r="X303" s="36" t="n">
        <f>8</f>
        <v>8.0</v>
      </c>
    </row>
    <row r="304">
      <c r="A304" s="27" t="s">
        <v>42</v>
      </c>
      <c r="B304" s="27" t="s">
        <v>959</v>
      </c>
      <c r="C304" s="27" t="s">
        <v>960</v>
      </c>
      <c r="D304" s="27" t="s">
        <v>961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5602</f>
        <v>5602.0</v>
      </c>
      <c r="L304" s="34" t="s">
        <v>48</v>
      </c>
      <c r="M304" s="33" t="n">
        <f>6054</f>
        <v>6054.0</v>
      </c>
      <c r="N304" s="34" t="s">
        <v>51</v>
      </c>
      <c r="O304" s="33" t="n">
        <f>5545</f>
        <v>5545.0</v>
      </c>
      <c r="P304" s="34" t="s">
        <v>61</v>
      </c>
      <c r="Q304" s="33" t="n">
        <f>6040</f>
        <v>6040.0</v>
      </c>
      <c r="R304" s="34" t="s">
        <v>51</v>
      </c>
      <c r="S304" s="35" t="n">
        <f>5787.59</f>
        <v>5787.59</v>
      </c>
      <c r="T304" s="32" t="n">
        <f>921098</f>
        <v>921098.0</v>
      </c>
      <c r="U304" s="32" t="n">
        <f>430010</f>
        <v>430010.0</v>
      </c>
      <c r="V304" s="32" t="n">
        <f>5375727067</f>
        <v>5.375727067E9</v>
      </c>
      <c r="W304" s="32" t="n">
        <f>2529456598</f>
        <v>2.529456598E9</v>
      </c>
      <c r="X304" s="36" t="n">
        <f>22</f>
        <v>22.0</v>
      </c>
    </row>
    <row r="305">
      <c r="A305" s="27" t="s">
        <v>42</v>
      </c>
      <c r="B305" s="27" t="s">
        <v>962</v>
      </c>
      <c r="C305" s="27" t="s">
        <v>963</v>
      </c>
      <c r="D305" s="27" t="s">
        <v>964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3441</f>
        <v>3441.0</v>
      </c>
      <c r="L305" s="34" t="s">
        <v>48</v>
      </c>
      <c r="M305" s="33" t="n">
        <f>3589</f>
        <v>3589.0</v>
      </c>
      <c r="N305" s="34" t="s">
        <v>51</v>
      </c>
      <c r="O305" s="33" t="n">
        <f>3409</f>
        <v>3409.0</v>
      </c>
      <c r="P305" s="34" t="s">
        <v>167</v>
      </c>
      <c r="Q305" s="33" t="n">
        <f>3589</f>
        <v>3589.0</v>
      </c>
      <c r="R305" s="34" t="s">
        <v>51</v>
      </c>
      <c r="S305" s="35" t="n">
        <f>3478.05</f>
        <v>3478.05</v>
      </c>
      <c r="T305" s="32" t="n">
        <f>2264415</f>
        <v>2264415.0</v>
      </c>
      <c r="U305" s="32" t="n">
        <f>1668400</f>
        <v>1668400.0</v>
      </c>
      <c r="V305" s="32" t="n">
        <f>7846224260</f>
        <v>7.84622426E9</v>
      </c>
      <c r="W305" s="32" t="n">
        <f>5765680224</f>
        <v>5.765680224E9</v>
      </c>
      <c r="X305" s="36" t="n">
        <f>22</f>
        <v>22.0</v>
      </c>
    </row>
    <row r="306">
      <c r="A306" s="27" t="s">
        <v>42</v>
      </c>
      <c r="B306" s="27" t="s">
        <v>965</v>
      </c>
      <c r="C306" s="27" t="s">
        <v>966</v>
      </c>
      <c r="D306" s="27" t="s">
        <v>967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2341</f>
        <v>2341.0</v>
      </c>
      <c r="L306" s="34" t="s">
        <v>48</v>
      </c>
      <c r="M306" s="33" t="n">
        <f>2391</f>
        <v>2391.0</v>
      </c>
      <c r="N306" s="34" t="s">
        <v>70</v>
      </c>
      <c r="O306" s="33" t="n">
        <f>2228</f>
        <v>2228.0</v>
      </c>
      <c r="P306" s="34" t="s">
        <v>65</v>
      </c>
      <c r="Q306" s="33" t="n">
        <f>2346</f>
        <v>2346.0</v>
      </c>
      <c r="R306" s="34" t="s">
        <v>51</v>
      </c>
      <c r="S306" s="35" t="n">
        <f>2282.9</f>
        <v>2282.9</v>
      </c>
      <c r="T306" s="32" t="n">
        <f>1027</f>
        <v>1027.0</v>
      </c>
      <c r="U306" s="32" t="str">
        <f>"－"</f>
        <v>－</v>
      </c>
      <c r="V306" s="32" t="n">
        <f>2358981</f>
        <v>2358981.0</v>
      </c>
      <c r="W306" s="32" t="str">
        <f>"－"</f>
        <v>－</v>
      </c>
      <c r="X306" s="36" t="n">
        <f>21</f>
        <v>21.0</v>
      </c>
    </row>
    <row r="307">
      <c r="A307" s="27" t="s">
        <v>42</v>
      </c>
      <c r="B307" s="27" t="s">
        <v>968</v>
      </c>
      <c r="C307" s="27" t="s">
        <v>969</v>
      </c>
      <c r="D307" s="27" t="s">
        <v>970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2090</f>
        <v>2090.0</v>
      </c>
      <c r="L307" s="34" t="s">
        <v>48</v>
      </c>
      <c r="M307" s="33" t="n">
        <f>2130</f>
        <v>2130.0</v>
      </c>
      <c r="N307" s="34" t="s">
        <v>104</v>
      </c>
      <c r="O307" s="33" t="n">
        <f>2027</f>
        <v>2027.0</v>
      </c>
      <c r="P307" s="34" t="s">
        <v>50</v>
      </c>
      <c r="Q307" s="33" t="n">
        <f>2119</f>
        <v>2119.0</v>
      </c>
      <c r="R307" s="34" t="s">
        <v>51</v>
      </c>
      <c r="S307" s="35" t="n">
        <f>2081.86</f>
        <v>2081.86</v>
      </c>
      <c r="T307" s="32" t="n">
        <f>84883</f>
        <v>84883.0</v>
      </c>
      <c r="U307" s="32" t="str">
        <f>"－"</f>
        <v>－</v>
      </c>
      <c r="V307" s="32" t="n">
        <f>174137242</f>
        <v>1.74137242E8</v>
      </c>
      <c r="W307" s="32" t="str">
        <f>"－"</f>
        <v>－</v>
      </c>
      <c r="X307" s="36" t="n">
        <f>22</f>
        <v>22.0</v>
      </c>
    </row>
    <row r="308">
      <c r="A308" s="27" t="s">
        <v>42</v>
      </c>
      <c r="B308" s="27" t="s">
        <v>971</v>
      </c>
      <c r="C308" s="27" t="s">
        <v>972</v>
      </c>
      <c r="D308" s="27" t="s">
        <v>973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334.3</f>
        <v>334.3</v>
      </c>
      <c r="L308" s="34" t="s">
        <v>48</v>
      </c>
      <c r="M308" s="33" t="n">
        <f>344.5</f>
        <v>344.5</v>
      </c>
      <c r="N308" s="34" t="s">
        <v>51</v>
      </c>
      <c r="O308" s="33" t="n">
        <f>332.5</f>
        <v>332.5</v>
      </c>
      <c r="P308" s="34" t="s">
        <v>61</v>
      </c>
      <c r="Q308" s="33" t="n">
        <f>343.3</f>
        <v>343.3</v>
      </c>
      <c r="R308" s="34" t="s">
        <v>51</v>
      </c>
      <c r="S308" s="35" t="n">
        <f>339.15</f>
        <v>339.15</v>
      </c>
      <c r="T308" s="32" t="n">
        <f>3370870</f>
        <v>3370870.0</v>
      </c>
      <c r="U308" s="32" t="n">
        <f>2302060</f>
        <v>2302060.0</v>
      </c>
      <c r="V308" s="32" t="n">
        <f>1150535926</f>
        <v>1.150535926E9</v>
      </c>
      <c r="W308" s="32" t="n">
        <f>787637799</f>
        <v>7.87637799E8</v>
      </c>
      <c r="X308" s="36" t="n">
        <f>22</f>
        <v>22.0</v>
      </c>
    </row>
    <row r="309">
      <c r="A309" s="27" t="s">
        <v>42</v>
      </c>
      <c r="B309" s="27" t="s">
        <v>974</v>
      </c>
      <c r="C309" s="27" t="s">
        <v>975</v>
      </c>
      <c r="D309" s="27" t="s">
        <v>976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1113</f>
        <v>1113.0</v>
      </c>
      <c r="L309" s="34" t="s">
        <v>48</v>
      </c>
      <c r="M309" s="33" t="n">
        <f>1119</f>
        <v>1119.0</v>
      </c>
      <c r="N309" s="34" t="s">
        <v>48</v>
      </c>
      <c r="O309" s="33" t="n">
        <f>1060</f>
        <v>1060.0</v>
      </c>
      <c r="P309" s="34" t="s">
        <v>111</v>
      </c>
      <c r="Q309" s="33" t="n">
        <f>1090</f>
        <v>1090.0</v>
      </c>
      <c r="R309" s="34" t="s">
        <v>51</v>
      </c>
      <c r="S309" s="35" t="n">
        <f>1085.64</f>
        <v>1085.64</v>
      </c>
      <c r="T309" s="32" t="n">
        <f>17697260</f>
        <v>1.769726E7</v>
      </c>
      <c r="U309" s="32" t="n">
        <f>12862</f>
        <v>12862.0</v>
      </c>
      <c r="V309" s="32" t="n">
        <f>19245909622</f>
        <v>1.9245909622E10</v>
      </c>
      <c r="W309" s="32" t="n">
        <f>13672447</f>
        <v>1.3672447E7</v>
      </c>
      <c r="X309" s="36" t="n">
        <f>22</f>
        <v>22.0</v>
      </c>
    </row>
    <row r="310">
      <c r="A310" s="27" t="s">
        <v>42</v>
      </c>
      <c r="B310" s="27" t="s">
        <v>977</v>
      </c>
      <c r="C310" s="27" t="s">
        <v>978</v>
      </c>
      <c r="D310" s="27" t="s">
        <v>979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1727</f>
        <v>1727.0</v>
      </c>
      <c r="L310" s="34" t="s">
        <v>48</v>
      </c>
      <c r="M310" s="33" t="n">
        <f>1740</f>
        <v>1740.0</v>
      </c>
      <c r="N310" s="34" t="s">
        <v>167</v>
      </c>
      <c r="O310" s="33" t="n">
        <f>1652</f>
        <v>1652.0</v>
      </c>
      <c r="P310" s="34" t="s">
        <v>205</v>
      </c>
      <c r="Q310" s="33" t="n">
        <f>1693</f>
        <v>1693.0</v>
      </c>
      <c r="R310" s="34" t="s">
        <v>51</v>
      </c>
      <c r="S310" s="35" t="n">
        <f>1717.68</f>
        <v>1717.68</v>
      </c>
      <c r="T310" s="32" t="n">
        <f>41699</f>
        <v>41699.0</v>
      </c>
      <c r="U310" s="32" t="n">
        <f>8</f>
        <v>8.0</v>
      </c>
      <c r="V310" s="32" t="n">
        <f>71311584</f>
        <v>7.1311584E7</v>
      </c>
      <c r="W310" s="32" t="n">
        <f>13584</f>
        <v>13584.0</v>
      </c>
      <c r="X310" s="36" t="n">
        <f>22</f>
        <v>22.0</v>
      </c>
    </row>
    <row r="311">
      <c r="A311" s="27" t="s">
        <v>42</v>
      </c>
      <c r="B311" s="27" t="s">
        <v>980</v>
      </c>
      <c r="C311" s="27" t="s">
        <v>981</v>
      </c>
      <c r="D311" s="27" t="s">
        <v>982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2045</f>
        <v>2045.0</v>
      </c>
      <c r="L311" s="34" t="s">
        <v>61</v>
      </c>
      <c r="M311" s="33" t="n">
        <f>2070</f>
        <v>2070.0</v>
      </c>
      <c r="N311" s="34" t="s">
        <v>80</v>
      </c>
      <c r="O311" s="33" t="n">
        <f>2036</f>
        <v>2036.0</v>
      </c>
      <c r="P311" s="34" t="s">
        <v>80</v>
      </c>
      <c r="Q311" s="33" t="n">
        <f>2055</f>
        <v>2055.0</v>
      </c>
      <c r="R311" s="34" t="s">
        <v>51</v>
      </c>
      <c r="S311" s="35" t="n">
        <f>2053.14</f>
        <v>2053.14</v>
      </c>
      <c r="T311" s="32" t="n">
        <f>1525496</f>
        <v>1525496.0</v>
      </c>
      <c r="U311" s="32" t="n">
        <f>1506000</f>
        <v>1506000.0</v>
      </c>
      <c r="V311" s="32" t="n">
        <f>3124856830</f>
        <v>3.12485683E9</v>
      </c>
      <c r="W311" s="32" t="n">
        <f>3084739800</f>
        <v>3.0847398E9</v>
      </c>
      <c r="X311" s="36" t="n">
        <f>21</f>
        <v>21.0</v>
      </c>
    </row>
    <row r="312">
      <c r="A312" s="27" t="s">
        <v>42</v>
      </c>
      <c r="B312" s="27" t="s">
        <v>983</v>
      </c>
      <c r="C312" s="27" t="s">
        <v>984</v>
      </c>
      <c r="D312" s="27" t="s">
        <v>985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4053</f>
        <v>4053.0</v>
      </c>
      <c r="L312" s="34" t="s">
        <v>48</v>
      </c>
      <c r="M312" s="33" t="n">
        <f>4226</f>
        <v>4226.0</v>
      </c>
      <c r="N312" s="34" t="s">
        <v>49</v>
      </c>
      <c r="O312" s="33" t="n">
        <f>3948</f>
        <v>3948.0</v>
      </c>
      <c r="P312" s="34" t="s">
        <v>65</v>
      </c>
      <c r="Q312" s="33" t="n">
        <f>4140</f>
        <v>4140.0</v>
      </c>
      <c r="R312" s="34" t="s">
        <v>51</v>
      </c>
      <c r="S312" s="35" t="n">
        <f>4034.41</f>
        <v>4034.41</v>
      </c>
      <c r="T312" s="32" t="n">
        <f>570420</f>
        <v>570420.0</v>
      </c>
      <c r="U312" s="32" t="n">
        <f>155188</f>
        <v>155188.0</v>
      </c>
      <c r="V312" s="32" t="n">
        <f>2297583946</f>
        <v>2.297583946E9</v>
      </c>
      <c r="W312" s="32" t="n">
        <f>621024672</f>
        <v>6.21024672E8</v>
      </c>
      <c r="X312" s="36" t="n">
        <f>22</f>
        <v>22.0</v>
      </c>
    </row>
    <row r="313">
      <c r="A313" s="27" t="s">
        <v>42</v>
      </c>
      <c r="B313" s="27" t="s">
        <v>986</v>
      </c>
      <c r="C313" s="27" t="s">
        <v>987</v>
      </c>
      <c r="D313" s="27" t="s">
        <v>988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2859</f>
        <v>2859.0</v>
      </c>
      <c r="L313" s="34" t="s">
        <v>48</v>
      </c>
      <c r="M313" s="33" t="n">
        <f>2990</f>
        <v>2990.0</v>
      </c>
      <c r="N313" s="34" t="s">
        <v>49</v>
      </c>
      <c r="O313" s="33" t="n">
        <f>2806</f>
        <v>2806.0</v>
      </c>
      <c r="P313" s="34" t="s">
        <v>50</v>
      </c>
      <c r="Q313" s="33" t="n">
        <f>2950</f>
        <v>2950.0</v>
      </c>
      <c r="R313" s="34" t="s">
        <v>51</v>
      </c>
      <c r="S313" s="35" t="n">
        <f>2864.41</f>
        <v>2864.41</v>
      </c>
      <c r="T313" s="32" t="n">
        <f>1116954</f>
        <v>1116954.0</v>
      </c>
      <c r="U313" s="32" t="n">
        <f>798988</f>
        <v>798988.0</v>
      </c>
      <c r="V313" s="32" t="n">
        <f>3245228816</f>
        <v>3.245228816E9</v>
      </c>
      <c r="W313" s="32" t="n">
        <f>2336040659</f>
        <v>2.336040659E9</v>
      </c>
      <c r="X313" s="36" t="n">
        <f>22</f>
        <v>22.0</v>
      </c>
    </row>
    <row r="314">
      <c r="A314" s="27" t="s">
        <v>42</v>
      </c>
      <c r="B314" s="27" t="s">
        <v>989</v>
      </c>
      <c r="C314" s="27" t="s">
        <v>990</v>
      </c>
      <c r="D314" s="27" t="s">
        <v>991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2894</f>
        <v>2894.0</v>
      </c>
      <c r="L314" s="34" t="s">
        <v>48</v>
      </c>
      <c r="M314" s="33" t="n">
        <f>2926</f>
        <v>2926.0</v>
      </c>
      <c r="N314" s="34" t="s">
        <v>61</v>
      </c>
      <c r="O314" s="33" t="n">
        <f>2711</f>
        <v>2711.0</v>
      </c>
      <c r="P314" s="34" t="s">
        <v>69</v>
      </c>
      <c r="Q314" s="33" t="n">
        <f>2824</f>
        <v>2824.0</v>
      </c>
      <c r="R314" s="34" t="s">
        <v>51</v>
      </c>
      <c r="S314" s="35" t="n">
        <f>2787.77</f>
        <v>2787.77</v>
      </c>
      <c r="T314" s="32" t="n">
        <f>54563</f>
        <v>54563.0</v>
      </c>
      <c r="U314" s="32" t="str">
        <f>"－"</f>
        <v>－</v>
      </c>
      <c r="V314" s="32" t="n">
        <f>151990492</f>
        <v>1.51990492E8</v>
      </c>
      <c r="W314" s="32" t="str">
        <f>"－"</f>
        <v>－</v>
      </c>
      <c r="X314" s="36" t="n">
        <f>22</f>
        <v>22.0</v>
      </c>
    </row>
    <row r="315">
      <c r="A315" s="27" t="s">
        <v>42</v>
      </c>
      <c r="B315" s="27" t="s">
        <v>992</v>
      </c>
      <c r="C315" s="27" t="s">
        <v>993</v>
      </c>
      <c r="D315" s="27" t="s">
        <v>994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1555</f>
        <v>1555.0</v>
      </c>
      <c r="L315" s="34" t="s">
        <v>48</v>
      </c>
      <c r="M315" s="33" t="n">
        <f>1577</f>
        <v>1577.0</v>
      </c>
      <c r="N315" s="34" t="s">
        <v>167</v>
      </c>
      <c r="O315" s="33" t="n">
        <f>1485</f>
        <v>1485.0</v>
      </c>
      <c r="P315" s="34" t="s">
        <v>246</v>
      </c>
      <c r="Q315" s="33" t="n">
        <f>1504</f>
        <v>1504.0</v>
      </c>
      <c r="R315" s="34" t="s">
        <v>51</v>
      </c>
      <c r="S315" s="35" t="n">
        <f>1520.09</f>
        <v>1520.09</v>
      </c>
      <c r="T315" s="32" t="n">
        <f>43634</f>
        <v>43634.0</v>
      </c>
      <c r="U315" s="32" t="str">
        <f>"－"</f>
        <v>－</v>
      </c>
      <c r="V315" s="32" t="n">
        <f>66033513</f>
        <v>6.6033513E7</v>
      </c>
      <c r="W315" s="32" t="str">
        <f>"－"</f>
        <v>－</v>
      </c>
      <c r="X315" s="36" t="n">
        <f>22</f>
        <v>22.0</v>
      </c>
    </row>
    <row r="316">
      <c r="A316" s="27" t="s">
        <v>42</v>
      </c>
      <c r="B316" s="27" t="s">
        <v>995</v>
      </c>
      <c r="C316" s="27" t="s">
        <v>996</v>
      </c>
      <c r="D316" s="27" t="s">
        <v>997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1957</f>
        <v>1957.0</v>
      </c>
      <c r="L316" s="34" t="s">
        <v>48</v>
      </c>
      <c r="M316" s="33" t="n">
        <f>2150</f>
        <v>2150.0</v>
      </c>
      <c r="N316" s="34" t="s">
        <v>51</v>
      </c>
      <c r="O316" s="33" t="n">
        <f>1908</f>
        <v>1908.0</v>
      </c>
      <c r="P316" s="34" t="s">
        <v>61</v>
      </c>
      <c r="Q316" s="33" t="n">
        <f>2105</f>
        <v>2105.0</v>
      </c>
      <c r="R316" s="34" t="s">
        <v>51</v>
      </c>
      <c r="S316" s="35" t="n">
        <f>2003.91</f>
        <v>2003.91</v>
      </c>
      <c r="T316" s="32" t="n">
        <f>117784</f>
        <v>117784.0</v>
      </c>
      <c r="U316" s="32" t="str">
        <f>"－"</f>
        <v>－</v>
      </c>
      <c r="V316" s="32" t="n">
        <f>237522585</f>
        <v>2.37522585E8</v>
      </c>
      <c r="W316" s="32" t="str">
        <f>"－"</f>
        <v>－</v>
      </c>
      <c r="X316" s="36" t="n">
        <f>22</f>
        <v>22.0</v>
      </c>
    </row>
    <row r="317">
      <c r="A317" s="27" t="s">
        <v>42</v>
      </c>
      <c r="B317" s="27" t="s">
        <v>998</v>
      </c>
      <c r="C317" s="27" t="s">
        <v>999</v>
      </c>
      <c r="D317" s="27" t="s">
        <v>1000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2868</f>
        <v>2868.0</v>
      </c>
      <c r="L317" s="34" t="s">
        <v>48</v>
      </c>
      <c r="M317" s="33" t="n">
        <f>3218</f>
        <v>3218.0</v>
      </c>
      <c r="N317" s="34" t="s">
        <v>104</v>
      </c>
      <c r="O317" s="33" t="n">
        <f>2821</f>
        <v>2821.0</v>
      </c>
      <c r="P317" s="34" t="s">
        <v>84</v>
      </c>
      <c r="Q317" s="33" t="n">
        <f>3130</f>
        <v>3130.0</v>
      </c>
      <c r="R317" s="34" t="s">
        <v>51</v>
      </c>
      <c r="S317" s="35" t="n">
        <f>3017.32</f>
        <v>3017.32</v>
      </c>
      <c r="T317" s="32" t="n">
        <f>37281</f>
        <v>37281.0</v>
      </c>
      <c r="U317" s="32" t="str">
        <f>"－"</f>
        <v>－</v>
      </c>
      <c r="V317" s="32" t="n">
        <f>116289391</f>
        <v>1.16289391E8</v>
      </c>
      <c r="W317" s="32" t="str">
        <f>"－"</f>
        <v>－</v>
      </c>
      <c r="X317" s="36" t="n">
        <f>22</f>
        <v>22.0</v>
      </c>
    </row>
    <row r="318">
      <c r="A318" s="27" t="s">
        <v>42</v>
      </c>
      <c r="B318" s="27" t="s">
        <v>1001</v>
      </c>
      <c r="C318" s="27" t="s">
        <v>1002</v>
      </c>
      <c r="D318" s="27" t="s">
        <v>1003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13475</f>
        <v>13475.0</v>
      </c>
      <c r="L318" s="34" t="s">
        <v>48</v>
      </c>
      <c r="M318" s="33" t="n">
        <f>13985</f>
        <v>13985.0</v>
      </c>
      <c r="N318" s="34" t="s">
        <v>51</v>
      </c>
      <c r="O318" s="33" t="n">
        <f>13400</f>
        <v>13400.0</v>
      </c>
      <c r="P318" s="34" t="s">
        <v>84</v>
      </c>
      <c r="Q318" s="33" t="n">
        <f>13975</f>
        <v>13975.0</v>
      </c>
      <c r="R318" s="34" t="s">
        <v>51</v>
      </c>
      <c r="S318" s="35" t="n">
        <f>13662.27</f>
        <v>13662.27</v>
      </c>
      <c r="T318" s="32" t="n">
        <f>453922</f>
        <v>453922.0</v>
      </c>
      <c r="U318" s="32" t="n">
        <f>331322</f>
        <v>331322.0</v>
      </c>
      <c r="V318" s="32" t="n">
        <f>6173897523</f>
        <v>6.173897523E9</v>
      </c>
      <c r="W318" s="32" t="n">
        <f>4500187493</f>
        <v>4.500187493E9</v>
      </c>
      <c r="X318" s="36" t="n">
        <f>22</f>
        <v>22.0</v>
      </c>
    </row>
    <row r="319">
      <c r="A319" s="27" t="s">
        <v>42</v>
      </c>
      <c r="B319" s="27" t="s">
        <v>1004</v>
      </c>
      <c r="C319" s="27" t="s">
        <v>1005</v>
      </c>
      <c r="D319" s="27" t="s">
        <v>1006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23340</f>
        <v>23340.0</v>
      </c>
      <c r="L319" s="34" t="s">
        <v>48</v>
      </c>
      <c r="M319" s="33" t="n">
        <f>25265</f>
        <v>25265.0</v>
      </c>
      <c r="N319" s="34" t="s">
        <v>51</v>
      </c>
      <c r="O319" s="33" t="n">
        <f>23105</f>
        <v>23105.0</v>
      </c>
      <c r="P319" s="34" t="s">
        <v>61</v>
      </c>
      <c r="Q319" s="33" t="n">
        <f>25200</f>
        <v>25200.0</v>
      </c>
      <c r="R319" s="34" t="s">
        <v>51</v>
      </c>
      <c r="S319" s="35" t="n">
        <f>24152.5</f>
        <v>24152.5</v>
      </c>
      <c r="T319" s="32" t="n">
        <f>207237</f>
        <v>207237.0</v>
      </c>
      <c r="U319" s="32" t="n">
        <f>21</f>
        <v>21.0</v>
      </c>
      <c r="V319" s="32" t="n">
        <f>5039019315</f>
        <v>5.039019315E9</v>
      </c>
      <c r="W319" s="32" t="n">
        <f>514220</f>
        <v>514220.0</v>
      </c>
      <c r="X319" s="36" t="n">
        <f>22</f>
        <v>22.0</v>
      </c>
    </row>
    <row r="320">
      <c r="A320" s="27" t="s">
        <v>42</v>
      </c>
      <c r="B320" s="27" t="s">
        <v>1007</v>
      </c>
      <c r="C320" s="27" t="s">
        <v>1008</v>
      </c>
      <c r="D320" s="27" t="s">
        <v>1009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14340</f>
        <v>14340.0</v>
      </c>
      <c r="L320" s="34" t="s">
        <v>48</v>
      </c>
      <c r="M320" s="33" t="n">
        <f>14950</f>
        <v>14950.0</v>
      </c>
      <c r="N320" s="34" t="s">
        <v>51</v>
      </c>
      <c r="O320" s="33" t="n">
        <f>14225</f>
        <v>14225.0</v>
      </c>
      <c r="P320" s="34" t="s">
        <v>61</v>
      </c>
      <c r="Q320" s="33" t="n">
        <f>14935</f>
        <v>14935.0</v>
      </c>
      <c r="R320" s="34" t="s">
        <v>51</v>
      </c>
      <c r="S320" s="35" t="n">
        <f>14520</f>
        <v>14520.0</v>
      </c>
      <c r="T320" s="32" t="n">
        <f>497972</f>
        <v>497972.0</v>
      </c>
      <c r="U320" s="32" t="n">
        <f>382437</f>
        <v>382437.0</v>
      </c>
      <c r="V320" s="32" t="n">
        <f>7306464780</f>
        <v>7.30646478E9</v>
      </c>
      <c r="W320" s="32" t="n">
        <f>5619847435</f>
        <v>5.619847435E9</v>
      </c>
      <c r="X320" s="36" t="n">
        <f>22</f>
        <v>22.0</v>
      </c>
    </row>
    <row r="321">
      <c r="A321" s="27" t="s">
        <v>42</v>
      </c>
      <c r="B321" s="27" t="s">
        <v>1010</v>
      </c>
      <c r="C321" s="27" t="s">
        <v>1011</v>
      </c>
      <c r="D321" s="27" t="s">
        <v>1012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411.9</f>
        <v>411.9</v>
      </c>
      <c r="L321" s="34" t="s">
        <v>48</v>
      </c>
      <c r="M321" s="33" t="n">
        <f>442.9</f>
        <v>442.9</v>
      </c>
      <c r="N321" s="34" t="s">
        <v>51</v>
      </c>
      <c r="O321" s="33" t="n">
        <f>410.5</f>
        <v>410.5</v>
      </c>
      <c r="P321" s="34" t="s">
        <v>61</v>
      </c>
      <c r="Q321" s="33" t="n">
        <f>441.5</f>
        <v>441.5</v>
      </c>
      <c r="R321" s="34" t="s">
        <v>51</v>
      </c>
      <c r="S321" s="35" t="n">
        <f>426.79</f>
        <v>426.79</v>
      </c>
      <c r="T321" s="32" t="n">
        <f>6339310</f>
        <v>6339310.0</v>
      </c>
      <c r="U321" s="32" t="n">
        <f>2393050</f>
        <v>2393050.0</v>
      </c>
      <c r="V321" s="32" t="n">
        <f>2708585656</f>
        <v>2.708585656E9</v>
      </c>
      <c r="W321" s="32" t="n">
        <f>1031712856</f>
        <v>1.031712856E9</v>
      </c>
      <c r="X321" s="36" t="n">
        <f>22</f>
        <v>22.0</v>
      </c>
    </row>
    <row r="322">
      <c r="A322" s="27" t="s">
        <v>42</v>
      </c>
      <c r="B322" s="27" t="s">
        <v>1013</v>
      </c>
      <c r="C322" s="27" t="s">
        <v>1014</v>
      </c>
      <c r="D322" s="27" t="s">
        <v>1015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2666.5</f>
        <v>2666.5</v>
      </c>
      <c r="L322" s="34" t="s">
        <v>48</v>
      </c>
      <c r="M322" s="33" t="n">
        <f>2780.5</f>
        <v>2780.5</v>
      </c>
      <c r="N322" s="34" t="s">
        <v>70</v>
      </c>
      <c r="O322" s="33" t="n">
        <f>2661.5</f>
        <v>2661.5</v>
      </c>
      <c r="P322" s="34" t="s">
        <v>48</v>
      </c>
      <c r="Q322" s="33" t="n">
        <f>2757</f>
        <v>2757.0</v>
      </c>
      <c r="R322" s="34" t="s">
        <v>51</v>
      </c>
      <c r="S322" s="35" t="n">
        <f>2702.7</f>
        <v>2702.7</v>
      </c>
      <c r="T322" s="32" t="n">
        <f>3379910</f>
        <v>3379910.0</v>
      </c>
      <c r="U322" s="32" t="n">
        <f>2622060</f>
        <v>2622060.0</v>
      </c>
      <c r="V322" s="32" t="n">
        <f>9180963257</f>
        <v>9.180963257E9</v>
      </c>
      <c r="W322" s="32" t="n">
        <f>7122518112</f>
        <v>7.122518112E9</v>
      </c>
      <c r="X322" s="36" t="n">
        <f>22</f>
        <v>22.0</v>
      </c>
    </row>
    <row r="323">
      <c r="A323" s="27" t="s">
        <v>42</v>
      </c>
      <c r="B323" s="27" t="s">
        <v>1016</v>
      </c>
      <c r="C323" s="27" t="s">
        <v>1017</v>
      </c>
      <c r="D323" s="27" t="s">
        <v>1018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4162</f>
        <v>4162.0</v>
      </c>
      <c r="L323" s="34" t="s">
        <v>48</v>
      </c>
      <c r="M323" s="33" t="n">
        <f>4490</f>
        <v>4490.0</v>
      </c>
      <c r="N323" s="34" t="s">
        <v>51</v>
      </c>
      <c r="O323" s="33" t="n">
        <f>4149</f>
        <v>4149.0</v>
      </c>
      <c r="P323" s="34" t="s">
        <v>48</v>
      </c>
      <c r="Q323" s="33" t="n">
        <f>4478</f>
        <v>4478.0</v>
      </c>
      <c r="R323" s="34" t="s">
        <v>51</v>
      </c>
      <c r="S323" s="35" t="n">
        <f>4321.7</f>
        <v>4321.7</v>
      </c>
      <c r="T323" s="32" t="n">
        <f>160960</f>
        <v>160960.0</v>
      </c>
      <c r="U323" s="32" t="n">
        <f>80</f>
        <v>80.0</v>
      </c>
      <c r="V323" s="32" t="n">
        <f>692075085</f>
        <v>6.92075085E8</v>
      </c>
      <c r="W323" s="32" t="n">
        <f>351505</f>
        <v>351505.0</v>
      </c>
      <c r="X323" s="36" t="n">
        <f>20</f>
        <v>20.0</v>
      </c>
    </row>
    <row r="324">
      <c r="A324" s="27" t="s">
        <v>42</v>
      </c>
      <c r="B324" s="27" t="s">
        <v>1019</v>
      </c>
      <c r="C324" s="27" t="s">
        <v>1020</v>
      </c>
      <c r="D324" s="27" t="s">
        <v>1021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3457</f>
        <v>3457.0</v>
      </c>
      <c r="L324" s="34" t="s">
        <v>48</v>
      </c>
      <c r="M324" s="33" t="n">
        <f>3650</f>
        <v>3650.0</v>
      </c>
      <c r="N324" s="34" t="s">
        <v>246</v>
      </c>
      <c r="O324" s="33" t="n">
        <f>3361</f>
        <v>3361.0</v>
      </c>
      <c r="P324" s="34" t="s">
        <v>65</v>
      </c>
      <c r="Q324" s="33" t="n">
        <f>3512</f>
        <v>3512.0</v>
      </c>
      <c r="R324" s="34" t="s">
        <v>51</v>
      </c>
      <c r="S324" s="35" t="n">
        <f>3444.5</f>
        <v>3444.5</v>
      </c>
      <c r="T324" s="32" t="n">
        <f>9378</f>
        <v>9378.0</v>
      </c>
      <c r="U324" s="32" t="n">
        <f>30</f>
        <v>30.0</v>
      </c>
      <c r="V324" s="32" t="n">
        <f>32299914</f>
        <v>3.2299914E7</v>
      </c>
      <c r="W324" s="32" t="n">
        <f>101595</f>
        <v>101595.0</v>
      </c>
      <c r="X324" s="36" t="n">
        <f>22</f>
        <v>22.0</v>
      </c>
    </row>
    <row r="325">
      <c r="A325" s="27" t="s">
        <v>42</v>
      </c>
      <c r="B325" s="27" t="s">
        <v>1022</v>
      </c>
      <c r="C325" s="27" t="s">
        <v>1023</v>
      </c>
      <c r="D325" s="27" t="s">
        <v>1024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1475</f>
        <v>1475.0</v>
      </c>
      <c r="L325" s="34" t="s">
        <v>48</v>
      </c>
      <c r="M325" s="33" t="n">
        <f>1557</f>
        <v>1557.0</v>
      </c>
      <c r="N325" s="34" t="s">
        <v>49</v>
      </c>
      <c r="O325" s="33" t="n">
        <f>1453</f>
        <v>1453.0</v>
      </c>
      <c r="P325" s="34" t="s">
        <v>61</v>
      </c>
      <c r="Q325" s="33" t="n">
        <f>1554</f>
        <v>1554.0</v>
      </c>
      <c r="R325" s="34" t="s">
        <v>51</v>
      </c>
      <c r="S325" s="35" t="n">
        <f>1510.95</f>
        <v>1510.95</v>
      </c>
      <c r="T325" s="32" t="n">
        <f>9452</f>
        <v>9452.0</v>
      </c>
      <c r="U325" s="32" t="n">
        <f>230</f>
        <v>230.0</v>
      </c>
      <c r="V325" s="32" t="n">
        <f>14280859</f>
        <v>1.4280859E7</v>
      </c>
      <c r="W325" s="32" t="n">
        <f>350197</f>
        <v>350197.0</v>
      </c>
      <c r="X325" s="36" t="n">
        <f>22</f>
        <v>22.0</v>
      </c>
    </row>
    <row r="326">
      <c r="A326" s="27" t="s">
        <v>42</v>
      </c>
      <c r="B326" s="27" t="s">
        <v>1025</v>
      </c>
      <c r="C326" s="27" t="s">
        <v>1026</v>
      </c>
      <c r="D326" s="27" t="s">
        <v>1027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2172</f>
        <v>2172.0</v>
      </c>
      <c r="L326" s="34" t="s">
        <v>48</v>
      </c>
      <c r="M326" s="33" t="n">
        <f>2210</f>
        <v>2210.0</v>
      </c>
      <c r="N326" s="34" t="s">
        <v>49</v>
      </c>
      <c r="O326" s="33" t="n">
        <f>2063</f>
        <v>2063.0</v>
      </c>
      <c r="P326" s="34" t="s">
        <v>250</v>
      </c>
      <c r="Q326" s="33" t="n">
        <f>2168</f>
        <v>2168.0</v>
      </c>
      <c r="R326" s="34" t="s">
        <v>51</v>
      </c>
      <c r="S326" s="35" t="n">
        <f>2118.77</f>
        <v>2118.77</v>
      </c>
      <c r="T326" s="32" t="n">
        <f>132382</f>
        <v>132382.0</v>
      </c>
      <c r="U326" s="32" t="n">
        <f>730</f>
        <v>730.0</v>
      </c>
      <c r="V326" s="32" t="n">
        <f>282449201</f>
        <v>2.82449201E8</v>
      </c>
      <c r="W326" s="32" t="n">
        <f>1604817</f>
        <v>1604817.0</v>
      </c>
      <c r="X326" s="36" t="n">
        <f>22</f>
        <v>22.0</v>
      </c>
    </row>
    <row r="327">
      <c r="A327" s="27" t="s">
        <v>42</v>
      </c>
      <c r="B327" s="27" t="s">
        <v>1028</v>
      </c>
      <c r="C327" s="27" t="s">
        <v>1029</v>
      </c>
      <c r="D327" s="27" t="s">
        <v>1030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1589</f>
        <v>1589.0</v>
      </c>
      <c r="L327" s="34" t="s">
        <v>48</v>
      </c>
      <c r="M327" s="33" t="n">
        <f>1597</f>
        <v>1597.0</v>
      </c>
      <c r="N327" s="34" t="s">
        <v>61</v>
      </c>
      <c r="O327" s="33" t="n">
        <f>1518</f>
        <v>1518.0</v>
      </c>
      <c r="P327" s="34" t="s">
        <v>212</v>
      </c>
      <c r="Q327" s="33" t="n">
        <f>1583</f>
        <v>1583.0</v>
      </c>
      <c r="R327" s="34" t="s">
        <v>51</v>
      </c>
      <c r="S327" s="35" t="n">
        <f>1551.59</f>
        <v>1551.59</v>
      </c>
      <c r="T327" s="32" t="n">
        <f>9271</f>
        <v>9271.0</v>
      </c>
      <c r="U327" s="32" t="n">
        <f>20</f>
        <v>20.0</v>
      </c>
      <c r="V327" s="32" t="n">
        <f>14219852</f>
        <v>1.4219852E7</v>
      </c>
      <c r="W327" s="32" t="n">
        <f>31158</f>
        <v>31158.0</v>
      </c>
      <c r="X327" s="36" t="n">
        <f>22</f>
        <v>22.0</v>
      </c>
    </row>
    <row r="328">
      <c r="A328" s="27" t="s">
        <v>42</v>
      </c>
      <c r="B328" s="27" t="s">
        <v>1031</v>
      </c>
      <c r="C328" s="27" t="s">
        <v>1032</v>
      </c>
      <c r="D328" s="27" t="s">
        <v>1033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4730</f>
        <v>4730.0</v>
      </c>
      <c r="L328" s="34" t="s">
        <v>48</v>
      </c>
      <c r="M328" s="33" t="n">
        <f>4730</f>
        <v>4730.0</v>
      </c>
      <c r="N328" s="34" t="s">
        <v>48</v>
      </c>
      <c r="O328" s="33" t="n">
        <f>4236</f>
        <v>4236.0</v>
      </c>
      <c r="P328" s="34" t="s">
        <v>69</v>
      </c>
      <c r="Q328" s="33" t="n">
        <f>4344</f>
        <v>4344.0</v>
      </c>
      <c r="R328" s="34" t="s">
        <v>51</v>
      </c>
      <c r="S328" s="35" t="n">
        <f>4384</f>
        <v>4384.0</v>
      </c>
      <c r="T328" s="32" t="n">
        <f>550713</f>
        <v>550713.0</v>
      </c>
      <c r="U328" s="32" t="n">
        <f>61405</f>
        <v>61405.0</v>
      </c>
      <c r="V328" s="32" t="n">
        <f>2418187211</f>
        <v>2.418187211E9</v>
      </c>
      <c r="W328" s="32" t="n">
        <f>268989613</f>
        <v>2.68989613E8</v>
      </c>
      <c r="X328" s="36" t="n">
        <f>22</f>
        <v>22.0</v>
      </c>
    </row>
    <row r="329">
      <c r="A329" s="27" t="s">
        <v>42</v>
      </c>
      <c r="B329" s="27" t="s">
        <v>1034</v>
      </c>
      <c r="C329" s="27" t="s">
        <v>1035</v>
      </c>
      <c r="D329" s="27" t="s">
        <v>1036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3364</f>
        <v>3364.0</v>
      </c>
      <c r="L329" s="34" t="s">
        <v>48</v>
      </c>
      <c r="M329" s="33" t="n">
        <f>3497</f>
        <v>3497.0</v>
      </c>
      <c r="N329" s="34" t="s">
        <v>49</v>
      </c>
      <c r="O329" s="33" t="n">
        <f>3254</f>
        <v>3254.0</v>
      </c>
      <c r="P329" s="34" t="s">
        <v>212</v>
      </c>
      <c r="Q329" s="33" t="n">
        <f>3379</f>
        <v>3379.0</v>
      </c>
      <c r="R329" s="34" t="s">
        <v>51</v>
      </c>
      <c r="S329" s="35" t="n">
        <f>3327.55</f>
        <v>3327.55</v>
      </c>
      <c r="T329" s="32" t="n">
        <f>118664</f>
        <v>118664.0</v>
      </c>
      <c r="U329" s="32" t="n">
        <f>6896</f>
        <v>6896.0</v>
      </c>
      <c r="V329" s="32" t="n">
        <f>396004658</f>
        <v>3.96004658E8</v>
      </c>
      <c r="W329" s="32" t="n">
        <f>23046604</f>
        <v>2.3046604E7</v>
      </c>
      <c r="X329" s="36" t="n">
        <f>22</f>
        <v>22.0</v>
      </c>
    </row>
    <row r="330">
      <c r="A330" s="27" t="s">
        <v>42</v>
      </c>
      <c r="B330" s="27" t="s">
        <v>1037</v>
      </c>
      <c r="C330" s="27" t="s">
        <v>1038</v>
      </c>
      <c r="D330" s="27" t="s">
        <v>1039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37950</f>
        <v>37950.0</v>
      </c>
      <c r="L330" s="34" t="s">
        <v>48</v>
      </c>
      <c r="M330" s="33" t="n">
        <f>39330</f>
        <v>39330.0</v>
      </c>
      <c r="N330" s="34" t="s">
        <v>49</v>
      </c>
      <c r="O330" s="33" t="n">
        <f>37330</f>
        <v>37330.0</v>
      </c>
      <c r="P330" s="34" t="s">
        <v>65</v>
      </c>
      <c r="Q330" s="33" t="n">
        <f>38850</f>
        <v>38850.0</v>
      </c>
      <c r="R330" s="34" t="s">
        <v>51</v>
      </c>
      <c r="S330" s="35" t="n">
        <f>38200.77</f>
        <v>38200.77</v>
      </c>
      <c r="T330" s="32" t="n">
        <f>31</f>
        <v>31.0</v>
      </c>
      <c r="U330" s="32" t="str">
        <f>"－"</f>
        <v>－</v>
      </c>
      <c r="V330" s="32" t="n">
        <f>1182050</f>
        <v>1182050.0</v>
      </c>
      <c r="W330" s="32" t="str">
        <f>"－"</f>
        <v>－</v>
      </c>
      <c r="X330" s="36" t="n">
        <f>13</f>
        <v>13.0</v>
      </c>
    </row>
    <row r="331">
      <c r="A331" s="27" t="s">
        <v>42</v>
      </c>
      <c r="B331" s="27" t="s">
        <v>1040</v>
      </c>
      <c r="C331" s="27" t="s">
        <v>1041</v>
      </c>
      <c r="D331" s="27" t="s">
        <v>1042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2936</f>
        <v>2936.0</v>
      </c>
      <c r="L331" s="34" t="s">
        <v>61</v>
      </c>
      <c r="M331" s="33" t="n">
        <f>3107</f>
        <v>3107.0</v>
      </c>
      <c r="N331" s="34" t="s">
        <v>49</v>
      </c>
      <c r="O331" s="33" t="n">
        <f>2912</f>
        <v>2912.0</v>
      </c>
      <c r="P331" s="34" t="s">
        <v>65</v>
      </c>
      <c r="Q331" s="33" t="n">
        <f>3063</f>
        <v>3063.0</v>
      </c>
      <c r="R331" s="34" t="s">
        <v>51</v>
      </c>
      <c r="S331" s="35" t="n">
        <f>2994.92</f>
        <v>2994.92</v>
      </c>
      <c r="T331" s="32" t="n">
        <f>3760</f>
        <v>3760.0</v>
      </c>
      <c r="U331" s="32" t="n">
        <f>1</f>
        <v>1.0</v>
      </c>
      <c r="V331" s="32" t="n">
        <f>11290852</f>
        <v>1.1290852E7</v>
      </c>
      <c r="W331" s="32" t="n">
        <f>3041</f>
        <v>3041.0</v>
      </c>
      <c r="X331" s="36" t="n">
        <f>13</f>
        <v>13.0</v>
      </c>
    </row>
    <row r="332">
      <c r="A332" s="27" t="s">
        <v>42</v>
      </c>
      <c r="B332" s="27" t="s">
        <v>1043</v>
      </c>
      <c r="C332" s="27" t="s">
        <v>1044</v>
      </c>
      <c r="D332" s="27" t="s">
        <v>1045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1936</f>
        <v>1936.0</v>
      </c>
      <c r="L332" s="34" t="s">
        <v>48</v>
      </c>
      <c r="M332" s="33" t="n">
        <f>2031</f>
        <v>2031.0</v>
      </c>
      <c r="N332" s="34" t="s">
        <v>69</v>
      </c>
      <c r="O332" s="33" t="n">
        <f>1877</f>
        <v>1877.0</v>
      </c>
      <c r="P332" s="34" t="s">
        <v>61</v>
      </c>
      <c r="Q332" s="33" t="n">
        <f>1951</f>
        <v>1951.0</v>
      </c>
      <c r="R332" s="34" t="s">
        <v>51</v>
      </c>
      <c r="S332" s="35" t="n">
        <f>1953.95</f>
        <v>1953.95</v>
      </c>
      <c r="T332" s="32" t="n">
        <f>20182530</f>
        <v>2.018253E7</v>
      </c>
      <c r="U332" s="32" t="n">
        <f>164495</f>
        <v>164495.0</v>
      </c>
      <c r="V332" s="32" t="n">
        <f>39519752092</f>
        <v>3.9519752092E10</v>
      </c>
      <c r="W332" s="32" t="n">
        <f>323146718</f>
        <v>3.23146718E8</v>
      </c>
      <c r="X332" s="36" t="n">
        <f>22</f>
        <v>22.0</v>
      </c>
    </row>
    <row r="333">
      <c r="A333" s="27" t="s">
        <v>42</v>
      </c>
      <c r="B333" s="27" t="s">
        <v>1046</v>
      </c>
      <c r="C333" s="27" t="s">
        <v>1047</v>
      </c>
      <c r="D333" s="27" t="s">
        <v>1048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2700</f>
        <v>2700.0</v>
      </c>
      <c r="L333" s="34" t="s">
        <v>48</v>
      </c>
      <c r="M333" s="33" t="n">
        <f>2772</f>
        <v>2772.0</v>
      </c>
      <c r="N333" s="34" t="s">
        <v>48</v>
      </c>
      <c r="O333" s="33" t="n">
        <f>2535</f>
        <v>2535.0</v>
      </c>
      <c r="P333" s="34" t="s">
        <v>104</v>
      </c>
      <c r="Q333" s="33" t="n">
        <f>2572</f>
        <v>2572.0</v>
      </c>
      <c r="R333" s="34" t="s">
        <v>51</v>
      </c>
      <c r="S333" s="35" t="n">
        <f>2619.41</f>
        <v>2619.41</v>
      </c>
      <c r="T333" s="32" t="n">
        <f>19572</f>
        <v>19572.0</v>
      </c>
      <c r="U333" s="32" t="str">
        <f>"－"</f>
        <v>－</v>
      </c>
      <c r="V333" s="32" t="n">
        <f>51246070</f>
        <v>5.124607E7</v>
      </c>
      <c r="W333" s="32" t="str">
        <f>"－"</f>
        <v>－</v>
      </c>
      <c r="X333" s="36" t="n">
        <f>22</f>
        <v>22.0</v>
      </c>
    </row>
    <row r="334">
      <c r="A334" s="27" t="s">
        <v>42</v>
      </c>
      <c r="B334" s="27" t="s">
        <v>1049</v>
      </c>
      <c r="C334" s="27" t="s">
        <v>1050</v>
      </c>
      <c r="D334" s="27" t="s">
        <v>1051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1663</f>
        <v>1663.0</v>
      </c>
      <c r="L334" s="34" t="s">
        <v>48</v>
      </c>
      <c r="M334" s="33" t="n">
        <f>1805</f>
        <v>1805.0</v>
      </c>
      <c r="N334" s="34" t="s">
        <v>246</v>
      </c>
      <c r="O334" s="33" t="n">
        <f>1663</f>
        <v>1663.0</v>
      </c>
      <c r="P334" s="34" t="s">
        <v>48</v>
      </c>
      <c r="Q334" s="33" t="n">
        <f>1790</f>
        <v>1790.0</v>
      </c>
      <c r="R334" s="34" t="s">
        <v>51</v>
      </c>
      <c r="S334" s="35" t="n">
        <f>1731.45</f>
        <v>1731.45</v>
      </c>
      <c r="T334" s="32" t="n">
        <f>20961</f>
        <v>20961.0</v>
      </c>
      <c r="U334" s="32" t="n">
        <f>10</f>
        <v>10.0</v>
      </c>
      <c r="V334" s="32" t="n">
        <f>36138273</f>
        <v>3.6138273E7</v>
      </c>
      <c r="W334" s="32" t="n">
        <f>17119</f>
        <v>17119.0</v>
      </c>
      <c r="X334" s="36" t="n">
        <f>22</f>
        <v>22.0</v>
      </c>
    </row>
    <row r="335">
      <c r="A335" s="27" t="s">
        <v>42</v>
      </c>
      <c r="B335" s="27" t="s">
        <v>1052</v>
      </c>
      <c r="C335" s="27" t="s">
        <v>1053</v>
      </c>
      <c r="D335" s="27" t="s">
        <v>1054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10.0</v>
      </c>
      <c r="K335" s="33" t="n">
        <f>5419</f>
        <v>5419.0</v>
      </c>
      <c r="L335" s="34" t="s">
        <v>118</v>
      </c>
      <c r="M335" s="33" t="n">
        <f>5597</f>
        <v>5597.0</v>
      </c>
      <c r="N335" s="34" t="s">
        <v>51</v>
      </c>
      <c r="O335" s="33" t="n">
        <f>5407</f>
        <v>5407.0</v>
      </c>
      <c r="P335" s="34" t="s">
        <v>84</v>
      </c>
      <c r="Q335" s="33" t="n">
        <f>5597</f>
        <v>5597.0</v>
      </c>
      <c r="R335" s="34" t="s">
        <v>51</v>
      </c>
      <c r="S335" s="35" t="n">
        <f>5503.42</f>
        <v>5503.42</v>
      </c>
      <c r="T335" s="32" t="n">
        <f>448540</f>
        <v>448540.0</v>
      </c>
      <c r="U335" s="32" t="n">
        <f>448000</f>
        <v>448000.0</v>
      </c>
      <c r="V335" s="32" t="n">
        <f>2477733950</f>
        <v>2.47773395E9</v>
      </c>
      <c r="W335" s="32" t="n">
        <f>2474752000</f>
        <v>2.474752E9</v>
      </c>
      <c r="X335" s="36" t="n">
        <f>12</f>
        <v>12.0</v>
      </c>
    </row>
    <row r="336">
      <c r="A336" s="27" t="s">
        <v>42</v>
      </c>
      <c r="B336" s="27" t="s">
        <v>1055</v>
      </c>
      <c r="C336" s="27" t="s">
        <v>1056</v>
      </c>
      <c r="D336" s="27" t="s">
        <v>1057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3555</f>
        <v>3555.0</v>
      </c>
      <c r="L336" s="34" t="s">
        <v>48</v>
      </c>
      <c r="M336" s="33" t="n">
        <f>3589</f>
        <v>3589.0</v>
      </c>
      <c r="N336" s="34" t="s">
        <v>250</v>
      </c>
      <c r="O336" s="33" t="n">
        <f>3510</f>
        <v>3510.0</v>
      </c>
      <c r="P336" s="34" t="s">
        <v>69</v>
      </c>
      <c r="Q336" s="33" t="n">
        <f>3542</f>
        <v>3542.0</v>
      </c>
      <c r="R336" s="34" t="s">
        <v>51</v>
      </c>
      <c r="S336" s="35" t="n">
        <f>3537.85</f>
        <v>3537.85</v>
      </c>
      <c r="T336" s="32" t="n">
        <f>91820</f>
        <v>91820.0</v>
      </c>
      <c r="U336" s="32" t="n">
        <f>79010</f>
        <v>79010.0</v>
      </c>
      <c r="V336" s="32" t="n">
        <f>325031160</f>
        <v>3.2503116E8</v>
      </c>
      <c r="W336" s="32" t="n">
        <f>279687400</f>
        <v>2.796874E8</v>
      </c>
      <c r="X336" s="36" t="n">
        <f>20</f>
        <v>20.0</v>
      </c>
    </row>
    <row r="337">
      <c r="A337" s="27" t="s">
        <v>42</v>
      </c>
      <c r="B337" s="27" t="s">
        <v>1058</v>
      </c>
      <c r="C337" s="27" t="s">
        <v>1059</v>
      </c>
      <c r="D337" s="27" t="s">
        <v>1060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609.9</f>
        <v>609.9</v>
      </c>
      <c r="L337" s="34" t="s">
        <v>48</v>
      </c>
      <c r="M337" s="33" t="n">
        <f>610</f>
        <v>610.0</v>
      </c>
      <c r="N337" s="34" t="s">
        <v>61</v>
      </c>
      <c r="O337" s="33" t="n">
        <f>594.5</f>
        <v>594.5</v>
      </c>
      <c r="P337" s="34" t="s">
        <v>69</v>
      </c>
      <c r="Q337" s="33" t="n">
        <f>596.9</f>
        <v>596.9</v>
      </c>
      <c r="R337" s="34" t="s">
        <v>51</v>
      </c>
      <c r="S337" s="35" t="n">
        <f>600.5</f>
        <v>600.5</v>
      </c>
      <c r="T337" s="32" t="n">
        <f>4150</f>
        <v>4150.0</v>
      </c>
      <c r="U337" s="32" t="str">
        <f>"－"</f>
        <v>－</v>
      </c>
      <c r="V337" s="32" t="n">
        <f>2492007</f>
        <v>2492007.0</v>
      </c>
      <c r="W337" s="32" t="str">
        <f>"－"</f>
        <v>－</v>
      </c>
      <c r="X337" s="36" t="n">
        <f>19</f>
        <v>19.0</v>
      </c>
    </row>
    <row r="338">
      <c r="A338" s="27" t="s">
        <v>42</v>
      </c>
      <c r="B338" s="27" t="s">
        <v>1061</v>
      </c>
      <c r="C338" s="27" t="s">
        <v>1062</v>
      </c>
      <c r="D338" s="27" t="s">
        <v>1063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9100</f>
        <v>9100.0</v>
      </c>
      <c r="L338" s="34" t="s">
        <v>48</v>
      </c>
      <c r="M338" s="33" t="n">
        <f>9155</f>
        <v>9155.0</v>
      </c>
      <c r="N338" s="34" t="s">
        <v>330</v>
      </c>
      <c r="O338" s="33" t="n">
        <f>8800</f>
        <v>8800.0</v>
      </c>
      <c r="P338" s="34" t="s">
        <v>61</v>
      </c>
      <c r="Q338" s="33" t="n">
        <f>9030</f>
        <v>9030.0</v>
      </c>
      <c r="R338" s="34" t="s">
        <v>51</v>
      </c>
      <c r="S338" s="35" t="n">
        <f>9006.32</f>
        <v>9006.32</v>
      </c>
      <c r="T338" s="32" t="n">
        <f>5351</f>
        <v>5351.0</v>
      </c>
      <c r="U338" s="32" t="str">
        <f>"－"</f>
        <v>－</v>
      </c>
      <c r="V338" s="32" t="n">
        <f>48156276</f>
        <v>4.8156276E7</v>
      </c>
      <c r="W338" s="32" t="str">
        <f>"－"</f>
        <v>－</v>
      </c>
      <c r="X338" s="36" t="n">
        <f>22</f>
        <v>22.0</v>
      </c>
    </row>
    <row r="339">
      <c r="A339" s="27" t="s">
        <v>42</v>
      </c>
      <c r="B339" s="27" t="s">
        <v>1064</v>
      </c>
      <c r="C339" s="27" t="s">
        <v>1065</v>
      </c>
      <c r="D339" s="27" t="s">
        <v>1066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1047</f>
        <v>1047.0</v>
      </c>
      <c r="L339" s="34" t="s">
        <v>48</v>
      </c>
      <c r="M339" s="33" t="n">
        <f>1106</f>
        <v>1106.0</v>
      </c>
      <c r="N339" s="34" t="s">
        <v>69</v>
      </c>
      <c r="O339" s="33" t="n">
        <f>1013</f>
        <v>1013.0</v>
      </c>
      <c r="P339" s="34" t="s">
        <v>61</v>
      </c>
      <c r="Q339" s="33" t="n">
        <f>1049</f>
        <v>1049.0</v>
      </c>
      <c r="R339" s="34" t="s">
        <v>51</v>
      </c>
      <c r="S339" s="35" t="n">
        <f>1061</f>
        <v>1061.0</v>
      </c>
      <c r="T339" s="32" t="n">
        <f>567426</f>
        <v>567426.0</v>
      </c>
      <c r="U339" s="32" t="n">
        <f>200</f>
        <v>200.0</v>
      </c>
      <c r="V339" s="32" t="n">
        <f>601649204</f>
        <v>6.01649204E8</v>
      </c>
      <c r="W339" s="32" t="n">
        <f>212000</f>
        <v>212000.0</v>
      </c>
      <c r="X339" s="36" t="n">
        <f>22</f>
        <v>22.0</v>
      </c>
    </row>
    <row r="340">
      <c r="A340" s="27" t="s">
        <v>42</v>
      </c>
      <c r="B340" s="27" t="s">
        <v>1067</v>
      </c>
      <c r="C340" s="27" t="s">
        <v>1068</v>
      </c>
      <c r="D340" s="27" t="s">
        <v>1069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3095</f>
        <v>3095.0</v>
      </c>
      <c r="L340" s="34" t="s">
        <v>48</v>
      </c>
      <c r="M340" s="33" t="n">
        <f>3206</f>
        <v>3206.0</v>
      </c>
      <c r="N340" s="34" t="s">
        <v>51</v>
      </c>
      <c r="O340" s="33" t="n">
        <f>2997</f>
        <v>2997.0</v>
      </c>
      <c r="P340" s="34" t="s">
        <v>69</v>
      </c>
      <c r="Q340" s="33" t="n">
        <f>3206</f>
        <v>3206.0</v>
      </c>
      <c r="R340" s="34" t="s">
        <v>51</v>
      </c>
      <c r="S340" s="35" t="n">
        <f>3076.86</f>
        <v>3076.86</v>
      </c>
      <c r="T340" s="32" t="n">
        <f>38458</f>
        <v>38458.0</v>
      </c>
      <c r="U340" s="32" t="n">
        <f>180</f>
        <v>180.0</v>
      </c>
      <c r="V340" s="32" t="n">
        <f>119778967</f>
        <v>1.19778967E8</v>
      </c>
      <c r="W340" s="32" t="n">
        <f>554260</f>
        <v>554260.0</v>
      </c>
      <c r="X340" s="36" t="n">
        <f>22</f>
        <v>22.0</v>
      </c>
    </row>
    <row r="341">
      <c r="A341" s="27" t="s">
        <v>42</v>
      </c>
      <c r="B341" s="27" t="s">
        <v>1070</v>
      </c>
      <c r="C341" s="27" t="s">
        <v>1071</v>
      </c>
      <c r="D341" s="27" t="s">
        <v>1072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2629</f>
        <v>2629.0</v>
      </c>
      <c r="L341" s="34" t="s">
        <v>48</v>
      </c>
      <c r="M341" s="33" t="n">
        <f>2641</f>
        <v>2641.0</v>
      </c>
      <c r="N341" s="34" t="s">
        <v>246</v>
      </c>
      <c r="O341" s="33" t="n">
        <f>2536</f>
        <v>2536.0</v>
      </c>
      <c r="P341" s="34" t="s">
        <v>65</v>
      </c>
      <c r="Q341" s="33" t="n">
        <f>2586</f>
        <v>2586.0</v>
      </c>
      <c r="R341" s="34" t="s">
        <v>51</v>
      </c>
      <c r="S341" s="35" t="n">
        <f>2577.86</f>
        <v>2577.86</v>
      </c>
      <c r="T341" s="32" t="n">
        <f>238658</f>
        <v>238658.0</v>
      </c>
      <c r="U341" s="32" t="n">
        <f>179</f>
        <v>179.0</v>
      </c>
      <c r="V341" s="32" t="n">
        <f>617774635</f>
        <v>6.17774635E8</v>
      </c>
      <c r="W341" s="32" t="n">
        <f>458215</f>
        <v>458215.0</v>
      </c>
      <c r="X341" s="36" t="n">
        <f>22</f>
        <v>22.0</v>
      </c>
    </row>
    <row r="342">
      <c r="A342" s="27" t="s">
        <v>42</v>
      </c>
      <c r="B342" s="27" t="s">
        <v>1073</v>
      </c>
      <c r="C342" s="27" t="s">
        <v>1074</v>
      </c>
      <c r="D342" s="27" t="s">
        <v>1075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8120</f>
        <v>8120.0</v>
      </c>
      <c r="L342" s="34" t="s">
        <v>48</v>
      </c>
      <c r="M342" s="33" t="n">
        <f>8455</f>
        <v>8455.0</v>
      </c>
      <c r="N342" s="34" t="s">
        <v>51</v>
      </c>
      <c r="O342" s="33" t="n">
        <f>8088</f>
        <v>8088.0</v>
      </c>
      <c r="P342" s="34" t="s">
        <v>118</v>
      </c>
      <c r="Q342" s="33" t="n">
        <f>8367</f>
        <v>8367.0</v>
      </c>
      <c r="R342" s="34" t="s">
        <v>51</v>
      </c>
      <c r="S342" s="35" t="n">
        <f>8224.26</f>
        <v>8224.26</v>
      </c>
      <c r="T342" s="32" t="n">
        <f>222624</f>
        <v>222624.0</v>
      </c>
      <c r="U342" s="32" t="n">
        <f>220000</f>
        <v>220000.0</v>
      </c>
      <c r="V342" s="32" t="n">
        <f>1821741670</f>
        <v>1.82174167E9</v>
      </c>
      <c r="W342" s="32" t="n">
        <f>1800162668</f>
        <v>1.800162668E9</v>
      </c>
      <c r="X342" s="36" t="n">
        <f>19</f>
        <v>19.0</v>
      </c>
    </row>
    <row r="343">
      <c r="A343" s="27" t="s">
        <v>42</v>
      </c>
      <c r="B343" s="27" t="s">
        <v>1076</v>
      </c>
      <c r="C343" s="27" t="s">
        <v>1077</v>
      </c>
      <c r="D343" s="27" t="s">
        <v>1078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5339</f>
        <v>5339.0</v>
      </c>
      <c r="L343" s="34" t="s">
        <v>48</v>
      </c>
      <c r="M343" s="33" t="n">
        <f>5350</f>
        <v>5350.0</v>
      </c>
      <c r="N343" s="34" t="s">
        <v>84</v>
      </c>
      <c r="O343" s="33" t="n">
        <f>5234</f>
        <v>5234.0</v>
      </c>
      <c r="P343" s="34" t="s">
        <v>69</v>
      </c>
      <c r="Q343" s="33" t="n">
        <f>5293</f>
        <v>5293.0</v>
      </c>
      <c r="R343" s="34" t="s">
        <v>51</v>
      </c>
      <c r="S343" s="35" t="n">
        <f>5283.15</f>
        <v>5283.15</v>
      </c>
      <c r="T343" s="32" t="n">
        <f>9994</f>
        <v>9994.0</v>
      </c>
      <c r="U343" s="32" t="str">
        <f>"－"</f>
        <v>－</v>
      </c>
      <c r="V343" s="32" t="n">
        <f>52869926</f>
        <v>5.2869926E7</v>
      </c>
      <c r="W343" s="32" t="str">
        <f>"－"</f>
        <v>－</v>
      </c>
      <c r="X343" s="36" t="n">
        <f>20</f>
        <v>20.0</v>
      </c>
    </row>
    <row r="344">
      <c r="A344" s="27" t="s">
        <v>42</v>
      </c>
      <c r="B344" s="27" t="s">
        <v>1079</v>
      </c>
      <c r="C344" s="27" t="s">
        <v>1080</v>
      </c>
      <c r="D344" s="27" t="s">
        <v>1081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1003</f>
        <v>1003.0</v>
      </c>
      <c r="L344" s="34" t="s">
        <v>48</v>
      </c>
      <c r="M344" s="33" t="n">
        <f>1064</f>
        <v>1064.0</v>
      </c>
      <c r="N344" s="34" t="s">
        <v>269</v>
      </c>
      <c r="O344" s="33" t="n">
        <f>1003</f>
        <v>1003.0</v>
      </c>
      <c r="P344" s="34" t="s">
        <v>48</v>
      </c>
      <c r="Q344" s="33" t="n">
        <f>1055</f>
        <v>1055.0</v>
      </c>
      <c r="R344" s="34" t="s">
        <v>51</v>
      </c>
      <c r="S344" s="35" t="n">
        <f>1043.32</f>
        <v>1043.32</v>
      </c>
      <c r="T344" s="32" t="n">
        <f>687100</f>
        <v>687100.0</v>
      </c>
      <c r="U344" s="32" t="str">
        <f>"－"</f>
        <v>－</v>
      </c>
      <c r="V344" s="32" t="n">
        <f>716015256</f>
        <v>7.16015256E8</v>
      </c>
      <c r="W344" s="32" t="str">
        <f>"－"</f>
        <v>－</v>
      </c>
      <c r="X344" s="36" t="n">
        <f>22</f>
        <v>22.0</v>
      </c>
    </row>
    <row r="345">
      <c r="A345" s="27" t="s">
        <v>42</v>
      </c>
      <c r="B345" s="27" t="s">
        <v>1082</v>
      </c>
      <c r="C345" s="27" t="s">
        <v>1083</v>
      </c>
      <c r="D345" s="27" t="s">
        <v>1084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1883</f>
        <v>1883.0</v>
      </c>
      <c r="L345" s="34" t="s">
        <v>48</v>
      </c>
      <c r="M345" s="33" t="n">
        <f>2038</f>
        <v>2038.0</v>
      </c>
      <c r="N345" s="34" t="s">
        <v>51</v>
      </c>
      <c r="O345" s="33" t="n">
        <f>1862</f>
        <v>1862.0</v>
      </c>
      <c r="P345" s="34" t="s">
        <v>61</v>
      </c>
      <c r="Q345" s="33" t="n">
        <f>2034</f>
        <v>2034.0</v>
      </c>
      <c r="R345" s="34" t="s">
        <v>51</v>
      </c>
      <c r="S345" s="35" t="n">
        <f>1948.5</f>
        <v>1948.5</v>
      </c>
      <c r="T345" s="32" t="n">
        <f>2441831</f>
        <v>2441831.0</v>
      </c>
      <c r="U345" s="32" t="n">
        <f>115280</f>
        <v>115280.0</v>
      </c>
      <c r="V345" s="32" t="n">
        <f>4773754137</f>
        <v>4.773754137E9</v>
      </c>
      <c r="W345" s="32" t="n">
        <f>226302052</f>
        <v>2.26302052E8</v>
      </c>
      <c r="X345" s="36" t="n">
        <f>22</f>
        <v>22.0</v>
      </c>
    </row>
    <row r="346">
      <c r="A346" s="27" t="s">
        <v>42</v>
      </c>
      <c r="B346" s="27" t="s">
        <v>1085</v>
      </c>
      <c r="C346" s="27" t="s">
        <v>1086</v>
      </c>
      <c r="D346" s="27" t="s">
        <v>1087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1351</f>
        <v>1351.0</v>
      </c>
      <c r="L346" s="34" t="s">
        <v>48</v>
      </c>
      <c r="M346" s="33" t="n">
        <f>1408</f>
        <v>1408.0</v>
      </c>
      <c r="N346" s="34" t="s">
        <v>51</v>
      </c>
      <c r="O346" s="33" t="n">
        <f>1334</f>
        <v>1334.0</v>
      </c>
      <c r="P346" s="34" t="s">
        <v>65</v>
      </c>
      <c r="Q346" s="33" t="n">
        <f>1406</f>
        <v>1406.0</v>
      </c>
      <c r="R346" s="34" t="s">
        <v>51</v>
      </c>
      <c r="S346" s="35" t="n">
        <f>1366.68</f>
        <v>1366.68</v>
      </c>
      <c r="T346" s="32" t="n">
        <f>2167850</f>
        <v>2167850.0</v>
      </c>
      <c r="U346" s="32" t="n">
        <f>300490</f>
        <v>300490.0</v>
      </c>
      <c r="V346" s="32" t="n">
        <f>2958481191</f>
        <v>2.958481191E9</v>
      </c>
      <c r="W346" s="32" t="n">
        <f>405441564</f>
        <v>4.05441564E8</v>
      </c>
      <c r="X346" s="36" t="n">
        <f>22</f>
        <v>22.0</v>
      </c>
    </row>
    <row r="347">
      <c r="A347" s="27" t="s">
        <v>42</v>
      </c>
      <c r="B347" s="27" t="s">
        <v>1088</v>
      </c>
      <c r="C347" s="27" t="s">
        <v>1089</v>
      </c>
      <c r="D347" s="27" t="s">
        <v>1090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15750</f>
        <v>15750.0</v>
      </c>
      <c r="L347" s="34" t="s">
        <v>48</v>
      </c>
      <c r="M347" s="33" t="n">
        <f>15895</f>
        <v>15895.0</v>
      </c>
      <c r="N347" s="34" t="s">
        <v>65</v>
      </c>
      <c r="O347" s="33" t="n">
        <f>15120</f>
        <v>15120.0</v>
      </c>
      <c r="P347" s="34" t="s">
        <v>51</v>
      </c>
      <c r="Q347" s="33" t="n">
        <f>15135</f>
        <v>15135.0</v>
      </c>
      <c r="R347" s="34" t="s">
        <v>51</v>
      </c>
      <c r="S347" s="35" t="n">
        <f>15568.86</f>
        <v>15568.86</v>
      </c>
      <c r="T347" s="32" t="n">
        <f>69102</f>
        <v>69102.0</v>
      </c>
      <c r="U347" s="32" t="n">
        <f>4600</f>
        <v>4600.0</v>
      </c>
      <c r="V347" s="32" t="n">
        <f>1073494101</f>
        <v>1.073494101E9</v>
      </c>
      <c r="W347" s="32" t="n">
        <f>70373286</f>
        <v>7.0373286E7</v>
      </c>
      <c r="X347" s="36" t="n">
        <f>22</f>
        <v>22.0</v>
      </c>
    </row>
    <row r="348">
      <c r="A348" s="27" t="s">
        <v>42</v>
      </c>
      <c r="B348" s="27" t="s">
        <v>1091</v>
      </c>
      <c r="C348" s="27" t="s">
        <v>1092</v>
      </c>
      <c r="D348" s="27" t="s">
        <v>1093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4063</f>
        <v>4063.0</v>
      </c>
      <c r="L348" s="34" t="s">
        <v>61</v>
      </c>
      <c r="M348" s="33" t="n">
        <f>4074</f>
        <v>4074.0</v>
      </c>
      <c r="N348" s="34" t="s">
        <v>269</v>
      </c>
      <c r="O348" s="33" t="n">
        <f>3977</f>
        <v>3977.0</v>
      </c>
      <c r="P348" s="34" t="s">
        <v>69</v>
      </c>
      <c r="Q348" s="33" t="n">
        <f>4025</f>
        <v>4025.0</v>
      </c>
      <c r="R348" s="34" t="s">
        <v>51</v>
      </c>
      <c r="S348" s="35" t="n">
        <f>4013.56</f>
        <v>4013.56</v>
      </c>
      <c r="T348" s="32" t="n">
        <f>279090</f>
        <v>279090.0</v>
      </c>
      <c r="U348" s="32" t="n">
        <f>274500</f>
        <v>274500.0</v>
      </c>
      <c r="V348" s="32" t="n">
        <f>1115259998</f>
        <v>1.115259998E9</v>
      </c>
      <c r="W348" s="32" t="n">
        <f>1096863450</f>
        <v>1.09686345E9</v>
      </c>
      <c r="X348" s="36" t="n">
        <f>18</f>
        <v>18.0</v>
      </c>
    </row>
    <row r="349">
      <c r="A349" s="27" t="s">
        <v>42</v>
      </c>
      <c r="B349" s="27" t="s">
        <v>1094</v>
      </c>
      <c r="C349" s="27" t="s">
        <v>1095</v>
      </c>
      <c r="D349" s="27" t="s">
        <v>1096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5014</f>
        <v>5014.0</v>
      </c>
      <c r="L349" s="34" t="s">
        <v>48</v>
      </c>
      <c r="M349" s="33" t="n">
        <f>5103</f>
        <v>5103.0</v>
      </c>
      <c r="N349" s="34" t="s">
        <v>70</v>
      </c>
      <c r="O349" s="33" t="n">
        <f>4990</f>
        <v>4990.0</v>
      </c>
      <c r="P349" s="34" t="s">
        <v>167</v>
      </c>
      <c r="Q349" s="33" t="n">
        <f>5087</f>
        <v>5087.0</v>
      </c>
      <c r="R349" s="34" t="s">
        <v>51</v>
      </c>
      <c r="S349" s="35" t="n">
        <f>5059.55</f>
        <v>5059.55</v>
      </c>
      <c r="T349" s="32" t="n">
        <f>159517</f>
        <v>159517.0</v>
      </c>
      <c r="U349" s="32" t="n">
        <f>108000</f>
        <v>108000.0</v>
      </c>
      <c r="V349" s="32" t="n">
        <f>808599534</f>
        <v>8.08599534E8</v>
      </c>
      <c r="W349" s="32" t="n">
        <f>548729630</f>
        <v>5.4872963E8</v>
      </c>
      <c r="X349" s="36" t="n">
        <f>22</f>
        <v>22.0</v>
      </c>
    </row>
    <row r="350">
      <c r="A350" s="27" t="s">
        <v>42</v>
      </c>
      <c r="B350" s="27" t="s">
        <v>1097</v>
      </c>
      <c r="C350" s="27" t="s">
        <v>1098</v>
      </c>
      <c r="D350" s="27" t="s">
        <v>1099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10.0</v>
      </c>
      <c r="K350" s="33" t="n">
        <f>2830</f>
        <v>2830.0</v>
      </c>
      <c r="L350" s="34" t="s">
        <v>48</v>
      </c>
      <c r="M350" s="33" t="n">
        <f>2948</f>
        <v>2948.0</v>
      </c>
      <c r="N350" s="34" t="s">
        <v>51</v>
      </c>
      <c r="O350" s="33" t="n">
        <f>2801</f>
        <v>2801.0</v>
      </c>
      <c r="P350" s="34" t="s">
        <v>61</v>
      </c>
      <c r="Q350" s="33" t="n">
        <f>2946.5</f>
        <v>2946.5</v>
      </c>
      <c r="R350" s="34" t="s">
        <v>51</v>
      </c>
      <c r="S350" s="35" t="n">
        <f>2862.86</f>
        <v>2862.86</v>
      </c>
      <c r="T350" s="32" t="n">
        <f>2458690</f>
        <v>2458690.0</v>
      </c>
      <c r="U350" s="32" t="n">
        <f>1703010</f>
        <v>1703010.0</v>
      </c>
      <c r="V350" s="32" t="n">
        <f>7147477074</f>
        <v>7.147477074E9</v>
      </c>
      <c r="W350" s="32" t="n">
        <f>4981945759</f>
        <v>4.981945759E9</v>
      </c>
      <c r="X350" s="36" t="n">
        <f>22</f>
        <v>22.0</v>
      </c>
    </row>
    <row r="351">
      <c r="A351" s="27" t="s">
        <v>42</v>
      </c>
      <c r="B351" s="27" t="s">
        <v>1100</v>
      </c>
      <c r="C351" s="27" t="s">
        <v>1101</v>
      </c>
      <c r="D351" s="27" t="s">
        <v>1102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10.0</v>
      </c>
      <c r="K351" s="33" t="n">
        <f>2206</f>
        <v>2206.0</v>
      </c>
      <c r="L351" s="34" t="s">
        <v>48</v>
      </c>
      <c r="M351" s="33" t="n">
        <f>2262</f>
        <v>2262.0</v>
      </c>
      <c r="N351" s="34" t="s">
        <v>70</v>
      </c>
      <c r="O351" s="33" t="n">
        <f>2202.5</f>
        <v>2202.5</v>
      </c>
      <c r="P351" s="34" t="s">
        <v>69</v>
      </c>
      <c r="Q351" s="33" t="n">
        <f>2234.5</f>
        <v>2234.5</v>
      </c>
      <c r="R351" s="34" t="s">
        <v>51</v>
      </c>
      <c r="S351" s="35" t="n">
        <f>2233.57</f>
        <v>2233.57</v>
      </c>
      <c r="T351" s="32" t="n">
        <f>525520</f>
        <v>525520.0</v>
      </c>
      <c r="U351" s="32" t="str">
        <f>"－"</f>
        <v>－</v>
      </c>
      <c r="V351" s="32" t="n">
        <f>1178771360</f>
        <v>1.17877136E9</v>
      </c>
      <c r="W351" s="32" t="str">
        <f>"－"</f>
        <v>－</v>
      </c>
      <c r="X351" s="36" t="n">
        <f>22</f>
        <v>22.0</v>
      </c>
    </row>
    <row r="352">
      <c r="A352" s="27" t="s">
        <v>42</v>
      </c>
      <c r="B352" s="27" t="s">
        <v>1103</v>
      </c>
      <c r="C352" s="27" t="s">
        <v>1104</v>
      </c>
      <c r="D352" s="27" t="s">
        <v>1105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2107</f>
        <v>2107.0</v>
      </c>
      <c r="L352" s="34" t="s">
        <v>48</v>
      </c>
      <c r="M352" s="33" t="n">
        <f>2157</f>
        <v>2157.0</v>
      </c>
      <c r="N352" s="34" t="s">
        <v>51</v>
      </c>
      <c r="O352" s="33" t="n">
        <f>2025</f>
        <v>2025.0</v>
      </c>
      <c r="P352" s="34" t="s">
        <v>69</v>
      </c>
      <c r="Q352" s="33" t="n">
        <f>2156</f>
        <v>2156.0</v>
      </c>
      <c r="R352" s="34" t="s">
        <v>51</v>
      </c>
      <c r="S352" s="35" t="n">
        <f>2063.36</f>
        <v>2063.36</v>
      </c>
      <c r="T352" s="32" t="n">
        <f>2749</f>
        <v>2749.0</v>
      </c>
      <c r="U352" s="32" t="str">
        <f>"－"</f>
        <v>－</v>
      </c>
      <c r="V352" s="32" t="n">
        <f>5680117</f>
        <v>5680117.0</v>
      </c>
      <c r="W352" s="32" t="str">
        <f>"－"</f>
        <v>－</v>
      </c>
      <c r="X352" s="36" t="n">
        <f>22</f>
        <v>22.0</v>
      </c>
    </row>
    <row r="353">
      <c r="A353" s="27" t="s">
        <v>42</v>
      </c>
      <c r="B353" s="27" t="s">
        <v>1106</v>
      </c>
      <c r="C353" s="27" t="s">
        <v>1107</v>
      </c>
      <c r="D353" s="27" t="s">
        <v>1108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2187</f>
        <v>2187.0</v>
      </c>
      <c r="L353" s="34" t="s">
        <v>48</v>
      </c>
      <c r="M353" s="33" t="n">
        <f>2267</f>
        <v>2267.0</v>
      </c>
      <c r="N353" s="34" t="s">
        <v>49</v>
      </c>
      <c r="O353" s="33" t="n">
        <f>2145</f>
        <v>2145.0</v>
      </c>
      <c r="P353" s="34" t="s">
        <v>180</v>
      </c>
      <c r="Q353" s="33" t="n">
        <f>2211</f>
        <v>2211.0</v>
      </c>
      <c r="R353" s="34" t="s">
        <v>51</v>
      </c>
      <c r="S353" s="35" t="n">
        <f>2182.43</f>
        <v>2182.43</v>
      </c>
      <c r="T353" s="32" t="n">
        <f>9001</f>
        <v>9001.0</v>
      </c>
      <c r="U353" s="32" t="str">
        <f>"－"</f>
        <v>－</v>
      </c>
      <c r="V353" s="32" t="n">
        <f>19590033</f>
        <v>1.9590033E7</v>
      </c>
      <c r="W353" s="32" t="str">
        <f>"－"</f>
        <v>－</v>
      </c>
      <c r="X353" s="36" t="n">
        <f>21</f>
        <v>21.0</v>
      </c>
    </row>
    <row r="354">
      <c r="A354" s="27" t="s">
        <v>42</v>
      </c>
      <c r="B354" s="27" t="s">
        <v>1109</v>
      </c>
      <c r="C354" s="27" t="s">
        <v>1110</v>
      </c>
      <c r="D354" s="27" t="s">
        <v>1111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4638</f>
        <v>4638.0</v>
      </c>
      <c r="L354" s="34" t="s">
        <v>48</v>
      </c>
      <c r="M354" s="33" t="n">
        <f>4735</f>
        <v>4735.0</v>
      </c>
      <c r="N354" s="34" t="s">
        <v>49</v>
      </c>
      <c r="O354" s="33" t="n">
        <f>4522</f>
        <v>4522.0</v>
      </c>
      <c r="P354" s="34" t="s">
        <v>65</v>
      </c>
      <c r="Q354" s="33" t="n">
        <f>4667</f>
        <v>4667.0</v>
      </c>
      <c r="R354" s="34" t="s">
        <v>51</v>
      </c>
      <c r="S354" s="35" t="n">
        <f>4602.59</f>
        <v>4602.59</v>
      </c>
      <c r="T354" s="32" t="n">
        <f>141326</f>
        <v>141326.0</v>
      </c>
      <c r="U354" s="32" t="n">
        <f>117201</f>
        <v>117201.0</v>
      </c>
      <c r="V354" s="32" t="n">
        <f>660562608</f>
        <v>6.60562608E8</v>
      </c>
      <c r="W354" s="32" t="n">
        <f>549264473</f>
        <v>5.49264473E8</v>
      </c>
      <c r="X354" s="36" t="n">
        <f>22</f>
        <v>22.0</v>
      </c>
    </row>
    <row r="355">
      <c r="A355" s="27" t="s">
        <v>42</v>
      </c>
      <c r="B355" s="27" t="s">
        <v>1112</v>
      </c>
      <c r="C355" s="27" t="s">
        <v>1113</v>
      </c>
      <c r="D355" s="27" t="s">
        <v>1114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294.1</f>
        <v>294.1</v>
      </c>
      <c r="L355" s="34" t="s">
        <v>48</v>
      </c>
      <c r="M355" s="33" t="n">
        <f>302.1</f>
        <v>302.1</v>
      </c>
      <c r="N355" s="34" t="s">
        <v>49</v>
      </c>
      <c r="O355" s="33" t="n">
        <f>283.6</f>
        <v>283.6</v>
      </c>
      <c r="P355" s="34" t="s">
        <v>65</v>
      </c>
      <c r="Q355" s="33" t="n">
        <f>298.7</f>
        <v>298.7</v>
      </c>
      <c r="R355" s="34" t="s">
        <v>51</v>
      </c>
      <c r="S355" s="35" t="n">
        <f>291.23</f>
        <v>291.23</v>
      </c>
      <c r="T355" s="32" t="n">
        <f>322430</f>
        <v>322430.0</v>
      </c>
      <c r="U355" s="32" t="str">
        <f>"－"</f>
        <v>－</v>
      </c>
      <c r="V355" s="32" t="n">
        <f>94564739</f>
        <v>9.4564739E7</v>
      </c>
      <c r="W355" s="32" t="str">
        <f>"－"</f>
        <v>－</v>
      </c>
      <c r="X355" s="36" t="n">
        <f>20</f>
        <v>20.0</v>
      </c>
    </row>
    <row r="356">
      <c r="A356" s="27" t="s">
        <v>42</v>
      </c>
      <c r="B356" s="27" t="s">
        <v>1115</v>
      </c>
      <c r="C356" s="27" t="s">
        <v>1116</v>
      </c>
      <c r="D356" s="27" t="s">
        <v>1117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173.9</f>
        <v>173.9</v>
      </c>
      <c r="L356" s="34" t="s">
        <v>48</v>
      </c>
      <c r="M356" s="33" t="n">
        <f>183.3</f>
        <v>183.3</v>
      </c>
      <c r="N356" s="34" t="s">
        <v>104</v>
      </c>
      <c r="O356" s="33" t="n">
        <f>173.9</f>
        <v>173.9</v>
      </c>
      <c r="P356" s="34" t="s">
        <v>48</v>
      </c>
      <c r="Q356" s="33" t="n">
        <f>183</f>
        <v>183.0</v>
      </c>
      <c r="R356" s="34" t="s">
        <v>51</v>
      </c>
      <c r="S356" s="35" t="n">
        <f>177.58</f>
        <v>177.58</v>
      </c>
      <c r="T356" s="32" t="n">
        <f>255770</f>
        <v>255770.0</v>
      </c>
      <c r="U356" s="32" t="n">
        <f>350</f>
        <v>350.0</v>
      </c>
      <c r="V356" s="32" t="n">
        <f>45060757</f>
        <v>4.5060757E7</v>
      </c>
      <c r="W356" s="32" t="n">
        <f>63299</f>
        <v>63299.0</v>
      </c>
      <c r="X356" s="36" t="n">
        <f>22</f>
        <v>22.0</v>
      </c>
    </row>
    <row r="357">
      <c r="A357" s="27" t="s">
        <v>42</v>
      </c>
      <c r="B357" s="27" t="s">
        <v>1118</v>
      </c>
      <c r="C357" s="27" t="s">
        <v>1119</v>
      </c>
      <c r="D357" s="27" t="s">
        <v>1120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640</f>
        <v>640.0</v>
      </c>
      <c r="L357" s="34" t="s">
        <v>118</v>
      </c>
      <c r="M357" s="33" t="n">
        <f>680</f>
        <v>680.0</v>
      </c>
      <c r="N357" s="34" t="s">
        <v>167</v>
      </c>
      <c r="O357" s="33" t="n">
        <f>638.9</f>
        <v>638.9</v>
      </c>
      <c r="P357" s="34" t="s">
        <v>80</v>
      </c>
      <c r="Q357" s="33" t="n">
        <f>642.6</f>
        <v>642.6</v>
      </c>
      <c r="R357" s="34" t="s">
        <v>51</v>
      </c>
      <c r="S357" s="35" t="n">
        <f>645.83</f>
        <v>645.83</v>
      </c>
      <c r="T357" s="32" t="n">
        <f>2610</f>
        <v>2610.0</v>
      </c>
      <c r="U357" s="32" t="n">
        <f>30</f>
        <v>30.0</v>
      </c>
      <c r="V357" s="32" t="n">
        <f>1678582</f>
        <v>1678582.0</v>
      </c>
      <c r="W357" s="32" t="n">
        <f>19206</f>
        <v>19206.0</v>
      </c>
      <c r="X357" s="36" t="n">
        <f>18</f>
        <v>18.0</v>
      </c>
    </row>
    <row r="358">
      <c r="A358" s="27" t="s">
        <v>42</v>
      </c>
      <c r="B358" s="27" t="s">
        <v>1121</v>
      </c>
      <c r="C358" s="27" t="s">
        <v>1122</v>
      </c>
      <c r="D358" s="27" t="s">
        <v>1123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1674</f>
        <v>1674.0</v>
      </c>
      <c r="L358" s="34" t="s">
        <v>48</v>
      </c>
      <c r="M358" s="33" t="n">
        <f>1720</f>
        <v>1720.0</v>
      </c>
      <c r="N358" s="34" t="s">
        <v>49</v>
      </c>
      <c r="O358" s="33" t="n">
        <f>1610</f>
        <v>1610.0</v>
      </c>
      <c r="P358" s="34" t="s">
        <v>65</v>
      </c>
      <c r="Q358" s="33" t="n">
        <f>1681</f>
        <v>1681.0</v>
      </c>
      <c r="R358" s="34" t="s">
        <v>51</v>
      </c>
      <c r="S358" s="35" t="n">
        <f>1651.32</f>
        <v>1651.32</v>
      </c>
      <c r="T358" s="32" t="n">
        <f>124439</f>
        <v>124439.0</v>
      </c>
      <c r="U358" s="32" t="n">
        <f>33</f>
        <v>33.0</v>
      </c>
      <c r="V358" s="32" t="n">
        <f>205680580</f>
        <v>2.0568058E8</v>
      </c>
      <c r="W358" s="32" t="n">
        <f>55905</f>
        <v>55905.0</v>
      </c>
      <c r="X358" s="36" t="n">
        <f>22</f>
        <v>22.0</v>
      </c>
    </row>
    <row r="359">
      <c r="A359" s="27" t="s">
        <v>42</v>
      </c>
      <c r="B359" s="27" t="s">
        <v>1124</v>
      </c>
      <c r="C359" s="27" t="s">
        <v>1125</v>
      </c>
      <c r="D359" s="27" t="s">
        <v>1126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931</f>
        <v>931.0</v>
      </c>
      <c r="L359" s="34" t="s">
        <v>48</v>
      </c>
      <c r="M359" s="33" t="n">
        <f>979</f>
        <v>979.0</v>
      </c>
      <c r="N359" s="34" t="s">
        <v>49</v>
      </c>
      <c r="O359" s="33" t="n">
        <f>930</f>
        <v>930.0</v>
      </c>
      <c r="P359" s="34" t="s">
        <v>48</v>
      </c>
      <c r="Q359" s="33" t="n">
        <f>973</f>
        <v>973.0</v>
      </c>
      <c r="R359" s="34" t="s">
        <v>51</v>
      </c>
      <c r="S359" s="35" t="n">
        <f>947.14</f>
        <v>947.14</v>
      </c>
      <c r="T359" s="32" t="n">
        <f>140950</f>
        <v>140950.0</v>
      </c>
      <c r="U359" s="32" t="n">
        <f>1919</f>
        <v>1919.0</v>
      </c>
      <c r="V359" s="32" t="n">
        <f>132444049</f>
        <v>1.32444049E8</v>
      </c>
      <c r="W359" s="32" t="n">
        <f>1795157</f>
        <v>1795157.0</v>
      </c>
      <c r="X359" s="36" t="n">
        <f>22</f>
        <v>22.0</v>
      </c>
    </row>
    <row r="360">
      <c r="A360" s="27" t="s">
        <v>42</v>
      </c>
      <c r="B360" s="27" t="s">
        <v>1127</v>
      </c>
      <c r="C360" s="27" t="s">
        <v>1128</v>
      </c>
      <c r="D360" s="27" t="s">
        <v>1129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688.3</f>
        <v>688.3</v>
      </c>
      <c r="L360" s="34" t="s">
        <v>48</v>
      </c>
      <c r="M360" s="33" t="n">
        <f>690.5</f>
        <v>690.5</v>
      </c>
      <c r="N360" s="34" t="s">
        <v>48</v>
      </c>
      <c r="O360" s="33" t="n">
        <f>675.6</f>
        <v>675.6</v>
      </c>
      <c r="P360" s="34" t="s">
        <v>69</v>
      </c>
      <c r="Q360" s="33" t="n">
        <f>678.1</f>
        <v>678.1</v>
      </c>
      <c r="R360" s="34" t="s">
        <v>51</v>
      </c>
      <c r="S360" s="35" t="n">
        <f>681.01</f>
        <v>681.01</v>
      </c>
      <c r="T360" s="32" t="n">
        <f>27849500</f>
        <v>2.78495E7</v>
      </c>
      <c r="U360" s="32" t="n">
        <f>27598430</f>
        <v>2.759843E7</v>
      </c>
      <c r="V360" s="32" t="n">
        <f>19005759130</f>
        <v>1.900575913E10</v>
      </c>
      <c r="W360" s="32" t="n">
        <f>18834136407</f>
        <v>1.8834136407E10</v>
      </c>
      <c r="X360" s="36" t="n">
        <f>22</f>
        <v>22.0</v>
      </c>
    </row>
    <row r="361">
      <c r="A361" s="27" t="s">
        <v>42</v>
      </c>
      <c r="B361" s="27" t="s">
        <v>1130</v>
      </c>
      <c r="C361" s="27" t="s">
        <v>1131</v>
      </c>
      <c r="D361" s="27" t="s">
        <v>1132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660.3</f>
        <v>660.3</v>
      </c>
      <c r="L361" s="34" t="s">
        <v>48</v>
      </c>
      <c r="M361" s="33" t="n">
        <f>663.8</f>
        <v>663.8</v>
      </c>
      <c r="N361" s="34" t="s">
        <v>180</v>
      </c>
      <c r="O361" s="33" t="n">
        <f>652.9</f>
        <v>652.9</v>
      </c>
      <c r="P361" s="34" t="s">
        <v>65</v>
      </c>
      <c r="Q361" s="33" t="n">
        <f>654</f>
        <v>654.0</v>
      </c>
      <c r="R361" s="34" t="s">
        <v>51</v>
      </c>
      <c r="S361" s="35" t="n">
        <f>656.72</f>
        <v>656.72</v>
      </c>
      <c r="T361" s="32" t="n">
        <f>6758200</f>
        <v>6758200.0</v>
      </c>
      <c r="U361" s="32" t="n">
        <f>6565660</f>
        <v>6565660.0</v>
      </c>
      <c r="V361" s="32" t="n">
        <f>4426603734</f>
        <v>4.426603734E9</v>
      </c>
      <c r="W361" s="32" t="n">
        <f>4299945097</f>
        <v>4.299945097E9</v>
      </c>
      <c r="X361" s="36" t="n">
        <f>22</f>
        <v>22.0</v>
      </c>
    </row>
    <row r="362">
      <c r="A362" s="27" t="s">
        <v>42</v>
      </c>
      <c r="B362" s="27" t="s">
        <v>1133</v>
      </c>
      <c r="C362" s="27" t="s">
        <v>1134</v>
      </c>
      <c r="D362" s="27" t="s">
        <v>1135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1202</f>
        <v>1202.0</v>
      </c>
      <c r="L362" s="34" t="s">
        <v>48</v>
      </c>
      <c r="M362" s="33" t="n">
        <f>1225</f>
        <v>1225.0</v>
      </c>
      <c r="N362" s="34" t="s">
        <v>65</v>
      </c>
      <c r="O362" s="33" t="n">
        <f>1101</f>
        <v>1101.0</v>
      </c>
      <c r="P362" s="34" t="s">
        <v>70</v>
      </c>
      <c r="Q362" s="33" t="n">
        <f>1214</f>
        <v>1214.0</v>
      </c>
      <c r="R362" s="34" t="s">
        <v>51</v>
      </c>
      <c r="S362" s="35" t="n">
        <f>1206.14</f>
        <v>1206.14</v>
      </c>
      <c r="T362" s="32" t="n">
        <f>10669</f>
        <v>10669.0</v>
      </c>
      <c r="U362" s="32" t="str">
        <f>"－"</f>
        <v>－</v>
      </c>
      <c r="V362" s="32" t="n">
        <f>12757259</f>
        <v>1.2757259E7</v>
      </c>
      <c r="W362" s="32" t="str">
        <f>"－"</f>
        <v>－</v>
      </c>
      <c r="X362" s="36" t="n">
        <f>22</f>
        <v>22.0</v>
      </c>
    </row>
    <row r="363">
      <c r="A363" s="27" t="s">
        <v>42</v>
      </c>
      <c r="B363" s="27" t="s">
        <v>1136</v>
      </c>
      <c r="C363" s="27" t="s">
        <v>1137</v>
      </c>
      <c r="D363" s="27" t="s">
        <v>1138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10.0</v>
      </c>
      <c r="K363" s="33" t="n">
        <f>2720</f>
        <v>2720.0</v>
      </c>
      <c r="L363" s="34" t="s">
        <v>48</v>
      </c>
      <c r="M363" s="33" t="n">
        <f>2782</f>
        <v>2782.0</v>
      </c>
      <c r="N363" s="34" t="s">
        <v>50</v>
      </c>
      <c r="O363" s="33" t="n">
        <f>2688.5</f>
        <v>2688.5</v>
      </c>
      <c r="P363" s="34" t="s">
        <v>167</v>
      </c>
      <c r="Q363" s="33" t="n">
        <f>2760</f>
        <v>2760.0</v>
      </c>
      <c r="R363" s="34" t="s">
        <v>51</v>
      </c>
      <c r="S363" s="35" t="n">
        <f>2729.55</f>
        <v>2729.55</v>
      </c>
      <c r="T363" s="32" t="n">
        <f>288420</f>
        <v>288420.0</v>
      </c>
      <c r="U363" s="32" t="n">
        <f>63250</f>
        <v>63250.0</v>
      </c>
      <c r="V363" s="32" t="n">
        <f>786516888</f>
        <v>7.86516888E8</v>
      </c>
      <c r="W363" s="32" t="n">
        <f>172973563</f>
        <v>1.72973563E8</v>
      </c>
      <c r="X363" s="36" t="n">
        <f>22</f>
        <v>22.0</v>
      </c>
    </row>
    <row r="364">
      <c r="A364" s="27" t="s">
        <v>42</v>
      </c>
      <c r="B364" s="27" t="s">
        <v>1139</v>
      </c>
      <c r="C364" s="27" t="s">
        <v>1140</v>
      </c>
      <c r="D364" s="27" t="s">
        <v>1141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10.0</v>
      </c>
      <c r="K364" s="33" t="n">
        <f>3133</f>
        <v>3133.0</v>
      </c>
      <c r="L364" s="34" t="s">
        <v>48</v>
      </c>
      <c r="M364" s="33" t="n">
        <f>3220</f>
        <v>3220.0</v>
      </c>
      <c r="N364" s="34" t="s">
        <v>50</v>
      </c>
      <c r="O364" s="33" t="n">
        <f>3097</f>
        <v>3097.0</v>
      </c>
      <c r="P364" s="34" t="s">
        <v>61</v>
      </c>
      <c r="Q364" s="33" t="n">
        <f>3176</f>
        <v>3176.0</v>
      </c>
      <c r="R364" s="34" t="s">
        <v>51</v>
      </c>
      <c r="S364" s="35" t="n">
        <f>3159.68</f>
        <v>3159.68</v>
      </c>
      <c r="T364" s="32" t="n">
        <f>1320530</f>
        <v>1320530.0</v>
      </c>
      <c r="U364" s="32" t="n">
        <f>327330</f>
        <v>327330.0</v>
      </c>
      <c r="V364" s="32" t="n">
        <f>4194939672</f>
        <v>4.194939672E9</v>
      </c>
      <c r="W364" s="32" t="n">
        <f>1049421342</f>
        <v>1.049421342E9</v>
      </c>
      <c r="X364" s="36" t="n">
        <f>22</f>
        <v>22.0</v>
      </c>
    </row>
    <row r="365">
      <c r="A365" s="27" t="s">
        <v>42</v>
      </c>
      <c r="B365" s="27" t="s">
        <v>1142</v>
      </c>
      <c r="C365" s="27" t="s">
        <v>1143</v>
      </c>
      <c r="D365" s="27" t="s">
        <v>1144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5529</f>
        <v>5529.0</v>
      </c>
      <c r="L365" s="34" t="s">
        <v>48</v>
      </c>
      <c r="M365" s="33" t="n">
        <f>5727</f>
        <v>5727.0</v>
      </c>
      <c r="N365" s="34" t="s">
        <v>49</v>
      </c>
      <c r="O365" s="33" t="n">
        <f>5483</f>
        <v>5483.0</v>
      </c>
      <c r="P365" s="34" t="s">
        <v>50</v>
      </c>
      <c r="Q365" s="33" t="n">
        <f>5538</f>
        <v>5538.0</v>
      </c>
      <c r="R365" s="34" t="s">
        <v>51</v>
      </c>
      <c r="S365" s="35" t="n">
        <f>5577.86</f>
        <v>5577.86</v>
      </c>
      <c r="T365" s="32" t="n">
        <f>82274</f>
        <v>82274.0</v>
      </c>
      <c r="U365" s="32" t="n">
        <f>80000</f>
        <v>80000.0</v>
      </c>
      <c r="V365" s="32" t="n">
        <f>457540333</f>
        <v>4.57540333E8</v>
      </c>
      <c r="W365" s="32" t="n">
        <f>444848000</f>
        <v>4.44848E8</v>
      </c>
      <c r="X365" s="36" t="n">
        <f>21</f>
        <v>21.0</v>
      </c>
    </row>
    <row r="366">
      <c r="A366" s="27" t="s">
        <v>42</v>
      </c>
      <c r="B366" s="27" t="s">
        <v>1145</v>
      </c>
      <c r="C366" s="27" t="s">
        <v>1146</v>
      </c>
      <c r="D366" s="27" t="s">
        <v>1147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4102</f>
        <v>4102.0</v>
      </c>
      <c r="L366" s="34" t="s">
        <v>118</v>
      </c>
      <c r="M366" s="33" t="n">
        <f>4200</f>
        <v>4200.0</v>
      </c>
      <c r="N366" s="34" t="s">
        <v>65</v>
      </c>
      <c r="O366" s="33" t="n">
        <f>4068</f>
        <v>4068.0</v>
      </c>
      <c r="P366" s="34" t="s">
        <v>250</v>
      </c>
      <c r="Q366" s="33" t="n">
        <f>4098</f>
        <v>4098.0</v>
      </c>
      <c r="R366" s="34" t="s">
        <v>51</v>
      </c>
      <c r="S366" s="35" t="n">
        <f>4096.87</f>
        <v>4096.87</v>
      </c>
      <c r="T366" s="32" t="n">
        <f>244292</f>
        <v>244292.0</v>
      </c>
      <c r="U366" s="32" t="n">
        <f>243800</f>
        <v>243800.0</v>
      </c>
      <c r="V366" s="32" t="n">
        <f>1002778967</f>
        <v>1.002778967E9</v>
      </c>
      <c r="W366" s="32" t="n">
        <f>1000762341</f>
        <v>1.000762341E9</v>
      </c>
      <c r="X366" s="36" t="n">
        <f>15</f>
        <v>15.0</v>
      </c>
    </row>
    <row r="367">
      <c r="A367" s="27" t="s">
        <v>42</v>
      </c>
      <c r="B367" s="27" t="s">
        <v>1148</v>
      </c>
      <c r="C367" s="27" t="s">
        <v>1149</v>
      </c>
      <c r="D367" s="27" t="s">
        <v>1150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10.0</v>
      </c>
      <c r="K367" s="33" t="n">
        <f>1890.5</f>
        <v>1890.5</v>
      </c>
      <c r="L367" s="34" t="s">
        <v>84</v>
      </c>
      <c r="M367" s="33" t="n">
        <f>1980</f>
        <v>1980.0</v>
      </c>
      <c r="N367" s="34" t="s">
        <v>51</v>
      </c>
      <c r="O367" s="33" t="n">
        <f>1884</f>
        <v>1884.0</v>
      </c>
      <c r="P367" s="34" t="s">
        <v>167</v>
      </c>
      <c r="Q367" s="33" t="n">
        <f>1980</f>
        <v>1980.0</v>
      </c>
      <c r="R367" s="34" t="s">
        <v>51</v>
      </c>
      <c r="S367" s="35" t="n">
        <f>1905.29</f>
        <v>1905.29</v>
      </c>
      <c r="T367" s="32" t="n">
        <f>470</f>
        <v>470.0</v>
      </c>
      <c r="U367" s="32" t="str">
        <f>"－"</f>
        <v>－</v>
      </c>
      <c r="V367" s="32" t="n">
        <f>888850</f>
        <v>888850.0</v>
      </c>
      <c r="W367" s="32" t="str">
        <f>"－"</f>
        <v>－</v>
      </c>
      <c r="X367" s="36" t="n">
        <f>7</f>
        <v>7.0</v>
      </c>
    </row>
    <row r="368">
      <c r="A368" s="27" t="s">
        <v>42</v>
      </c>
      <c r="B368" s="27" t="s">
        <v>1151</v>
      </c>
      <c r="C368" s="27" t="s">
        <v>1152</v>
      </c>
      <c r="D368" s="27" t="s">
        <v>1153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1186</f>
        <v>1186.0</v>
      </c>
      <c r="L368" s="34" t="s">
        <v>48</v>
      </c>
      <c r="M368" s="33" t="n">
        <f>1195</f>
        <v>1195.0</v>
      </c>
      <c r="N368" s="34" t="s">
        <v>88</v>
      </c>
      <c r="O368" s="33" t="n">
        <f>1136</f>
        <v>1136.0</v>
      </c>
      <c r="P368" s="34" t="s">
        <v>48</v>
      </c>
      <c r="Q368" s="33" t="n">
        <f>1180</f>
        <v>1180.0</v>
      </c>
      <c r="R368" s="34" t="s">
        <v>51</v>
      </c>
      <c r="S368" s="35" t="n">
        <f>1172.05</f>
        <v>1172.05</v>
      </c>
      <c r="T368" s="32" t="n">
        <f>15641</f>
        <v>15641.0</v>
      </c>
      <c r="U368" s="32" t="str">
        <f>"－"</f>
        <v>－</v>
      </c>
      <c r="V368" s="32" t="n">
        <f>18201599</f>
        <v>1.8201599E7</v>
      </c>
      <c r="W368" s="32" t="str">
        <f>"－"</f>
        <v>－</v>
      </c>
      <c r="X368" s="36" t="n">
        <f>22</f>
        <v>22.0</v>
      </c>
    </row>
    <row r="369">
      <c r="A369" s="27" t="s">
        <v>42</v>
      </c>
      <c r="B369" s="27" t="s">
        <v>1154</v>
      </c>
      <c r="C369" s="27" t="s">
        <v>1155</v>
      </c>
      <c r="D369" s="27" t="s">
        <v>1156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1061</f>
        <v>1061.0</v>
      </c>
      <c r="L369" s="34" t="s">
        <v>48</v>
      </c>
      <c r="M369" s="33" t="n">
        <f>1105</f>
        <v>1105.0</v>
      </c>
      <c r="N369" s="34" t="s">
        <v>51</v>
      </c>
      <c r="O369" s="33" t="n">
        <f>1057</f>
        <v>1057.0</v>
      </c>
      <c r="P369" s="34" t="s">
        <v>61</v>
      </c>
      <c r="Q369" s="33" t="n">
        <f>1102</f>
        <v>1102.0</v>
      </c>
      <c r="R369" s="34" t="s">
        <v>51</v>
      </c>
      <c r="S369" s="35" t="n">
        <f>1081</f>
        <v>1081.0</v>
      </c>
      <c r="T369" s="32" t="n">
        <f>5487816</f>
        <v>5487816.0</v>
      </c>
      <c r="U369" s="32" t="n">
        <f>102</f>
        <v>102.0</v>
      </c>
      <c r="V369" s="32" t="n">
        <f>5931714549</f>
        <v>5.931714549E9</v>
      </c>
      <c r="W369" s="32" t="n">
        <f>111304</f>
        <v>111304.0</v>
      </c>
      <c r="X369" s="36" t="n">
        <f>22</f>
        <v>22.0</v>
      </c>
    </row>
    <row r="370">
      <c r="A370" s="27" t="s">
        <v>42</v>
      </c>
      <c r="B370" s="27" t="s">
        <v>1157</v>
      </c>
      <c r="C370" s="27" t="s">
        <v>1158</v>
      </c>
      <c r="D370" s="27" t="s">
        <v>1159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911</f>
        <v>911.0</v>
      </c>
      <c r="L370" s="34" t="s">
        <v>48</v>
      </c>
      <c r="M370" s="33" t="n">
        <f>961</f>
        <v>961.0</v>
      </c>
      <c r="N370" s="34" t="s">
        <v>51</v>
      </c>
      <c r="O370" s="33" t="n">
        <f>908</f>
        <v>908.0</v>
      </c>
      <c r="P370" s="34" t="s">
        <v>48</v>
      </c>
      <c r="Q370" s="33" t="n">
        <f>957</f>
        <v>957.0</v>
      </c>
      <c r="R370" s="34" t="s">
        <v>51</v>
      </c>
      <c r="S370" s="35" t="n">
        <f>940.23</f>
        <v>940.23</v>
      </c>
      <c r="T370" s="32" t="n">
        <f>992295</f>
        <v>992295.0</v>
      </c>
      <c r="U370" s="32" t="n">
        <f>100</f>
        <v>100.0</v>
      </c>
      <c r="V370" s="32" t="n">
        <f>929220848</f>
        <v>9.29220848E8</v>
      </c>
      <c r="W370" s="32" t="n">
        <f>95400</f>
        <v>95400.0</v>
      </c>
      <c r="X370" s="36" t="n">
        <f>22</f>
        <v>22.0</v>
      </c>
    </row>
    <row r="371">
      <c r="A371" s="27" t="s">
        <v>42</v>
      </c>
      <c r="B371" s="27" t="s">
        <v>1160</v>
      </c>
      <c r="C371" s="27" t="s">
        <v>1161</v>
      </c>
      <c r="D371" s="27" t="s">
        <v>1162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1046</f>
        <v>1046.0</v>
      </c>
      <c r="L371" s="34" t="s">
        <v>48</v>
      </c>
      <c r="M371" s="33" t="n">
        <f>1175</f>
        <v>1175.0</v>
      </c>
      <c r="N371" s="34" t="s">
        <v>80</v>
      </c>
      <c r="O371" s="33" t="n">
        <f>1046</f>
        <v>1046.0</v>
      </c>
      <c r="P371" s="34" t="s">
        <v>48</v>
      </c>
      <c r="Q371" s="33" t="n">
        <f>1160</f>
        <v>1160.0</v>
      </c>
      <c r="R371" s="34" t="s">
        <v>51</v>
      </c>
      <c r="S371" s="35" t="n">
        <f>1120.64</f>
        <v>1120.64</v>
      </c>
      <c r="T371" s="32" t="n">
        <f>19631</f>
        <v>19631.0</v>
      </c>
      <c r="U371" s="32" t="str">
        <f>"－"</f>
        <v>－</v>
      </c>
      <c r="V371" s="32" t="n">
        <f>21980868</f>
        <v>2.1980868E7</v>
      </c>
      <c r="W371" s="32" t="str">
        <f>"－"</f>
        <v>－</v>
      </c>
      <c r="X371" s="36" t="n">
        <f>22</f>
        <v>22.0</v>
      </c>
    </row>
    <row r="372">
      <c r="A372" s="27" t="s">
        <v>42</v>
      </c>
      <c r="B372" s="27" t="s">
        <v>1163</v>
      </c>
      <c r="C372" s="27" t="s">
        <v>1164</v>
      </c>
      <c r="D372" s="27" t="s">
        <v>1165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974</f>
        <v>974.0</v>
      </c>
      <c r="L372" s="34" t="s">
        <v>48</v>
      </c>
      <c r="M372" s="33" t="n">
        <f>1009</f>
        <v>1009.0</v>
      </c>
      <c r="N372" s="34" t="s">
        <v>51</v>
      </c>
      <c r="O372" s="33" t="n">
        <f>971</f>
        <v>971.0</v>
      </c>
      <c r="P372" s="34" t="s">
        <v>48</v>
      </c>
      <c r="Q372" s="33" t="n">
        <f>1001</f>
        <v>1001.0</v>
      </c>
      <c r="R372" s="34" t="s">
        <v>51</v>
      </c>
      <c r="S372" s="35" t="n">
        <f>991.18</f>
        <v>991.18</v>
      </c>
      <c r="T372" s="32" t="n">
        <f>1466670</f>
        <v>1466670.0</v>
      </c>
      <c r="U372" s="32" t="n">
        <f>44</f>
        <v>44.0</v>
      </c>
      <c r="V372" s="32" t="n">
        <f>1453335246</f>
        <v>1.453335246E9</v>
      </c>
      <c r="W372" s="32" t="n">
        <f>43713</f>
        <v>43713.0</v>
      </c>
      <c r="X372" s="36" t="n">
        <f>22</f>
        <v>22.0</v>
      </c>
    </row>
    <row r="373">
      <c r="A373" s="27" t="s">
        <v>42</v>
      </c>
      <c r="B373" s="27" t="s">
        <v>1166</v>
      </c>
      <c r="C373" s="27" t="s">
        <v>1167</v>
      </c>
      <c r="D373" s="27" t="s">
        <v>1168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50110</f>
        <v>50110.0</v>
      </c>
      <c r="L373" s="34" t="s">
        <v>48</v>
      </c>
      <c r="M373" s="33" t="n">
        <f>54220</f>
        <v>54220.0</v>
      </c>
      <c r="N373" s="34" t="s">
        <v>51</v>
      </c>
      <c r="O373" s="33" t="n">
        <f>49200</f>
        <v>49200.0</v>
      </c>
      <c r="P373" s="34" t="s">
        <v>61</v>
      </c>
      <c r="Q373" s="33" t="n">
        <f>54130</f>
        <v>54130.0</v>
      </c>
      <c r="R373" s="34" t="s">
        <v>51</v>
      </c>
      <c r="S373" s="35" t="n">
        <f>51300.91</f>
        <v>51300.91</v>
      </c>
      <c r="T373" s="32" t="n">
        <f>231819</f>
        <v>231819.0</v>
      </c>
      <c r="U373" s="32" t="n">
        <f>219</f>
        <v>219.0</v>
      </c>
      <c r="V373" s="32" t="n">
        <f>11929405380</f>
        <v>1.192940538E10</v>
      </c>
      <c r="W373" s="32" t="n">
        <f>11434570</f>
        <v>1.143457E7</v>
      </c>
      <c r="X373" s="36" t="n">
        <f>22</f>
        <v>22.0</v>
      </c>
    </row>
    <row r="374">
      <c r="A374" s="27" t="s">
        <v>42</v>
      </c>
      <c r="B374" s="27" t="s">
        <v>1169</v>
      </c>
      <c r="C374" s="27" t="s">
        <v>1170</v>
      </c>
      <c r="D374" s="27" t="s">
        <v>1171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13300</f>
        <v>13300.0</v>
      </c>
      <c r="L374" s="34" t="s">
        <v>48</v>
      </c>
      <c r="M374" s="33" t="n">
        <f>13960</f>
        <v>13960.0</v>
      </c>
      <c r="N374" s="34" t="s">
        <v>48</v>
      </c>
      <c r="O374" s="33" t="n">
        <f>12245</f>
        <v>12245.0</v>
      </c>
      <c r="P374" s="34" t="s">
        <v>51</v>
      </c>
      <c r="Q374" s="33" t="n">
        <f>12260</f>
        <v>12260.0</v>
      </c>
      <c r="R374" s="34" t="s">
        <v>51</v>
      </c>
      <c r="S374" s="35" t="n">
        <f>13011.82</f>
        <v>13011.82</v>
      </c>
      <c r="T374" s="32" t="n">
        <f>401786</f>
        <v>401786.0</v>
      </c>
      <c r="U374" s="32" t="n">
        <f>6210</f>
        <v>6210.0</v>
      </c>
      <c r="V374" s="32" t="n">
        <f>5230086940</f>
        <v>5.23008694E9</v>
      </c>
      <c r="W374" s="32" t="n">
        <f>80559900</f>
        <v>8.05599E7</v>
      </c>
      <c r="X374" s="36" t="n">
        <f>22</f>
        <v>22.0</v>
      </c>
    </row>
    <row r="375">
      <c r="A375" s="27" t="s">
        <v>42</v>
      </c>
      <c r="B375" s="27" t="s">
        <v>1172</v>
      </c>
      <c r="C375" s="27" t="s">
        <v>1173</v>
      </c>
      <c r="D375" s="27" t="s">
        <v>1174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2122</f>
        <v>2122.0</v>
      </c>
      <c r="L375" s="34" t="s">
        <v>48</v>
      </c>
      <c r="M375" s="33" t="n">
        <f>2226</f>
        <v>2226.0</v>
      </c>
      <c r="N375" s="34" t="s">
        <v>49</v>
      </c>
      <c r="O375" s="33" t="n">
        <f>2086</f>
        <v>2086.0</v>
      </c>
      <c r="P375" s="34" t="s">
        <v>111</v>
      </c>
      <c r="Q375" s="33" t="n">
        <f>2176</f>
        <v>2176.0</v>
      </c>
      <c r="R375" s="34" t="s">
        <v>51</v>
      </c>
      <c r="S375" s="35" t="n">
        <f>2144.75</f>
        <v>2144.75</v>
      </c>
      <c r="T375" s="32" t="n">
        <f>143</f>
        <v>143.0</v>
      </c>
      <c r="U375" s="32" t="str">
        <f>"－"</f>
        <v>－</v>
      </c>
      <c r="V375" s="32" t="n">
        <f>307611</f>
        <v>307611.0</v>
      </c>
      <c r="W375" s="32" t="str">
        <f>"－"</f>
        <v>－</v>
      </c>
      <c r="X375" s="36" t="n">
        <f>12</f>
        <v>12.0</v>
      </c>
    </row>
    <row r="376">
      <c r="A376" s="27" t="s">
        <v>42</v>
      </c>
      <c r="B376" s="27" t="s">
        <v>1175</v>
      </c>
      <c r="C376" s="27" t="s">
        <v>1176</v>
      </c>
      <c r="D376" s="27" t="s">
        <v>1177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9001</f>
        <v>9001.0</v>
      </c>
      <c r="L376" s="34" t="s">
        <v>48</v>
      </c>
      <c r="M376" s="33" t="n">
        <f>9415</f>
        <v>9415.0</v>
      </c>
      <c r="N376" s="34" t="s">
        <v>250</v>
      </c>
      <c r="O376" s="33" t="n">
        <f>8960</f>
        <v>8960.0</v>
      </c>
      <c r="P376" s="34" t="s">
        <v>48</v>
      </c>
      <c r="Q376" s="33" t="n">
        <f>9210</f>
        <v>9210.0</v>
      </c>
      <c r="R376" s="34" t="s">
        <v>51</v>
      </c>
      <c r="S376" s="35" t="n">
        <f>9178.64</f>
        <v>9178.64</v>
      </c>
      <c r="T376" s="32" t="n">
        <f>993</f>
        <v>993.0</v>
      </c>
      <c r="U376" s="32" t="n">
        <f>1</f>
        <v>1.0</v>
      </c>
      <c r="V376" s="32" t="n">
        <f>9092051</f>
        <v>9092051.0</v>
      </c>
      <c r="W376" s="32" t="n">
        <f>8975</f>
        <v>8975.0</v>
      </c>
      <c r="X376" s="36" t="n">
        <f>22</f>
        <v>22.0</v>
      </c>
    </row>
    <row r="377">
      <c r="A377" s="27" t="s">
        <v>42</v>
      </c>
      <c r="B377" s="27" t="s">
        <v>1178</v>
      </c>
      <c r="C377" s="27" t="s">
        <v>1179</v>
      </c>
      <c r="D377" s="27" t="s">
        <v>1180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122700</f>
        <v>122700.0</v>
      </c>
      <c r="L377" s="34" t="s">
        <v>48</v>
      </c>
      <c r="M377" s="33" t="n">
        <f>128400</f>
        <v>128400.0</v>
      </c>
      <c r="N377" s="34" t="s">
        <v>88</v>
      </c>
      <c r="O377" s="33" t="n">
        <f>120700</f>
        <v>120700.0</v>
      </c>
      <c r="P377" s="34" t="s">
        <v>61</v>
      </c>
      <c r="Q377" s="33" t="n">
        <f>124300</f>
        <v>124300.0</v>
      </c>
      <c r="R377" s="34" t="s">
        <v>51</v>
      </c>
      <c r="S377" s="35" t="n">
        <f>125104.55</f>
        <v>125104.55</v>
      </c>
      <c r="T377" s="32" t="n">
        <f>24431</f>
        <v>24431.0</v>
      </c>
      <c r="U377" s="32" t="n">
        <f>2907</f>
        <v>2907.0</v>
      </c>
      <c r="V377" s="32" t="n">
        <f>3070335727</f>
        <v>3.070335727E9</v>
      </c>
      <c r="W377" s="32" t="n">
        <f>364462327</f>
        <v>3.64462327E8</v>
      </c>
      <c r="X377" s="36" t="n">
        <f>22</f>
        <v>22.0</v>
      </c>
    </row>
    <row r="378">
      <c r="A378" s="27" t="s">
        <v>42</v>
      </c>
      <c r="B378" s="27" t="s">
        <v>1181</v>
      </c>
      <c r="C378" s="27" t="s">
        <v>1182</v>
      </c>
      <c r="D378" s="27" t="s">
        <v>1183</v>
      </c>
      <c r="E378" s="28" t="s">
        <v>46</v>
      </c>
      <c r="F378" s="29" t="s">
        <v>46</v>
      </c>
      <c r="G378" s="30" t="s">
        <v>46</v>
      </c>
      <c r="H378" s="31"/>
      <c r="I378" s="31" t="s">
        <v>418</v>
      </c>
      <c r="J378" s="32" t="n">
        <v>1.0</v>
      </c>
      <c r="K378" s="33" t="n">
        <f>92000</f>
        <v>92000.0</v>
      </c>
      <c r="L378" s="34" t="s">
        <v>48</v>
      </c>
      <c r="M378" s="33" t="n">
        <f>95900</f>
        <v>95900.0</v>
      </c>
      <c r="N378" s="34" t="s">
        <v>51</v>
      </c>
      <c r="O378" s="33" t="n">
        <f>90400</f>
        <v>90400.0</v>
      </c>
      <c r="P378" s="34" t="s">
        <v>65</v>
      </c>
      <c r="Q378" s="33" t="n">
        <f>95600</f>
        <v>95600.0</v>
      </c>
      <c r="R378" s="34" t="s">
        <v>51</v>
      </c>
      <c r="S378" s="35" t="n">
        <f>92654.55</f>
        <v>92654.55</v>
      </c>
      <c r="T378" s="32" t="n">
        <f>23511</f>
        <v>23511.0</v>
      </c>
      <c r="U378" s="32" t="n">
        <f>5282</f>
        <v>5282.0</v>
      </c>
      <c r="V378" s="32" t="n">
        <f>2186203722</f>
        <v>2.186203722E9</v>
      </c>
      <c r="W378" s="32" t="n">
        <f>492283422</f>
        <v>4.92283422E8</v>
      </c>
      <c r="X378" s="36" t="n">
        <f>22</f>
        <v>22.0</v>
      </c>
    </row>
    <row r="379">
      <c r="A379" s="27" t="s">
        <v>42</v>
      </c>
      <c r="B379" s="27" t="s">
        <v>1184</v>
      </c>
      <c r="C379" s="27" t="s">
        <v>1185</v>
      </c>
      <c r="D379" s="27" t="s">
        <v>1186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114700</f>
        <v>114700.0</v>
      </c>
      <c r="L379" s="34" t="s">
        <v>48</v>
      </c>
      <c r="M379" s="33" t="n">
        <f>118400</f>
        <v>118400.0</v>
      </c>
      <c r="N379" s="34" t="s">
        <v>51</v>
      </c>
      <c r="O379" s="33" t="n">
        <f>113600</f>
        <v>113600.0</v>
      </c>
      <c r="P379" s="34" t="s">
        <v>246</v>
      </c>
      <c r="Q379" s="33" t="n">
        <f>117500</f>
        <v>117500.0</v>
      </c>
      <c r="R379" s="34" t="s">
        <v>51</v>
      </c>
      <c r="S379" s="35" t="n">
        <f>115804.55</f>
        <v>115804.55</v>
      </c>
      <c r="T379" s="32" t="n">
        <f>48256</f>
        <v>48256.0</v>
      </c>
      <c r="U379" s="32" t="n">
        <f>10143</f>
        <v>10143.0</v>
      </c>
      <c r="V379" s="32" t="n">
        <f>5593738297</f>
        <v>5.593738297E9</v>
      </c>
      <c r="W379" s="32" t="n">
        <f>1174692197</f>
        <v>1.174692197E9</v>
      </c>
      <c r="X379" s="36" t="n">
        <f>22</f>
        <v>22.0</v>
      </c>
    </row>
    <row r="380">
      <c r="A380" s="27" t="s">
        <v>42</v>
      </c>
      <c r="B380" s="27" t="s">
        <v>1187</v>
      </c>
      <c r="C380" s="27" t="s">
        <v>1188</v>
      </c>
      <c r="D380" s="27" t="s">
        <v>1189</v>
      </c>
      <c r="E380" s="28" t="s">
        <v>46</v>
      </c>
      <c r="F380" s="29" t="s">
        <v>46</v>
      </c>
      <c r="G380" s="30" t="s">
        <v>46</v>
      </c>
      <c r="H380" s="31"/>
      <c r="I380" s="31" t="s">
        <v>418</v>
      </c>
      <c r="J380" s="32" t="n">
        <v>1.0</v>
      </c>
      <c r="K380" s="33" t="n">
        <f>112500</f>
        <v>112500.0</v>
      </c>
      <c r="L380" s="34" t="s">
        <v>48</v>
      </c>
      <c r="M380" s="33" t="n">
        <f>113000</f>
        <v>113000.0</v>
      </c>
      <c r="N380" s="34" t="s">
        <v>250</v>
      </c>
      <c r="O380" s="33" t="n">
        <f>106000</f>
        <v>106000.0</v>
      </c>
      <c r="P380" s="34" t="s">
        <v>48</v>
      </c>
      <c r="Q380" s="33" t="n">
        <f>110200</f>
        <v>110200.0</v>
      </c>
      <c r="R380" s="34" t="s">
        <v>51</v>
      </c>
      <c r="S380" s="35" t="n">
        <f>111122.73</f>
        <v>111122.73</v>
      </c>
      <c r="T380" s="32" t="n">
        <f>43840</f>
        <v>43840.0</v>
      </c>
      <c r="U380" s="32" t="n">
        <f>6820</f>
        <v>6820.0</v>
      </c>
      <c r="V380" s="32" t="n">
        <f>4861236726</f>
        <v>4.861236726E9</v>
      </c>
      <c r="W380" s="32" t="n">
        <f>755413726</f>
        <v>7.55413726E8</v>
      </c>
      <c r="X380" s="36" t="n">
        <f>22</f>
        <v>22.0</v>
      </c>
    </row>
    <row r="381">
      <c r="A381" s="27" t="s">
        <v>42</v>
      </c>
      <c r="B381" s="27" t="s">
        <v>1190</v>
      </c>
      <c r="C381" s="27" t="s">
        <v>1191</v>
      </c>
      <c r="D381" s="27" t="s">
        <v>1192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10.0</v>
      </c>
      <c r="K381" s="33" t="n">
        <f>193.8</f>
        <v>193.8</v>
      </c>
      <c r="L381" s="34" t="s">
        <v>48</v>
      </c>
      <c r="M381" s="33" t="n">
        <f>212.2</f>
        <v>212.2</v>
      </c>
      <c r="N381" s="34" t="s">
        <v>51</v>
      </c>
      <c r="O381" s="33" t="n">
        <f>191.5</f>
        <v>191.5</v>
      </c>
      <c r="P381" s="34" t="s">
        <v>61</v>
      </c>
      <c r="Q381" s="33" t="n">
        <f>211.3</f>
        <v>211.3</v>
      </c>
      <c r="R381" s="34" t="s">
        <v>51</v>
      </c>
      <c r="S381" s="35" t="n">
        <f>200.91</f>
        <v>200.91</v>
      </c>
      <c r="T381" s="32" t="n">
        <f>4410150</f>
        <v>4410150.0</v>
      </c>
      <c r="U381" s="32" t="n">
        <f>100</f>
        <v>100.0</v>
      </c>
      <c r="V381" s="32" t="n">
        <f>891245256</f>
        <v>8.91245256E8</v>
      </c>
      <c r="W381" s="32" t="n">
        <f>20600</f>
        <v>20600.0</v>
      </c>
      <c r="X381" s="36" t="n">
        <f>22</f>
        <v>22.0</v>
      </c>
    </row>
    <row r="382">
      <c r="A382" s="27" t="s">
        <v>42</v>
      </c>
      <c r="B382" s="27" t="s">
        <v>1193</v>
      </c>
      <c r="C382" s="27" t="s">
        <v>1194</v>
      </c>
      <c r="D382" s="27" t="s">
        <v>1195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226.5</f>
        <v>226.5</v>
      </c>
      <c r="L382" s="34" t="s">
        <v>48</v>
      </c>
      <c r="M382" s="33" t="n">
        <f>239.5</f>
        <v>239.5</v>
      </c>
      <c r="N382" s="34" t="s">
        <v>88</v>
      </c>
      <c r="O382" s="33" t="n">
        <f>225.8</f>
        <v>225.8</v>
      </c>
      <c r="P382" s="34" t="s">
        <v>48</v>
      </c>
      <c r="Q382" s="33" t="n">
        <f>233.6</f>
        <v>233.6</v>
      </c>
      <c r="R382" s="34" t="s">
        <v>51</v>
      </c>
      <c r="S382" s="35" t="n">
        <f>232.96</f>
        <v>232.96</v>
      </c>
      <c r="T382" s="32" t="n">
        <f>28349490</f>
        <v>2.834949E7</v>
      </c>
      <c r="U382" s="32" t="n">
        <f>1926250</f>
        <v>1926250.0</v>
      </c>
      <c r="V382" s="32" t="n">
        <f>6612177947</f>
        <v>6.612177947E9</v>
      </c>
      <c r="W382" s="32" t="n">
        <f>451000579</f>
        <v>4.51000579E8</v>
      </c>
      <c r="X382" s="36" t="n">
        <f>22</f>
        <v>22.0</v>
      </c>
    </row>
    <row r="383">
      <c r="A383" s="27" t="s">
        <v>42</v>
      </c>
      <c r="B383" s="27" t="s">
        <v>1196</v>
      </c>
      <c r="C383" s="27" t="s">
        <v>1197</v>
      </c>
      <c r="D383" s="27" t="s">
        <v>1198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1001</f>
        <v>1001.0</v>
      </c>
      <c r="L383" s="34" t="s">
        <v>48</v>
      </c>
      <c r="M383" s="33" t="n">
        <f>1110</f>
        <v>1110.0</v>
      </c>
      <c r="N383" s="34" t="s">
        <v>49</v>
      </c>
      <c r="O383" s="33" t="n">
        <f>989</f>
        <v>989.0</v>
      </c>
      <c r="P383" s="34" t="s">
        <v>48</v>
      </c>
      <c r="Q383" s="33" t="n">
        <f>1080</f>
        <v>1080.0</v>
      </c>
      <c r="R383" s="34" t="s">
        <v>51</v>
      </c>
      <c r="S383" s="35" t="n">
        <f>1030.95</f>
        <v>1030.95</v>
      </c>
      <c r="T383" s="32" t="n">
        <f>815191</f>
        <v>815191.0</v>
      </c>
      <c r="U383" s="32" t="n">
        <f>120146</f>
        <v>120146.0</v>
      </c>
      <c r="V383" s="32" t="n">
        <f>850132461</f>
        <v>8.50132461E8</v>
      </c>
      <c r="W383" s="32" t="n">
        <f>122560788</f>
        <v>1.22560788E8</v>
      </c>
      <c r="X383" s="36" t="n">
        <f>22</f>
        <v>22.0</v>
      </c>
    </row>
    <row r="384">
      <c r="A384" s="27" t="s">
        <v>42</v>
      </c>
      <c r="B384" s="27" t="s">
        <v>1199</v>
      </c>
      <c r="C384" s="27" t="s">
        <v>1200</v>
      </c>
      <c r="D384" s="27" t="s">
        <v>1201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2003</f>
        <v>2003.0</v>
      </c>
      <c r="L384" s="34" t="s">
        <v>48</v>
      </c>
      <c r="M384" s="33" t="n">
        <f>2155</f>
        <v>2155.0</v>
      </c>
      <c r="N384" s="34" t="s">
        <v>51</v>
      </c>
      <c r="O384" s="33" t="n">
        <f>1957</f>
        <v>1957.0</v>
      </c>
      <c r="P384" s="34" t="s">
        <v>61</v>
      </c>
      <c r="Q384" s="33" t="n">
        <f>2144</f>
        <v>2144.0</v>
      </c>
      <c r="R384" s="34" t="s">
        <v>51</v>
      </c>
      <c r="S384" s="35" t="n">
        <f>2044.86</f>
        <v>2044.86</v>
      </c>
      <c r="T384" s="32" t="n">
        <f>10476400</f>
        <v>1.04764E7</v>
      </c>
      <c r="U384" s="32" t="n">
        <f>24238</f>
        <v>24238.0</v>
      </c>
      <c r="V384" s="32" t="n">
        <f>21477788691</f>
        <v>2.1477788691E10</v>
      </c>
      <c r="W384" s="32" t="n">
        <f>50147260</f>
        <v>5.014726E7</v>
      </c>
      <c r="X384" s="36" t="n">
        <f>22</f>
        <v>22.0</v>
      </c>
    </row>
    <row r="385">
      <c r="A385" s="27" t="s">
        <v>42</v>
      </c>
      <c r="B385" s="27" t="s">
        <v>1202</v>
      </c>
      <c r="C385" s="27" t="s">
        <v>1203</v>
      </c>
      <c r="D385" s="27" t="s">
        <v>1204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10.0</v>
      </c>
      <c r="K385" s="33" t="n">
        <f>905.2</f>
        <v>905.2</v>
      </c>
      <c r="L385" s="34" t="s">
        <v>48</v>
      </c>
      <c r="M385" s="33" t="n">
        <f>923.3</f>
        <v>923.3</v>
      </c>
      <c r="N385" s="34" t="s">
        <v>84</v>
      </c>
      <c r="O385" s="33" t="n">
        <f>782.5</f>
        <v>782.5</v>
      </c>
      <c r="P385" s="34" t="s">
        <v>80</v>
      </c>
      <c r="Q385" s="33" t="n">
        <f>790.1</f>
        <v>790.1</v>
      </c>
      <c r="R385" s="34" t="s">
        <v>51</v>
      </c>
      <c r="S385" s="35" t="n">
        <f>859.69</f>
        <v>859.69</v>
      </c>
      <c r="T385" s="32" t="n">
        <f>27809800</f>
        <v>2.78098E7</v>
      </c>
      <c r="U385" s="32" t="n">
        <f>3580</f>
        <v>3580.0</v>
      </c>
      <c r="V385" s="32" t="n">
        <f>23641026312</f>
        <v>2.3641026312E10</v>
      </c>
      <c r="W385" s="32" t="n">
        <f>2946381</f>
        <v>2946381.0</v>
      </c>
      <c r="X385" s="36" t="n">
        <f>22</f>
        <v>22.0</v>
      </c>
    </row>
    <row r="386">
      <c r="A386" s="27" t="s">
        <v>42</v>
      </c>
      <c r="B386" s="27" t="s">
        <v>1205</v>
      </c>
      <c r="C386" s="27" t="s">
        <v>1206</v>
      </c>
      <c r="D386" s="27" t="s">
        <v>1207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117700</f>
        <v>117700.0</v>
      </c>
      <c r="L386" s="34" t="s">
        <v>48</v>
      </c>
      <c r="M386" s="33" t="n">
        <f>119900</f>
        <v>119900.0</v>
      </c>
      <c r="N386" s="34" t="s">
        <v>104</v>
      </c>
      <c r="O386" s="33" t="n">
        <f>116100</f>
        <v>116100.0</v>
      </c>
      <c r="P386" s="34" t="s">
        <v>205</v>
      </c>
      <c r="Q386" s="33" t="n">
        <f>118400</f>
        <v>118400.0</v>
      </c>
      <c r="R386" s="34" t="s">
        <v>51</v>
      </c>
      <c r="S386" s="35" t="n">
        <f>117809.09</f>
        <v>117809.09</v>
      </c>
      <c r="T386" s="32" t="n">
        <f>145854</f>
        <v>145854.0</v>
      </c>
      <c r="U386" s="32" t="n">
        <f>42730</f>
        <v>42730.0</v>
      </c>
      <c r="V386" s="32" t="n">
        <f>17194401084</f>
        <v>1.7194401084E10</v>
      </c>
      <c r="W386" s="32" t="n">
        <f>5040327184</f>
        <v>5.040327184E9</v>
      </c>
      <c r="X386" s="36" t="n">
        <f>22</f>
        <v>22.0</v>
      </c>
    </row>
    <row r="387">
      <c r="A387" s="27" t="s">
        <v>42</v>
      </c>
      <c r="B387" s="27" t="s">
        <v>1208</v>
      </c>
      <c r="C387" s="27" t="s">
        <v>1209</v>
      </c>
      <c r="D387" s="27" t="s">
        <v>1210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133900</f>
        <v>133900.0</v>
      </c>
      <c r="L387" s="34" t="s">
        <v>48</v>
      </c>
      <c r="M387" s="33" t="n">
        <f>138700</f>
        <v>138700.0</v>
      </c>
      <c r="N387" s="34" t="s">
        <v>70</v>
      </c>
      <c r="O387" s="33" t="n">
        <f>133700</f>
        <v>133700.0</v>
      </c>
      <c r="P387" s="34" t="s">
        <v>48</v>
      </c>
      <c r="Q387" s="33" t="n">
        <f>136600</f>
        <v>136600.0</v>
      </c>
      <c r="R387" s="34" t="s">
        <v>51</v>
      </c>
      <c r="S387" s="35" t="n">
        <f>135290.91</f>
        <v>135290.91</v>
      </c>
      <c r="T387" s="32" t="n">
        <f>108262</f>
        <v>108262.0</v>
      </c>
      <c r="U387" s="32" t="n">
        <f>25570</f>
        <v>25570.0</v>
      </c>
      <c r="V387" s="32" t="n">
        <f>14707825485</f>
        <v>1.4707825485E10</v>
      </c>
      <c r="W387" s="32" t="n">
        <f>3477424385</f>
        <v>3.477424385E9</v>
      </c>
      <c r="X387" s="36" t="n">
        <f>22</f>
        <v>22.0</v>
      </c>
    </row>
    <row r="388">
      <c r="A388" s="27" t="s">
        <v>42</v>
      </c>
      <c r="B388" s="27" t="s">
        <v>1211</v>
      </c>
      <c r="C388" s="27" t="s">
        <v>1212</v>
      </c>
      <c r="D388" s="27" t="s">
        <v>1213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121500</f>
        <v>121500.0</v>
      </c>
      <c r="L388" s="34" t="s">
        <v>48</v>
      </c>
      <c r="M388" s="33" t="n">
        <f>125200</f>
        <v>125200.0</v>
      </c>
      <c r="N388" s="34" t="s">
        <v>70</v>
      </c>
      <c r="O388" s="33" t="n">
        <f>121200</f>
        <v>121200.0</v>
      </c>
      <c r="P388" s="34" t="s">
        <v>48</v>
      </c>
      <c r="Q388" s="33" t="n">
        <f>123700</f>
        <v>123700.0</v>
      </c>
      <c r="R388" s="34" t="s">
        <v>51</v>
      </c>
      <c r="S388" s="35" t="n">
        <f>122777.27</f>
        <v>122777.27</v>
      </c>
      <c r="T388" s="32" t="n">
        <f>229281</f>
        <v>229281.0</v>
      </c>
      <c r="U388" s="32" t="n">
        <f>46362</f>
        <v>46362.0</v>
      </c>
      <c r="V388" s="32" t="n">
        <f>28190423872</f>
        <v>2.8190423872E10</v>
      </c>
      <c r="W388" s="32" t="n">
        <f>5699576072</f>
        <v>5.699576072E9</v>
      </c>
      <c r="X388" s="36" t="n">
        <f>22</f>
        <v>22.0</v>
      </c>
    </row>
    <row r="389">
      <c r="A389" s="27" t="s">
        <v>42</v>
      </c>
      <c r="B389" s="27" t="s">
        <v>1214</v>
      </c>
      <c r="C389" s="27" t="s">
        <v>1215</v>
      </c>
      <c r="D389" s="27" t="s">
        <v>1216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149800</f>
        <v>149800.0</v>
      </c>
      <c r="L389" s="34" t="s">
        <v>48</v>
      </c>
      <c r="M389" s="33" t="n">
        <f>159300</f>
        <v>159300.0</v>
      </c>
      <c r="N389" s="34" t="s">
        <v>104</v>
      </c>
      <c r="O389" s="33" t="n">
        <f>149000</f>
        <v>149000.0</v>
      </c>
      <c r="P389" s="34" t="s">
        <v>48</v>
      </c>
      <c r="Q389" s="33" t="n">
        <f>156100</f>
        <v>156100.0</v>
      </c>
      <c r="R389" s="34" t="s">
        <v>51</v>
      </c>
      <c r="S389" s="35" t="n">
        <f>154195.45</f>
        <v>154195.45</v>
      </c>
      <c r="T389" s="32" t="n">
        <f>240316</f>
        <v>240316.0</v>
      </c>
      <c r="U389" s="32" t="n">
        <f>85620</f>
        <v>85620.0</v>
      </c>
      <c r="V389" s="32" t="n">
        <f>37374959085</f>
        <v>3.7374959085E10</v>
      </c>
      <c r="W389" s="32" t="n">
        <f>13363986685</f>
        <v>1.3363986685E10</v>
      </c>
      <c r="X389" s="36" t="n">
        <f>22</f>
        <v>22.0</v>
      </c>
    </row>
    <row r="390">
      <c r="A390" s="27" t="s">
        <v>42</v>
      </c>
      <c r="B390" s="27" t="s">
        <v>1217</v>
      </c>
      <c r="C390" s="27" t="s">
        <v>1218</v>
      </c>
      <c r="D390" s="27" t="s">
        <v>1219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122500</f>
        <v>122500.0</v>
      </c>
      <c r="L390" s="34" t="s">
        <v>48</v>
      </c>
      <c r="M390" s="33" t="n">
        <f>130800</f>
        <v>130800.0</v>
      </c>
      <c r="N390" s="34" t="s">
        <v>111</v>
      </c>
      <c r="O390" s="33" t="n">
        <f>122000</f>
        <v>122000.0</v>
      </c>
      <c r="P390" s="34" t="s">
        <v>48</v>
      </c>
      <c r="Q390" s="33" t="n">
        <f>129300</f>
        <v>129300.0</v>
      </c>
      <c r="R390" s="34" t="s">
        <v>51</v>
      </c>
      <c r="S390" s="35" t="n">
        <f>126290.91</f>
        <v>126290.91</v>
      </c>
      <c r="T390" s="32" t="n">
        <f>210832</f>
        <v>210832.0</v>
      </c>
      <c r="U390" s="32" t="n">
        <f>68605</f>
        <v>68605.0</v>
      </c>
      <c r="V390" s="32" t="n">
        <f>26866431714</f>
        <v>2.6866431714E10</v>
      </c>
      <c r="W390" s="32" t="n">
        <f>8787223114</f>
        <v>8.787223114E9</v>
      </c>
      <c r="X390" s="36" t="n">
        <f>22</f>
        <v>22.0</v>
      </c>
    </row>
    <row r="391">
      <c r="A391" s="27" t="s">
        <v>42</v>
      </c>
      <c r="B391" s="27" t="s">
        <v>1220</v>
      </c>
      <c r="C391" s="27" t="s">
        <v>1221</v>
      </c>
      <c r="D391" s="27" t="s">
        <v>1222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129100</f>
        <v>129100.0</v>
      </c>
      <c r="L391" s="34" t="s">
        <v>48</v>
      </c>
      <c r="M391" s="33" t="n">
        <f>133500</f>
        <v>133500.0</v>
      </c>
      <c r="N391" s="34" t="s">
        <v>51</v>
      </c>
      <c r="O391" s="33" t="n">
        <f>128800</f>
        <v>128800.0</v>
      </c>
      <c r="P391" s="34" t="s">
        <v>50</v>
      </c>
      <c r="Q391" s="33" t="n">
        <f>132400</f>
        <v>132400.0</v>
      </c>
      <c r="R391" s="34" t="s">
        <v>51</v>
      </c>
      <c r="S391" s="35" t="n">
        <f>130245.45</f>
        <v>130245.45</v>
      </c>
      <c r="T391" s="32" t="n">
        <f>321595</f>
        <v>321595.0</v>
      </c>
      <c r="U391" s="32" t="n">
        <f>88883</f>
        <v>88883.0</v>
      </c>
      <c r="V391" s="32" t="n">
        <f>41937617288</f>
        <v>4.1937617288E10</v>
      </c>
      <c r="W391" s="32" t="n">
        <f>11601852988</f>
        <v>1.1601852988E10</v>
      </c>
      <c r="X391" s="36" t="n">
        <f>22</f>
        <v>22.0</v>
      </c>
    </row>
    <row r="392">
      <c r="A392" s="27" t="s">
        <v>42</v>
      </c>
      <c r="B392" s="27" t="s">
        <v>1223</v>
      </c>
      <c r="C392" s="27" t="s">
        <v>1224</v>
      </c>
      <c r="D392" s="27" t="s">
        <v>1225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286300</f>
        <v>286300.0</v>
      </c>
      <c r="L392" s="34" t="s">
        <v>48</v>
      </c>
      <c r="M392" s="33" t="n">
        <f>298700</f>
        <v>298700.0</v>
      </c>
      <c r="N392" s="34" t="s">
        <v>70</v>
      </c>
      <c r="O392" s="33" t="n">
        <f>285100</f>
        <v>285100.0</v>
      </c>
      <c r="P392" s="34" t="s">
        <v>48</v>
      </c>
      <c r="Q392" s="33" t="n">
        <f>297000</f>
        <v>297000.0</v>
      </c>
      <c r="R392" s="34" t="s">
        <v>51</v>
      </c>
      <c r="S392" s="35" t="n">
        <f>292613.64</f>
        <v>292613.64</v>
      </c>
      <c r="T392" s="32" t="n">
        <f>61914</f>
        <v>61914.0</v>
      </c>
      <c r="U392" s="32" t="n">
        <f>16535</f>
        <v>16535.0</v>
      </c>
      <c r="V392" s="32" t="n">
        <f>18164250178</f>
        <v>1.8164250178E10</v>
      </c>
      <c r="W392" s="32" t="n">
        <f>4854173278</f>
        <v>4.854173278E9</v>
      </c>
      <c r="X392" s="36" t="n">
        <f>22</f>
        <v>22.0</v>
      </c>
    </row>
    <row r="393">
      <c r="A393" s="27" t="s">
        <v>42</v>
      </c>
      <c r="B393" s="27" t="s">
        <v>1226</v>
      </c>
      <c r="C393" s="27" t="s">
        <v>1227</v>
      </c>
      <c r="D393" s="27" t="s">
        <v>1228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79700</f>
        <v>79700.0</v>
      </c>
      <c r="L393" s="34" t="s">
        <v>48</v>
      </c>
      <c r="M393" s="33" t="n">
        <f>82200</f>
        <v>82200.0</v>
      </c>
      <c r="N393" s="34" t="s">
        <v>104</v>
      </c>
      <c r="O393" s="33" t="n">
        <f>78700</f>
        <v>78700.0</v>
      </c>
      <c r="P393" s="34" t="s">
        <v>269</v>
      </c>
      <c r="Q393" s="33" t="n">
        <f>81700</f>
        <v>81700.0</v>
      </c>
      <c r="R393" s="34" t="s">
        <v>51</v>
      </c>
      <c r="S393" s="35" t="n">
        <f>80304.55</f>
        <v>80304.55</v>
      </c>
      <c r="T393" s="32" t="n">
        <f>413241</f>
        <v>413241.0</v>
      </c>
      <c r="U393" s="32" t="n">
        <f>140639</f>
        <v>140639.0</v>
      </c>
      <c r="V393" s="32" t="n">
        <f>33189975402</f>
        <v>3.3189975402E10</v>
      </c>
      <c r="W393" s="32" t="n">
        <f>11302366702</f>
        <v>1.1302366702E10</v>
      </c>
      <c r="X393" s="36" t="n">
        <f>22</f>
        <v>22.0</v>
      </c>
    </row>
    <row r="394">
      <c r="A394" s="27" t="s">
        <v>42</v>
      </c>
      <c r="B394" s="27" t="s">
        <v>1229</v>
      </c>
      <c r="C394" s="27" t="s">
        <v>1230</v>
      </c>
      <c r="D394" s="27" t="s">
        <v>1231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240000</f>
        <v>240000.0</v>
      </c>
      <c r="L394" s="34" t="s">
        <v>48</v>
      </c>
      <c r="M394" s="33" t="n">
        <f>263600</f>
        <v>263600.0</v>
      </c>
      <c r="N394" s="34" t="s">
        <v>51</v>
      </c>
      <c r="O394" s="33" t="n">
        <f>237300</f>
        <v>237300.0</v>
      </c>
      <c r="P394" s="34" t="s">
        <v>48</v>
      </c>
      <c r="Q394" s="33" t="n">
        <f>262400</f>
        <v>262400.0</v>
      </c>
      <c r="R394" s="34" t="s">
        <v>51</v>
      </c>
      <c r="S394" s="35" t="n">
        <f>250568.18</f>
        <v>250568.18</v>
      </c>
      <c r="T394" s="32" t="n">
        <f>77120</f>
        <v>77120.0</v>
      </c>
      <c r="U394" s="32" t="n">
        <f>19107</f>
        <v>19107.0</v>
      </c>
      <c r="V394" s="32" t="n">
        <f>19492427160</f>
        <v>1.949242716E10</v>
      </c>
      <c r="W394" s="32" t="n">
        <f>4865128660</f>
        <v>4.86512866E9</v>
      </c>
      <c r="X394" s="36" t="n">
        <f>22</f>
        <v>22.0</v>
      </c>
    </row>
    <row r="395">
      <c r="A395" s="27" t="s">
        <v>42</v>
      </c>
      <c r="B395" s="27" t="s">
        <v>1232</v>
      </c>
      <c r="C395" s="27" t="s">
        <v>1233</v>
      </c>
      <c r="D395" s="27" t="s">
        <v>1234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1098</f>
        <v>1098.0</v>
      </c>
      <c r="L395" s="34" t="s">
        <v>48</v>
      </c>
      <c r="M395" s="33" t="n">
        <f>1150</f>
        <v>1150.0</v>
      </c>
      <c r="N395" s="34" t="s">
        <v>246</v>
      </c>
      <c r="O395" s="33" t="n">
        <f>1077</f>
        <v>1077.0</v>
      </c>
      <c r="P395" s="34" t="s">
        <v>212</v>
      </c>
      <c r="Q395" s="33" t="n">
        <f>1126</f>
        <v>1126.0</v>
      </c>
      <c r="R395" s="34" t="s">
        <v>51</v>
      </c>
      <c r="S395" s="35" t="n">
        <f>1109</f>
        <v>1109.0</v>
      </c>
      <c r="T395" s="32" t="n">
        <f>106329</f>
        <v>106329.0</v>
      </c>
      <c r="U395" s="32" t="n">
        <f>100000</f>
        <v>100000.0</v>
      </c>
      <c r="V395" s="32" t="n">
        <f>117823807</f>
        <v>1.17823807E8</v>
      </c>
      <c r="W395" s="32" t="n">
        <f>110831140</f>
        <v>1.1083114E8</v>
      </c>
      <c r="X395" s="36" t="n">
        <f>22</f>
        <v>22.0</v>
      </c>
    </row>
    <row r="396">
      <c r="A396" s="27" t="s">
        <v>42</v>
      </c>
      <c r="B396" s="27" t="s">
        <v>1235</v>
      </c>
      <c r="C396" s="27" t="s">
        <v>1236</v>
      </c>
      <c r="D396" s="27" t="s">
        <v>1237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256500</f>
        <v>256500.0</v>
      </c>
      <c r="L396" s="34" t="s">
        <v>48</v>
      </c>
      <c r="M396" s="33" t="n">
        <f>268400</f>
        <v>268400.0</v>
      </c>
      <c r="N396" s="34" t="s">
        <v>51</v>
      </c>
      <c r="O396" s="33" t="n">
        <f>255000</f>
        <v>255000.0</v>
      </c>
      <c r="P396" s="34" t="s">
        <v>48</v>
      </c>
      <c r="Q396" s="33" t="n">
        <f>268300</f>
        <v>268300.0</v>
      </c>
      <c r="R396" s="34" t="s">
        <v>51</v>
      </c>
      <c r="S396" s="35" t="n">
        <f>259695.45</f>
        <v>259695.45</v>
      </c>
      <c r="T396" s="32" t="n">
        <f>24317</f>
        <v>24317.0</v>
      </c>
      <c r="U396" s="32" t="n">
        <f>6969</f>
        <v>6969.0</v>
      </c>
      <c r="V396" s="32" t="n">
        <f>6357328104</f>
        <v>6.357328104E9</v>
      </c>
      <c r="W396" s="32" t="n">
        <f>1832178704</f>
        <v>1.832178704E9</v>
      </c>
      <c r="X396" s="36" t="n">
        <f>22</f>
        <v>22.0</v>
      </c>
    </row>
    <row r="397">
      <c r="A397" s="27" t="s">
        <v>42</v>
      </c>
      <c r="B397" s="27" t="s">
        <v>1238</v>
      </c>
      <c r="C397" s="27" t="s">
        <v>1239</v>
      </c>
      <c r="D397" s="27" t="s">
        <v>1240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126800</f>
        <v>126800.0</v>
      </c>
      <c r="L397" s="34" t="s">
        <v>48</v>
      </c>
      <c r="M397" s="33" t="n">
        <f>129900</f>
        <v>129900.0</v>
      </c>
      <c r="N397" s="34" t="s">
        <v>70</v>
      </c>
      <c r="O397" s="33" t="n">
        <f>125500</f>
        <v>125500.0</v>
      </c>
      <c r="P397" s="34" t="s">
        <v>330</v>
      </c>
      <c r="Q397" s="33" t="n">
        <f>128900</f>
        <v>128900.0</v>
      </c>
      <c r="R397" s="34" t="s">
        <v>51</v>
      </c>
      <c r="S397" s="35" t="n">
        <f>127345.45</f>
        <v>127345.45</v>
      </c>
      <c r="T397" s="32" t="n">
        <f>142663</f>
        <v>142663.0</v>
      </c>
      <c r="U397" s="32" t="n">
        <f>25452</f>
        <v>25452.0</v>
      </c>
      <c r="V397" s="32" t="n">
        <f>18208790347</f>
        <v>1.8208790347E10</v>
      </c>
      <c r="W397" s="32" t="n">
        <f>3253894247</f>
        <v>3.253894247E9</v>
      </c>
      <c r="X397" s="36" t="n">
        <f>22</f>
        <v>22.0</v>
      </c>
    </row>
    <row r="398">
      <c r="A398" s="27" t="s">
        <v>42</v>
      </c>
      <c r="B398" s="27" t="s">
        <v>1241</v>
      </c>
      <c r="C398" s="27" t="s">
        <v>1242</v>
      </c>
      <c r="D398" s="27" t="s">
        <v>1243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155700</f>
        <v>155700.0</v>
      </c>
      <c r="L398" s="34" t="s">
        <v>48</v>
      </c>
      <c r="M398" s="33" t="n">
        <f>165500</f>
        <v>165500.0</v>
      </c>
      <c r="N398" s="34" t="s">
        <v>104</v>
      </c>
      <c r="O398" s="33" t="n">
        <f>154700</f>
        <v>154700.0</v>
      </c>
      <c r="P398" s="34" t="s">
        <v>48</v>
      </c>
      <c r="Q398" s="33" t="n">
        <f>165000</f>
        <v>165000.0</v>
      </c>
      <c r="R398" s="34" t="s">
        <v>51</v>
      </c>
      <c r="S398" s="35" t="n">
        <f>160359.09</f>
        <v>160359.09</v>
      </c>
      <c r="T398" s="32" t="n">
        <f>85755</f>
        <v>85755.0</v>
      </c>
      <c r="U398" s="32" t="n">
        <f>24732</f>
        <v>24732.0</v>
      </c>
      <c r="V398" s="32" t="n">
        <f>13773140762</f>
        <v>1.3773140762E10</v>
      </c>
      <c r="W398" s="32" t="n">
        <f>3980379862</f>
        <v>3.980379862E9</v>
      </c>
      <c r="X398" s="36" t="n">
        <f>22</f>
        <v>22.0</v>
      </c>
    </row>
    <row r="399">
      <c r="A399" s="27" t="s">
        <v>42</v>
      </c>
      <c r="B399" s="27" t="s">
        <v>1244</v>
      </c>
      <c r="C399" s="27" t="s">
        <v>1245</v>
      </c>
      <c r="D399" s="27" t="s">
        <v>1246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88400</f>
        <v>88400.0</v>
      </c>
      <c r="L399" s="34" t="s">
        <v>48</v>
      </c>
      <c r="M399" s="33" t="n">
        <f>95200</f>
        <v>95200.0</v>
      </c>
      <c r="N399" s="34" t="s">
        <v>51</v>
      </c>
      <c r="O399" s="33" t="n">
        <f>87900</f>
        <v>87900.0</v>
      </c>
      <c r="P399" s="34" t="s">
        <v>48</v>
      </c>
      <c r="Q399" s="33" t="n">
        <f>94600</f>
        <v>94600.0</v>
      </c>
      <c r="R399" s="34" t="s">
        <v>51</v>
      </c>
      <c r="S399" s="35" t="n">
        <f>91377.27</f>
        <v>91377.27</v>
      </c>
      <c r="T399" s="32" t="n">
        <f>105718</f>
        <v>105718.0</v>
      </c>
      <c r="U399" s="32" t="n">
        <f>25621</f>
        <v>25621.0</v>
      </c>
      <c r="V399" s="32" t="n">
        <f>9689117831</f>
        <v>9.689117831E9</v>
      </c>
      <c r="W399" s="32" t="n">
        <f>2357693831</f>
        <v>2.357693831E9</v>
      </c>
      <c r="X399" s="36" t="n">
        <f>22</f>
        <v>22.0</v>
      </c>
    </row>
    <row r="400">
      <c r="A400" s="27" t="s">
        <v>42</v>
      </c>
      <c r="B400" s="27" t="s">
        <v>1247</v>
      </c>
      <c r="C400" s="27" t="s">
        <v>1248</v>
      </c>
      <c r="D400" s="27" t="s">
        <v>1249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76000</f>
        <v>76000.0</v>
      </c>
      <c r="L400" s="34" t="s">
        <v>48</v>
      </c>
      <c r="M400" s="33" t="n">
        <f>78800</f>
        <v>78800.0</v>
      </c>
      <c r="N400" s="34" t="s">
        <v>51</v>
      </c>
      <c r="O400" s="33" t="n">
        <f>75000</f>
        <v>75000.0</v>
      </c>
      <c r="P400" s="34" t="s">
        <v>205</v>
      </c>
      <c r="Q400" s="33" t="n">
        <f>78500</f>
        <v>78500.0</v>
      </c>
      <c r="R400" s="34" t="s">
        <v>51</v>
      </c>
      <c r="S400" s="35" t="n">
        <f>76300</f>
        <v>76300.0</v>
      </c>
      <c r="T400" s="32" t="n">
        <f>291641</f>
        <v>291641.0</v>
      </c>
      <c r="U400" s="32" t="n">
        <f>90902</f>
        <v>90902.0</v>
      </c>
      <c r="V400" s="32" t="n">
        <f>22266219011</f>
        <v>2.2266219011E10</v>
      </c>
      <c r="W400" s="32" t="n">
        <f>6942316011</f>
        <v>6.942316011E9</v>
      </c>
      <c r="X400" s="36" t="n">
        <f>22</f>
        <v>22.0</v>
      </c>
    </row>
    <row r="401">
      <c r="A401" s="27" t="s">
        <v>42</v>
      </c>
      <c r="B401" s="27" t="s">
        <v>1250</v>
      </c>
      <c r="C401" s="27" t="s">
        <v>1251</v>
      </c>
      <c r="D401" s="27" t="s">
        <v>1252</v>
      </c>
      <c r="E401" s="28" t="s">
        <v>46</v>
      </c>
      <c r="F401" s="29" t="s">
        <v>46</v>
      </c>
      <c r="G401" s="30" t="s">
        <v>46</v>
      </c>
      <c r="H401" s="31"/>
      <c r="I401" s="31" t="s">
        <v>418</v>
      </c>
      <c r="J401" s="32" t="n">
        <v>1.0</v>
      </c>
      <c r="K401" s="33" t="n">
        <f>135200</f>
        <v>135200.0</v>
      </c>
      <c r="L401" s="34" t="s">
        <v>48</v>
      </c>
      <c r="M401" s="33" t="n">
        <f>143000</f>
        <v>143000.0</v>
      </c>
      <c r="N401" s="34" t="s">
        <v>51</v>
      </c>
      <c r="O401" s="33" t="n">
        <f>134000</f>
        <v>134000.0</v>
      </c>
      <c r="P401" s="34" t="s">
        <v>61</v>
      </c>
      <c r="Q401" s="33" t="n">
        <f>142600</f>
        <v>142600.0</v>
      </c>
      <c r="R401" s="34" t="s">
        <v>51</v>
      </c>
      <c r="S401" s="35" t="n">
        <f>137990.91</f>
        <v>137990.91</v>
      </c>
      <c r="T401" s="32" t="n">
        <f>16481</f>
        <v>16481.0</v>
      </c>
      <c r="U401" s="32" t="n">
        <f>2890</f>
        <v>2890.0</v>
      </c>
      <c r="V401" s="32" t="n">
        <f>2284710472</f>
        <v>2.284710472E9</v>
      </c>
      <c r="W401" s="32" t="n">
        <f>401561372</f>
        <v>4.01561372E8</v>
      </c>
      <c r="X401" s="36" t="n">
        <f>22</f>
        <v>22.0</v>
      </c>
    </row>
    <row r="402">
      <c r="A402" s="27" t="s">
        <v>42</v>
      </c>
      <c r="B402" s="27" t="s">
        <v>1253</v>
      </c>
      <c r="C402" s="27" t="s">
        <v>1254</v>
      </c>
      <c r="D402" s="27" t="s">
        <v>1255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115300</f>
        <v>115300.0</v>
      </c>
      <c r="L402" s="34" t="s">
        <v>48</v>
      </c>
      <c r="M402" s="33" t="n">
        <f>117800</f>
        <v>117800.0</v>
      </c>
      <c r="N402" s="34" t="s">
        <v>111</v>
      </c>
      <c r="O402" s="33" t="n">
        <f>113800</f>
        <v>113800.0</v>
      </c>
      <c r="P402" s="34" t="s">
        <v>48</v>
      </c>
      <c r="Q402" s="33" t="n">
        <f>115400</f>
        <v>115400.0</v>
      </c>
      <c r="R402" s="34" t="s">
        <v>51</v>
      </c>
      <c r="S402" s="35" t="n">
        <f>115845.45</f>
        <v>115845.45</v>
      </c>
      <c r="T402" s="32" t="n">
        <f>34254</f>
        <v>34254.0</v>
      </c>
      <c r="U402" s="32" t="n">
        <f>7795</f>
        <v>7795.0</v>
      </c>
      <c r="V402" s="32" t="n">
        <f>3967879879</f>
        <v>3.967879879E9</v>
      </c>
      <c r="W402" s="32" t="n">
        <f>904620679</f>
        <v>9.04620679E8</v>
      </c>
      <c r="X402" s="36" t="n">
        <f>22</f>
        <v>22.0</v>
      </c>
    </row>
    <row r="403">
      <c r="A403" s="27" t="s">
        <v>42</v>
      </c>
      <c r="B403" s="27" t="s">
        <v>1256</v>
      </c>
      <c r="C403" s="27" t="s">
        <v>1257</v>
      </c>
      <c r="D403" s="27" t="s">
        <v>1258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97000</f>
        <v>97000.0</v>
      </c>
      <c r="L403" s="34" t="s">
        <v>48</v>
      </c>
      <c r="M403" s="33" t="n">
        <f>99600</f>
        <v>99600.0</v>
      </c>
      <c r="N403" s="34" t="s">
        <v>51</v>
      </c>
      <c r="O403" s="33" t="n">
        <f>95500</f>
        <v>95500.0</v>
      </c>
      <c r="P403" s="34" t="s">
        <v>104</v>
      </c>
      <c r="Q403" s="33" t="n">
        <f>98800</f>
        <v>98800.0</v>
      </c>
      <c r="R403" s="34" t="s">
        <v>51</v>
      </c>
      <c r="S403" s="35" t="n">
        <f>97309.09</f>
        <v>97309.09</v>
      </c>
      <c r="T403" s="32" t="n">
        <f>43665</f>
        <v>43665.0</v>
      </c>
      <c r="U403" s="32" t="n">
        <f>5472</f>
        <v>5472.0</v>
      </c>
      <c r="V403" s="32" t="n">
        <f>4252825452</f>
        <v>4.252825452E9</v>
      </c>
      <c r="W403" s="32" t="n">
        <f>532998352</f>
        <v>5.32998352E8</v>
      </c>
      <c r="X403" s="36" t="n">
        <f>22</f>
        <v>22.0</v>
      </c>
    </row>
    <row r="404">
      <c r="A404" s="27" t="s">
        <v>42</v>
      </c>
      <c r="B404" s="27" t="s">
        <v>1259</v>
      </c>
      <c r="C404" s="27" t="s">
        <v>1260</v>
      </c>
      <c r="D404" s="27" t="s">
        <v>1261</v>
      </c>
      <c r="E404" s="28" t="s">
        <v>46</v>
      </c>
      <c r="F404" s="29" t="s">
        <v>46</v>
      </c>
      <c r="G404" s="30" t="s">
        <v>46</v>
      </c>
      <c r="H404" s="31"/>
      <c r="I404" s="31" t="s">
        <v>418</v>
      </c>
      <c r="J404" s="32" t="n">
        <v>1.0</v>
      </c>
      <c r="K404" s="33" t="n">
        <f>10250</f>
        <v>10250.0</v>
      </c>
      <c r="L404" s="34" t="s">
        <v>48</v>
      </c>
      <c r="M404" s="33" t="n">
        <f>10970</f>
        <v>10970.0</v>
      </c>
      <c r="N404" s="34" t="s">
        <v>51</v>
      </c>
      <c r="O404" s="33" t="n">
        <f>10150</f>
        <v>10150.0</v>
      </c>
      <c r="P404" s="34" t="s">
        <v>48</v>
      </c>
      <c r="Q404" s="33" t="n">
        <f>10970</f>
        <v>10970.0</v>
      </c>
      <c r="R404" s="34" t="s">
        <v>51</v>
      </c>
      <c r="S404" s="35" t="n">
        <f>10503.64</f>
        <v>10503.64</v>
      </c>
      <c r="T404" s="32" t="n">
        <f>17138</f>
        <v>17138.0</v>
      </c>
      <c r="U404" s="32" t="str">
        <f>"－"</f>
        <v>－</v>
      </c>
      <c r="V404" s="32" t="n">
        <f>182882375</f>
        <v>1.82882375E8</v>
      </c>
      <c r="W404" s="32" t="str">
        <f>"－"</f>
        <v>－</v>
      </c>
      <c r="X404" s="36" t="n">
        <f>22</f>
        <v>22.0</v>
      </c>
    </row>
    <row r="405">
      <c r="A405" s="27" t="s">
        <v>42</v>
      </c>
      <c r="B405" s="27" t="s">
        <v>1262</v>
      </c>
      <c r="C405" s="27" t="s">
        <v>1263</v>
      </c>
      <c r="D405" s="27" t="s">
        <v>1264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147000</f>
        <v>147000.0</v>
      </c>
      <c r="L405" s="34" t="s">
        <v>48</v>
      </c>
      <c r="M405" s="33" t="n">
        <f>160700</f>
        <v>160700.0</v>
      </c>
      <c r="N405" s="34" t="s">
        <v>104</v>
      </c>
      <c r="O405" s="33" t="n">
        <f>146800</f>
        <v>146800.0</v>
      </c>
      <c r="P405" s="34" t="s">
        <v>61</v>
      </c>
      <c r="Q405" s="33" t="n">
        <f>159400</f>
        <v>159400.0</v>
      </c>
      <c r="R405" s="34" t="s">
        <v>51</v>
      </c>
      <c r="S405" s="35" t="n">
        <f>152627.27</f>
        <v>152627.27</v>
      </c>
      <c r="T405" s="32" t="n">
        <f>246173</f>
        <v>246173.0</v>
      </c>
      <c r="U405" s="32" t="n">
        <f>69644</f>
        <v>69644.0</v>
      </c>
      <c r="V405" s="32" t="n">
        <f>37701275435</f>
        <v>3.7701275435E10</v>
      </c>
      <c r="W405" s="32" t="n">
        <f>10735887735</f>
        <v>1.0735887735E10</v>
      </c>
      <c r="X405" s="36" t="n">
        <f>22</f>
        <v>22.0</v>
      </c>
    </row>
    <row r="406">
      <c r="A406" s="27" t="s">
        <v>42</v>
      </c>
      <c r="B406" s="27" t="s">
        <v>1265</v>
      </c>
      <c r="C406" s="27" t="s">
        <v>1266</v>
      </c>
      <c r="D406" s="27" t="s">
        <v>1267</v>
      </c>
      <c r="E406" s="28" t="s">
        <v>46</v>
      </c>
      <c r="F406" s="29" t="s">
        <v>46</v>
      </c>
      <c r="G406" s="30" t="s">
        <v>46</v>
      </c>
      <c r="H406" s="31"/>
      <c r="I406" s="31" t="s">
        <v>418</v>
      </c>
      <c r="J406" s="32" t="n">
        <v>1.0</v>
      </c>
      <c r="K406" s="33" t="n">
        <f>130200</f>
        <v>130200.0</v>
      </c>
      <c r="L406" s="34" t="s">
        <v>48</v>
      </c>
      <c r="M406" s="33" t="n">
        <f>133800</f>
        <v>133800.0</v>
      </c>
      <c r="N406" s="34" t="s">
        <v>104</v>
      </c>
      <c r="O406" s="33" t="n">
        <f>126100</f>
        <v>126100.0</v>
      </c>
      <c r="P406" s="34" t="s">
        <v>118</v>
      </c>
      <c r="Q406" s="33" t="n">
        <f>131900</f>
        <v>131900.0</v>
      </c>
      <c r="R406" s="34" t="s">
        <v>51</v>
      </c>
      <c r="S406" s="35" t="n">
        <f>129922.73</f>
        <v>129922.73</v>
      </c>
      <c r="T406" s="32" t="n">
        <f>47208</f>
        <v>47208.0</v>
      </c>
      <c r="U406" s="32" t="n">
        <f>3960</f>
        <v>3960.0</v>
      </c>
      <c r="V406" s="32" t="n">
        <f>6150743767</f>
        <v>6.150743767E9</v>
      </c>
      <c r="W406" s="32" t="n">
        <f>516523867</f>
        <v>5.16523867E8</v>
      </c>
      <c r="X406" s="36" t="n">
        <f>22</f>
        <v>22.0</v>
      </c>
    </row>
    <row r="407">
      <c r="A407" s="27" t="s">
        <v>42</v>
      </c>
      <c r="B407" s="27" t="s">
        <v>1268</v>
      </c>
      <c r="C407" s="27" t="s">
        <v>1269</v>
      </c>
      <c r="D407" s="27" t="s">
        <v>1270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138600</f>
        <v>138600.0</v>
      </c>
      <c r="L407" s="34" t="s">
        <v>48</v>
      </c>
      <c r="M407" s="33" t="n">
        <f>145500</f>
        <v>145500.0</v>
      </c>
      <c r="N407" s="34" t="s">
        <v>104</v>
      </c>
      <c r="O407" s="33" t="n">
        <f>137200</f>
        <v>137200.0</v>
      </c>
      <c r="P407" s="34" t="s">
        <v>50</v>
      </c>
      <c r="Q407" s="33" t="n">
        <f>143900</f>
        <v>143900.0</v>
      </c>
      <c r="R407" s="34" t="s">
        <v>51</v>
      </c>
      <c r="S407" s="35" t="n">
        <f>139486.36</f>
        <v>139486.36</v>
      </c>
      <c r="T407" s="32" t="n">
        <f>141292</f>
        <v>141292.0</v>
      </c>
      <c r="U407" s="32" t="n">
        <f>49109</f>
        <v>49109.0</v>
      </c>
      <c r="V407" s="32" t="n">
        <f>19932243537</f>
        <v>1.9932243537E10</v>
      </c>
      <c r="W407" s="32" t="n">
        <f>6965354637</f>
        <v>6.965354637E9</v>
      </c>
      <c r="X407" s="36" t="n">
        <f>22</f>
        <v>22.0</v>
      </c>
    </row>
    <row r="408">
      <c r="A408" s="27" t="s">
        <v>42</v>
      </c>
      <c r="B408" s="27" t="s">
        <v>1271</v>
      </c>
      <c r="C408" s="27" t="s">
        <v>1272</v>
      </c>
      <c r="D408" s="27" t="s">
        <v>1273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57100</f>
        <v>57100.0</v>
      </c>
      <c r="L408" s="34" t="s">
        <v>48</v>
      </c>
      <c r="M408" s="33" t="n">
        <f>59500</f>
        <v>59500.0</v>
      </c>
      <c r="N408" s="34" t="s">
        <v>80</v>
      </c>
      <c r="O408" s="33" t="n">
        <f>56800</f>
        <v>56800.0</v>
      </c>
      <c r="P408" s="34" t="s">
        <v>48</v>
      </c>
      <c r="Q408" s="33" t="n">
        <f>58700</f>
        <v>58700.0</v>
      </c>
      <c r="R408" s="34" t="s">
        <v>51</v>
      </c>
      <c r="S408" s="35" t="n">
        <f>58177.27</f>
        <v>58177.27</v>
      </c>
      <c r="T408" s="32" t="n">
        <f>232538</f>
        <v>232538.0</v>
      </c>
      <c r="U408" s="32" t="n">
        <f>37449</f>
        <v>37449.0</v>
      </c>
      <c r="V408" s="32" t="n">
        <f>13537417468</f>
        <v>1.3537417468E10</v>
      </c>
      <c r="W408" s="32" t="n">
        <f>2179520268</f>
        <v>2.179520268E9</v>
      </c>
      <c r="X408" s="36" t="n">
        <f>22</f>
        <v>22.0</v>
      </c>
    </row>
    <row r="409">
      <c r="A409" s="27" t="s">
        <v>42</v>
      </c>
      <c r="B409" s="27" t="s">
        <v>1274</v>
      </c>
      <c r="C409" s="27" t="s">
        <v>1275</v>
      </c>
      <c r="D409" s="27" t="s">
        <v>1276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2460</f>
        <v>2460.0</v>
      </c>
      <c r="L409" s="34" t="s">
        <v>48</v>
      </c>
      <c r="M409" s="33" t="n">
        <f>2777</f>
        <v>2777.0</v>
      </c>
      <c r="N409" s="34" t="s">
        <v>51</v>
      </c>
      <c r="O409" s="33" t="n">
        <f>2383</f>
        <v>2383.0</v>
      </c>
      <c r="P409" s="34" t="s">
        <v>61</v>
      </c>
      <c r="Q409" s="33" t="n">
        <f>2762</f>
        <v>2762.0</v>
      </c>
      <c r="R409" s="34" t="s">
        <v>51</v>
      </c>
      <c r="S409" s="35" t="n">
        <f>2582.18</f>
        <v>2582.18</v>
      </c>
      <c r="T409" s="32" t="n">
        <f>554178</f>
        <v>554178.0</v>
      </c>
      <c r="U409" s="32" t="n">
        <f>118000</f>
        <v>118000.0</v>
      </c>
      <c r="V409" s="32" t="n">
        <f>1444315031</f>
        <v>1.444315031E9</v>
      </c>
      <c r="W409" s="32" t="n">
        <f>308434262</f>
        <v>3.08434262E8</v>
      </c>
      <c r="X409" s="36" t="n">
        <f>22</f>
        <v>22.0</v>
      </c>
    </row>
    <row r="410">
      <c r="A410" s="27" t="s">
        <v>42</v>
      </c>
      <c r="B410" s="27" t="s">
        <v>1277</v>
      </c>
      <c r="C410" s="27" t="s">
        <v>1278</v>
      </c>
      <c r="D410" s="27" t="s">
        <v>1279</v>
      </c>
      <c r="E410" s="28" t="s">
        <v>46</v>
      </c>
      <c r="F410" s="29" t="s">
        <v>46</v>
      </c>
      <c r="G410" s="30" t="s">
        <v>46</v>
      </c>
      <c r="H410" s="31"/>
      <c r="I410" s="31" t="s">
        <v>418</v>
      </c>
      <c r="J410" s="32" t="n">
        <v>1.0</v>
      </c>
      <c r="K410" s="33" t="n">
        <f>107300</f>
        <v>107300.0</v>
      </c>
      <c r="L410" s="34" t="s">
        <v>48</v>
      </c>
      <c r="M410" s="33" t="n">
        <f>110900</f>
        <v>110900.0</v>
      </c>
      <c r="N410" s="34" t="s">
        <v>104</v>
      </c>
      <c r="O410" s="33" t="n">
        <f>105300</f>
        <v>105300.0</v>
      </c>
      <c r="P410" s="34" t="s">
        <v>61</v>
      </c>
      <c r="Q410" s="33" t="n">
        <f>110100</f>
        <v>110100.0</v>
      </c>
      <c r="R410" s="34" t="s">
        <v>51</v>
      </c>
      <c r="S410" s="35" t="n">
        <f>108304.55</f>
        <v>108304.55</v>
      </c>
      <c r="T410" s="32" t="n">
        <f>21187</f>
        <v>21187.0</v>
      </c>
      <c r="U410" s="32" t="n">
        <f>2757</f>
        <v>2757.0</v>
      </c>
      <c r="V410" s="32" t="n">
        <f>2297142846</f>
        <v>2.297142846E9</v>
      </c>
      <c r="W410" s="32" t="n">
        <f>299570446</f>
        <v>2.99570446E8</v>
      </c>
      <c r="X410" s="36" t="n">
        <f>22</f>
        <v>22.0</v>
      </c>
    </row>
    <row r="411">
      <c r="A411" s="27" t="s">
        <v>42</v>
      </c>
      <c r="B411" s="27" t="s">
        <v>1280</v>
      </c>
      <c r="C411" s="27" t="s">
        <v>1281</v>
      </c>
      <c r="D411" s="27" t="s">
        <v>1282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104000</f>
        <v>104000.0</v>
      </c>
      <c r="L411" s="34" t="s">
        <v>48</v>
      </c>
      <c r="M411" s="33" t="n">
        <f>106500</f>
        <v>106500.0</v>
      </c>
      <c r="N411" s="34" t="s">
        <v>61</v>
      </c>
      <c r="O411" s="33" t="n">
        <f>101000</f>
        <v>101000.0</v>
      </c>
      <c r="P411" s="34" t="s">
        <v>104</v>
      </c>
      <c r="Q411" s="33" t="n">
        <f>101400</f>
        <v>101400.0</v>
      </c>
      <c r="R411" s="34" t="s">
        <v>51</v>
      </c>
      <c r="S411" s="35" t="n">
        <f>103113.64</f>
        <v>103113.64</v>
      </c>
      <c r="T411" s="32" t="n">
        <f>306725</f>
        <v>306725.0</v>
      </c>
      <c r="U411" s="32" t="n">
        <f>63723</f>
        <v>63723.0</v>
      </c>
      <c r="V411" s="32" t="n">
        <f>31620288615</f>
        <v>3.1620288615E10</v>
      </c>
      <c r="W411" s="32" t="n">
        <f>6562150615</f>
        <v>6.562150615E9</v>
      </c>
      <c r="X411" s="36" t="n">
        <f>22</f>
        <v>22.0</v>
      </c>
    </row>
    <row r="412">
      <c r="A412" s="27" t="s">
        <v>42</v>
      </c>
      <c r="B412" s="27" t="s">
        <v>1283</v>
      </c>
      <c r="C412" s="27" t="s">
        <v>1284</v>
      </c>
      <c r="D412" s="27" t="s">
        <v>1285</v>
      </c>
      <c r="E412" s="28" t="s">
        <v>46</v>
      </c>
      <c r="F412" s="29" t="s">
        <v>46</v>
      </c>
      <c r="G412" s="30" t="s">
        <v>46</v>
      </c>
      <c r="H412" s="31"/>
      <c r="I412" s="31" t="s">
        <v>418</v>
      </c>
      <c r="J412" s="32" t="n">
        <v>1.0</v>
      </c>
      <c r="K412" s="33" t="n">
        <f>69500</f>
        <v>69500.0</v>
      </c>
      <c r="L412" s="34" t="s">
        <v>48</v>
      </c>
      <c r="M412" s="33" t="n">
        <f>77300</f>
        <v>77300.0</v>
      </c>
      <c r="N412" s="34" t="s">
        <v>269</v>
      </c>
      <c r="O412" s="33" t="n">
        <f>68100</f>
        <v>68100.0</v>
      </c>
      <c r="P412" s="34" t="s">
        <v>118</v>
      </c>
      <c r="Q412" s="33" t="n">
        <f>76300</f>
        <v>76300.0</v>
      </c>
      <c r="R412" s="34" t="s">
        <v>51</v>
      </c>
      <c r="S412" s="35" t="n">
        <f>74250</f>
        <v>74250.0</v>
      </c>
      <c r="T412" s="32" t="n">
        <f>40514</f>
        <v>40514.0</v>
      </c>
      <c r="U412" s="32" t="n">
        <f>3567</f>
        <v>3567.0</v>
      </c>
      <c r="V412" s="32" t="n">
        <f>2997616670</f>
        <v>2.99761667E9</v>
      </c>
      <c r="W412" s="32" t="n">
        <f>267426170</f>
        <v>2.6742617E8</v>
      </c>
      <c r="X412" s="36" t="n">
        <f>22</f>
        <v>22.0</v>
      </c>
    </row>
    <row r="413">
      <c r="A413" s="27" t="s">
        <v>42</v>
      </c>
      <c r="B413" s="27" t="s">
        <v>1286</v>
      </c>
      <c r="C413" s="27" t="s">
        <v>1287</v>
      </c>
      <c r="D413" s="27" t="s">
        <v>1288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44150</f>
        <v>44150.0</v>
      </c>
      <c r="L413" s="34" t="s">
        <v>48</v>
      </c>
      <c r="M413" s="33" t="n">
        <f>46150</f>
        <v>46150.0</v>
      </c>
      <c r="N413" s="34" t="s">
        <v>51</v>
      </c>
      <c r="O413" s="33" t="n">
        <f>43550</f>
        <v>43550.0</v>
      </c>
      <c r="P413" s="34" t="s">
        <v>118</v>
      </c>
      <c r="Q413" s="33" t="n">
        <f>46000</f>
        <v>46000.0</v>
      </c>
      <c r="R413" s="34" t="s">
        <v>51</v>
      </c>
      <c r="S413" s="35" t="n">
        <f>44563.64</f>
        <v>44563.64</v>
      </c>
      <c r="T413" s="32" t="n">
        <f>104230</f>
        <v>104230.0</v>
      </c>
      <c r="U413" s="32" t="n">
        <f>23315</f>
        <v>23315.0</v>
      </c>
      <c r="V413" s="32" t="n">
        <f>4651939202</f>
        <v>4.651939202E9</v>
      </c>
      <c r="W413" s="32" t="n">
        <f>1039722602</f>
        <v>1.039722602E9</v>
      </c>
      <c r="X413" s="36" t="n">
        <f>22</f>
        <v>22.0</v>
      </c>
    </row>
    <row r="414">
      <c r="A414" s="27" t="s">
        <v>42</v>
      </c>
      <c r="B414" s="27" t="s">
        <v>1289</v>
      </c>
      <c r="C414" s="27" t="s">
        <v>1290</v>
      </c>
      <c r="D414" s="27" t="s">
        <v>1291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119300</f>
        <v>119300.0</v>
      </c>
      <c r="L414" s="34" t="s">
        <v>48</v>
      </c>
      <c r="M414" s="33" t="n">
        <f>120800</f>
        <v>120800.0</v>
      </c>
      <c r="N414" s="34" t="s">
        <v>167</v>
      </c>
      <c r="O414" s="33" t="n">
        <f>117400</f>
        <v>117400.0</v>
      </c>
      <c r="P414" s="34" t="s">
        <v>49</v>
      </c>
      <c r="Q414" s="33" t="n">
        <f>120400</f>
        <v>120400.0</v>
      </c>
      <c r="R414" s="34" t="s">
        <v>51</v>
      </c>
      <c r="S414" s="35" t="n">
        <f>119086.36</f>
        <v>119086.36</v>
      </c>
      <c r="T414" s="32" t="n">
        <f>110564</f>
        <v>110564.0</v>
      </c>
      <c r="U414" s="32" t="n">
        <f>27834</f>
        <v>27834.0</v>
      </c>
      <c r="V414" s="32" t="n">
        <f>13170980799</f>
        <v>1.3170980799E10</v>
      </c>
      <c r="W414" s="32" t="n">
        <f>3313142799</f>
        <v>3.313142799E9</v>
      </c>
      <c r="X414" s="36" t="n">
        <f>22</f>
        <v>22.0</v>
      </c>
    </row>
    <row r="415">
      <c r="A415" s="27" t="s">
        <v>42</v>
      </c>
      <c r="B415" s="27" t="s">
        <v>1292</v>
      </c>
      <c r="C415" s="27" t="s">
        <v>1293</v>
      </c>
      <c r="D415" s="27" t="s">
        <v>1294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1.0</v>
      </c>
      <c r="K415" s="33" t="n">
        <f>150800</f>
        <v>150800.0</v>
      </c>
      <c r="L415" s="34" t="s">
        <v>48</v>
      </c>
      <c r="M415" s="33" t="n">
        <f>152400</f>
        <v>152400.0</v>
      </c>
      <c r="N415" s="34" t="s">
        <v>167</v>
      </c>
      <c r="O415" s="33" t="n">
        <f>146000</f>
        <v>146000.0</v>
      </c>
      <c r="P415" s="34" t="s">
        <v>49</v>
      </c>
      <c r="Q415" s="33" t="n">
        <f>149600</f>
        <v>149600.0</v>
      </c>
      <c r="R415" s="34" t="s">
        <v>51</v>
      </c>
      <c r="S415" s="35" t="n">
        <f>149150</f>
        <v>149150.0</v>
      </c>
      <c r="T415" s="32" t="n">
        <f>52955</f>
        <v>52955.0</v>
      </c>
      <c r="U415" s="32" t="n">
        <f>18433</f>
        <v>18433.0</v>
      </c>
      <c r="V415" s="32" t="n">
        <f>7905015115</f>
        <v>7.905015115E9</v>
      </c>
      <c r="W415" s="32" t="n">
        <f>2758816915</f>
        <v>2.758816915E9</v>
      </c>
      <c r="X415" s="36" t="n">
        <f>22</f>
        <v>22.0</v>
      </c>
    </row>
    <row r="416">
      <c r="A416" s="27" t="s">
        <v>42</v>
      </c>
      <c r="B416" s="27" t="s">
        <v>1295</v>
      </c>
      <c r="C416" s="27" t="s">
        <v>1296</v>
      </c>
      <c r="D416" s="27" t="s">
        <v>1297</v>
      </c>
      <c r="E416" s="28" t="s">
        <v>46</v>
      </c>
      <c r="F416" s="29" t="s">
        <v>46</v>
      </c>
      <c r="G416" s="30" t="s">
        <v>46</v>
      </c>
      <c r="H416" s="31"/>
      <c r="I416" s="31" t="s">
        <v>418</v>
      </c>
      <c r="J416" s="32" t="n">
        <v>1.0</v>
      </c>
      <c r="K416" s="33" t="n">
        <f>113600</f>
        <v>113600.0</v>
      </c>
      <c r="L416" s="34" t="s">
        <v>48</v>
      </c>
      <c r="M416" s="33" t="n">
        <f>117100</f>
        <v>117100.0</v>
      </c>
      <c r="N416" s="34" t="s">
        <v>104</v>
      </c>
      <c r="O416" s="33" t="n">
        <f>112100</f>
        <v>112100.0</v>
      </c>
      <c r="P416" s="34" t="s">
        <v>330</v>
      </c>
      <c r="Q416" s="33" t="n">
        <f>116800</f>
        <v>116800.0</v>
      </c>
      <c r="R416" s="34" t="s">
        <v>51</v>
      </c>
      <c r="S416" s="35" t="n">
        <f>114150</f>
        <v>114150.0</v>
      </c>
      <c r="T416" s="32" t="n">
        <f>26927</f>
        <v>26927.0</v>
      </c>
      <c r="U416" s="32" t="n">
        <f>6665</f>
        <v>6665.0</v>
      </c>
      <c r="V416" s="32" t="n">
        <f>3093595326</f>
        <v>3.093595326E9</v>
      </c>
      <c r="W416" s="32" t="n">
        <f>768246226</f>
        <v>7.68246226E8</v>
      </c>
      <c r="X416" s="36" t="n">
        <f>22</f>
        <v>22.0</v>
      </c>
    </row>
    <row r="417">
      <c r="A417" s="27" t="s">
        <v>42</v>
      </c>
      <c r="B417" s="27" t="s">
        <v>1298</v>
      </c>
      <c r="C417" s="27" t="s">
        <v>1299</v>
      </c>
      <c r="D417" s="27" t="s">
        <v>1300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10.0</v>
      </c>
      <c r="K417" s="33" t="n">
        <f>207.5</f>
        <v>207.5</v>
      </c>
      <c r="L417" s="34" t="s">
        <v>48</v>
      </c>
      <c r="M417" s="33" t="n">
        <f>215.2</f>
        <v>215.2</v>
      </c>
      <c r="N417" s="34" t="s">
        <v>49</v>
      </c>
      <c r="O417" s="33" t="n">
        <f>203.6</f>
        <v>203.6</v>
      </c>
      <c r="P417" s="34" t="s">
        <v>167</v>
      </c>
      <c r="Q417" s="33" t="n">
        <f>213</f>
        <v>213.0</v>
      </c>
      <c r="R417" s="34" t="s">
        <v>51</v>
      </c>
      <c r="S417" s="35" t="n">
        <f>208.66</f>
        <v>208.66</v>
      </c>
      <c r="T417" s="32" t="n">
        <f>1711090</f>
        <v>1711090.0</v>
      </c>
      <c r="U417" s="32" t="n">
        <f>420</f>
        <v>420.0</v>
      </c>
      <c r="V417" s="32" t="n">
        <f>361534220</f>
        <v>3.6153422E8</v>
      </c>
      <c r="W417" s="32" t="n">
        <f>83897</f>
        <v>83897.0</v>
      </c>
      <c r="X417" s="36" t="n">
        <f>22</f>
        <v>22.0</v>
      </c>
    </row>
    <row r="418">
      <c r="A418" s="27" t="s">
        <v>42</v>
      </c>
      <c r="B418" s="27" t="s">
        <v>1301</v>
      </c>
      <c r="C418" s="27" t="s">
        <v>1302</v>
      </c>
      <c r="D418" s="27" t="s">
        <v>1303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90300</f>
        <v>90300.0</v>
      </c>
      <c r="L418" s="34" t="s">
        <v>48</v>
      </c>
      <c r="M418" s="33" t="n">
        <f>95000</f>
        <v>95000.0</v>
      </c>
      <c r="N418" s="34" t="s">
        <v>51</v>
      </c>
      <c r="O418" s="33" t="n">
        <f>89600</f>
        <v>89600.0</v>
      </c>
      <c r="P418" s="34" t="s">
        <v>48</v>
      </c>
      <c r="Q418" s="33" t="n">
        <f>94400</f>
        <v>94400.0</v>
      </c>
      <c r="R418" s="34" t="s">
        <v>51</v>
      </c>
      <c r="S418" s="35" t="n">
        <f>91831.82</f>
        <v>91831.82</v>
      </c>
      <c r="T418" s="32" t="n">
        <f>64239</f>
        <v>64239.0</v>
      </c>
      <c r="U418" s="32" t="n">
        <f>10423</f>
        <v>10423.0</v>
      </c>
      <c r="V418" s="32" t="n">
        <f>5917308930</f>
        <v>5.91730893E9</v>
      </c>
      <c r="W418" s="32" t="n">
        <f>959793530</f>
        <v>9.5979353E8</v>
      </c>
      <c r="X418" s="36" t="n">
        <f>22</f>
        <v>22.0</v>
      </c>
    </row>
    <row r="419">
      <c r="A419" s="27" t="s">
        <v>42</v>
      </c>
      <c r="B419" s="27" t="s">
        <v>1304</v>
      </c>
      <c r="C419" s="27" t="s">
        <v>1305</v>
      </c>
      <c r="D419" s="27" t="s">
        <v>1306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10.0</v>
      </c>
      <c r="K419" s="33" t="n">
        <f>542.2</f>
        <v>542.2</v>
      </c>
      <c r="L419" s="34" t="s">
        <v>48</v>
      </c>
      <c r="M419" s="33" t="n">
        <f>580</f>
        <v>580.0</v>
      </c>
      <c r="N419" s="34" t="s">
        <v>70</v>
      </c>
      <c r="O419" s="33" t="n">
        <f>529.8</f>
        <v>529.8</v>
      </c>
      <c r="P419" s="34" t="s">
        <v>118</v>
      </c>
      <c r="Q419" s="33" t="n">
        <f>568.7</f>
        <v>568.7</v>
      </c>
      <c r="R419" s="34" t="s">
        <v>51</v>
      </c>
      <c r="S419" s="35" t="n">
        <f>546.45</f>
        <v>546.45</v>
      </c>
      <c r="T419" s="32" t="n">
        <f>881440</f>
        <v>881440.0</v>
      </c>
      <c r="U419" s="32" t="str">
        <f>"－"</f>
        <v>－</v>
      </c>
      <c r="V419" s="32" t="n">
        <f>473764857</f>
        <v>4.73764857E8</v>
      </c>
      <c r="W419" s="32" t="str">
        <f>"－"</f>
        <v>－</v>
      </c>
      <c r="X419" s="36" t="n">
        <f>22</f>
        <v>22.0</v>
      </c>
    </row>
    <row r="420">
      <c r="A420" s="27" t="s">
        <v>42</v>
      </c>
      <c r="B420" s="27" t="s">
        <v>1307</v>
      </c>
      <c r="C420" s="27" t="s">
        <v>1308</v>
      </c>
      <c r="D420" s="27" t="s">
        <v>1309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2200</f>
        <v>2200.0</v>
      </c>
      <c r="L420" s="34" t="s">
        <v>48</v>
      </c>
      <c r="M420" s="33" t="n">
        <f>2463</f>
        <v>2463.0</v>
      </c>
      <c r="N420" s="34" t="s">
        <v>65</v>
      </c>
      <c r="O420" s="33" t="n">
        <f>2181</f>
        <v>2181.0</v>
      </c>
      <c r="P420" s="34" t="s">
        <v>61</v>
      </c>
      <c r="Q420" s="33" t="n">
        <f>2319</f>
        <v>2319.0</v>
      </c>
      <c r="R420" s="34" t="s">
        <v>51</v>
      </c>
      <c r="S420" s="35" t="n">
        <f>2275.5</f>
        <v>2275.5</v>
      </c>
      <c r="T420" s="32" t="n">
        <f>3416272</f>
        <v>3416272.0</v>
      </c>
      <c r="U420" s="32" t="n">
        <f>2706242</f>
        <v>2706242.0</v>
      </c>
      <c r="V420" s="32" t="n">
        <f>7723139017</f>
        <v>7.723139017E9</v>
      </c>
      <c r="W420" s="32" t="n">
        <f>6113486906</f>
        <v>6.113486906E9</v>
      </c>
      <c r="X420" s="36" t="n">
        <f>22</f>
        <v>22.0</v>
      </c>
    </row>
    <row r="421">
      <c r="A421" s="27" t="s">
        <v>42</v>
      </c>
      <c r="B421" s="27" t="s">
        <v>1310</v>
      </c>
      <c r="C421" s="27" t="s">
        <v>1311</v>
      </c>
      <c r="D421" s="27" t="s">
        <v>1312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1162</f>
        <v>1162.0</v>
      </c>
      <c r="L421" s="34" t="s">
        <v>48</v>
      </c>
      <c r="M421" s="33" t="n">
        <f>1243</f>
        <v>1243.0</v>
      </c>
      <c r="N421" s="34" t="s">
        <v>51</v>
      </c>
      <c r="O421" s="33" t="n">
        <f>1158</f>
        <v>1158.0</v>
      </c>
      <c r="P421" s="34" t="s">
        <v>61</v>
      </c>
      <c r="Q421" s="33" t="n">
        <f>1239</f>
        <v>1239.0</v>
      </c>
      <c r="R421" s="34" t="s">
        <v>51</v>
      </c>
      <c r="S421" s="35" t="n">
        <f>1198.45</f>
        <v>1198.45</v>
      </c>
      <c r="T421" s="32" t="n">
        <f>118996</f>
        <v>118996.0</v>
      </c>
      <c r="U421" s="32" t="str">
        <f>"－"</f>
        <v>－</v>
      </c>
      <c r="V421" s="32" t="n">
        <f>142150072</f>
        <v>1.42150072E8</v>
      </c>
      <c r="W421" s="32" t="str">
        <f>"－"</f>
        <v>－</v>
      </c>
      <c r="X421" s="36" t="n">
        <f>22</f>
        <v>22.0</v>
      </c>
    </row>
    <row r="422">
      <c r="A422" s="27" t="s">
        <v>42</v>
      </c>
      <c r="B422" s="27" t="s">
        <v>1313</v>
      </c>
      <c r="C422" s="27" t="s">
        <v>1314</v>
      </c>
      <c r="D422" s="27" t="s">
        <v>1315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10.0</v>
      </c>
      <c r="K422" s="33" t="n">
        <f>1051</f>
        <v>1051.0</v>
      </c>
      <c r="L422" s="34" t="s">
        <v>118</v>
      </c>
      <c r="M422" s="33" t="n">
        <f>1094.5</f>
        <v>1094.5</v>
      </c>
      <c r="N422" s="34" t="s">
        <v>104</v>
      </c>
      <c r="O422" s="33" t="n">
        <f>1049.5</f>
        <v>1049.5</v>
      </c>
      <c r="P422" s="34" t="s">
        <v>50</v>
      </c>
      <c r="Q422" s="33" t="n">
        <f>1092.5</f>
        <v>1092.5</v>
      </c>
      <c r="R422" s="34" t="s">
        <v>51</v>
      </c>
      <c r="S422" s="35" t="n">
        <f>1065.61</f>
        <v>1065.61</v>
      </c>
      <c r="T422" s="32" t="n">
        <f>1170</f>
        <v>1170.0</v>
      </c>
      <c r="U422" s="32" t="str">
        <f>"－"</f>
        <v>－</v>
      </c>
      <c r="V422" s="32" t="n">
        <f>1248575</f>
        <v>1248575.0</v>
      </c>
      <c r="W422" s="32" t="str">
        <f>"－"</f>
        <v>－</v>
      </c>
      <c r="X422" s="36" t="n">
        <f>14</f>
        <v>14.0</v>
      </c>
    </row>
    <row r="423">
      <c r="A423" s="27" t="s">
        <v>42</v>
      </c>
      <c r="B423" s="27" t="s">
        <v>1316</v>
      </c>
      <c r="C423" s="27" t="s">
        <v>1317</v>
      </c>
      <c r="D423" s="27" t="s">
        <v>1318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2032</f>
        <v>2032.0</v>
      </c>
      <c r="L423" s="34" t="s">
        <v>48</v>
      </c>
      <c r="M423" s="33" t="n">
        <f>2162</f>
        <v>2162.0</v>
      </c>
      <c r="N423" s="34" t="s">
        <v>51</v>
      </c>
      <c r="O423" s="33" t="n">
        <f>2018</f>
        <v>2018.0</v>
      </c>
      <c r="P423" s="34" t="s">
        <v>118</v>
      </c>
      <c r="Q423" s="33" t="n">
        <f>2116</f>
        <v>2116.0</v>
      </c>
      <c r="R423" s="34" t="s">
        <v>51</v>
      </c>
      <c r="S423" s="35" t="n">
        <f>2083.86</f>
        <v>2083.86</v>
      </c>
      <c r="T423" s="32" t="n">
        <f>24264</f>
        <v>24264.0</v>
      </c>
      <c r="U423" s="32" t="str">
        <f>"－"</f>
        <v>－</v>
      </c>
      <c r="V423" s="32" t="n">
        <f>50926224</f>
        <v>5.0926224E7</v>
      </c>
      <c r="W423" s="32" t="str">
        <f>"－"</f>
        <v>－</v>
      </c>
      <c r="X423" s="36" t="n">
        <f>22</f>
        <v>22.0</v>
      </c>
    </row>
    <row r="424">
      <c r="A424" s="27" t="s">
        <v>42</v>
      </c>
      <c r="B424" s="27" t="s">
        <v>1319</v>
      </c>
      <c r="C424" s="27" t="s">
        <v>1320</v>
      </c>
      <c r="D424" s="27" t="s">
        <v>1321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1981</f>
        <v>1981.0</v>
      </c>
      <c r="L424" s="34" t="s">
        <v>48</v>
      </c>
      <c r="M424" s="33" t="n">
        <f>2158</f>
        <v>2158.0</v>
      </c>
      <c r="N424" s="34" t="s">
        <v>70</v>
      </c>
      <c r="O424" s="33" t="n">
        <f>1981</f>
        <v>1981.0</v>
      </c>
      <c r="P424" s="34" t="s">
        <v>48</v>
      </c>
      <c r="Q424" s="33" t="n">
        <f>2085</f>
        <v>2085.0</v>
      </c>
      <c r="R424" s="34" t="s">
        <v>51</v>
      </c>
      <c r="S424" s="35" t="n">
        <f>2074.68</f>
        <v>2074.68</v>
      </c>
      <c r="T424" s="32" t="n">
        <f>200608</f>
        <v>200608.0</v>
      </c>
      <c r="U424" s="32" t="str">
        <f>"－"</f>
        <v>－</v>
      </c>
      <c r="V424" s="32" t="n">
        <f>415093348</f>
        <v>4.15093348E8</v>
      </c>
      <c r="W424" s="32" t="str">
        <f>"－"</f>
        <v>－</v>
      </c>
      <c r="X424" s="36" t="n">
        <f>22</f>
        <v>22.0</v>
      </c>
    </row>
    <row r="425">
      <c r="A425" s="27" t="s">
        <v>42</v>
      </c>
      <c r="B425" s="27" t="s">
        <v>1322</v>
      </c>
      <c r="C425" s="27" t="s">
        <v>1323</v>
      </c>
      <c r="D425" s="27" t="s">
        <v>1324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5009</f>
        <v>5009.0</v>
      </c>
      <c r="L425" s="34" t="s">
        <v>48</v>
      </c>
      <c r="M425" s="33" t="n">
        <f>5035</f>
        <v>5035.0</v>
      </c>
      <c r="N425" s="34" t="s">
        <v>50</v>
      </c>
      <c r="O425" s="33" t="n">
        <f>4963</f>
        <v>4963.0</v>
      </c>
      <c r="P425" s="34" t="s">
        <v>111</v>
      </c>
      <c r="Q425" s="33" t="n">
        <f>5008</f>
        <v>5008.0</v>
      </c>
      <c r="R425" s="34" t="s">
        <v>51</v>
      </c>
      <c r="S425" s="35" t="n">
        <f>4984.05</f>
        <v>4984.05</v>
      </c>
      <c r="T425" s="32" t="n">
        <f>2828</f>
        <v>2828.0</v>
      </c>
      <c r="U425" s="32" t="str">
        <f>"－"</f>
        <v>－</v>
      </c>
      <c r="V425" s="32" t="n">
        <f>14104172</f>
        <v>1.4104172E7</v>
      </c>
      <c r="W425" s="32" t="str">
        <f>"－"</f>
        <v>－</v>
      </c>
      <c r="X425" s="36" t="n">
        <f>19</f>
        <v>19.0</v>
      </c>
    </row>
    <row r="426">
      <c r="A426" s="27" t="s">
        <v>42</v>
      </c>
      <c r="B426" s="27" t="s">
        <v>1325</v>
      </c>
      <c r="C426" s="27" t="s">
        <v>1326</v>
      </c>
      <c r="D426" s="27" t="s">
        <v>1327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1019</f>
        <v>1019.0</v>
      </c>
      <c r="L426" s="34" t="s">
        <v>48</v>
      </c>
      <c r="M426" s="33" t="n">
        <f>1160</f>
        <v>1160.0</v>
      </c>
      <c r="N426" s="34" t="s">
        <v>70</v>
      </c>
      <c r="O426" s="33" t="n">
        <f>1010</f>
        <v>1010.0</v>
      </c>
      <c r="P426" s="34" t="s">
        <v>51</v>
      </c>
      <c r="Q426" s="33" t="n">
        <f>1094</f>
        <v>1094.0</v>
      </c>
      <c r="R426" s="34" t="s">
        <v>51</v>
      </c>
      <c r="S426" s="35" t="n">
        <f>1057.41</f>
        <v>1057.41</v>
      </c>
      <c r="T426" s="32" t="n">
        <f>107238</f>
        <v>107238.0</v>
      </c>
      <c r="U426" s="32" t="str">
        <f>"－"</f>
        <v>－</v>
      </c>
      <c r="V426" s="32" t="n">
        <f>113318072</f>
        <v>1.13318072E8</v>
      </c>
      <c r="W426" s="32" t="str">
        <f>"－"</f>
        <v>－</v>
      </c>
      <c r="X426" s="36" t="n">
        <f>22</f>
        <v>22.0</v>
      </c>
    </row>
    <row r="427">
      <c r="A427" s="27" t="s">
        <v>42</v>
      </c>
      <c r="B427" s="27" t="s">
        <v>1328</v>
      </c>
      <c r="C427" s="27" t="s">
        <v>1329</v>
      </c>
      <c r="D427" s="27" t="s">
        <v>1330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1026</f>
        <v>1026.0</v>
      </c>
      <c r="L427" s="34" t="s">
        <v>48</v>
      </c>
      <c r="M427" s="33" t="n">
        <f>1126</f>
        <v>1126.0</v>
      </c>
      <c r="N427" s="34" t="s">
        <v>49</v>
      </c>
      <c r="O427" s="33" t="n">
        <f>987</f>
        <v>987.0</v>
      </c>
      <c r="P427" s="34" t="s">
        <v>84</v>
      </c>
      <c r="Q427" s="33" t="n">
        <f>1078</f>
        <v>1078.0</v>
      </c>
      <c r="R427" s="34" t="s">
        <v>51</v>
      </c>
      <c r="S427" s="35" t="n">
        <f>1057.77</f>
        <v>1057.77</v>
      </c>
      <c r="T427" s="32" t="n">
        <f>3356370</f>
        <v>3356370.0</v>
      </c>
      <c r="U427" s="32" t="n">
        <f>3</f>
        <v>3.0</v>
      </c>
      <c r="V427" s="32" t="n">
        <f>3509763692</f>
        <v>3.509763692E9</v>
      </c>
      <c r="W427" s="32" t="n">
        <f>2789</f>
        <v>2789.0</v>
      </c>
      <c r="X427" s="36" t="n">
        <f>22</f>
        <v>22.0</v>
      </c>
    </row>
    <row r="428">
      <c r="A428" s="27" t="s">
        <v>42</v>
      </c>
      <c r="B428" s="27" t="s">
        <v>1331</v>
      </c>
      <c r="C428" s="27" t="s">
        <v>1332</v>
      </c>
      <c r="D428" s="27" t="s">
        <v>1333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1982</f>
        <v>1982.0</v>
      </c>
      <c r="L428" s="34" t="s">
        <v>48</v>
      </c>
      <c r="M428" s="33" t="n">
        <f>2048</f>
        <v>2048.0</v>
      </c>
      <c r="N428" s="34" t="s">
        <v>51</v>
      </c>
      <c r="O428" s="33" t="n">
        <f>1970</f>
        <v>1970.0</v>
      </c>
      <c r="P428" s="34" t="s">
        <v>61</v>
      </c>
      <c r="Q428" s="33" t="n">
        <f>2048</f>
        <v>2048.0</v>
      </c>
      <c r="R428" s="34" t="s">
        <v>51</v>
      </c>
      <c r="S428" s="35" t="n">
        <f>2016.37</f>
        <v>2016.37</v>
      </c>
      <c r="T428" s="32" t="n">
        <f>95287</f>
        <v>95287.0</v>
      </c>
      <c r="U428" s="32" t="str">
        <f>"－"</f>
        <v>－</v>
      </c>
      <c r="V428" s="32" t="n">
        <f>191006880</f>
        <v>1.9100688E8</v>
      </c>
      <c r="W428" s="32" t="str">
        <f>"－"</f>
        <v>－</v>
      </c>
      <c r="X428" s="36" t="n">
        <f>19</f>
        <v>19.0</v>
      </c>
    </row>
    <row r="429">
      <c r="A429" s="27" t="s">
        <v>42</v>
      </c>
      <c r="B429" s="27" t="s">
        <v>1334</v>
      </c>
      <c r="C429" s="27" t="s">
        <v>1335</v>
      </c>
      <c r="D429" s="27" t="s">
        <v>1336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2007</f>
        <v>2007.0</v>
      </c>
      <c r="L429" s="34" t="s">
        <v>48</v>
      </c>
      <c r="M429" s="33" t="n">
        <f>2010</f>
        <v>2010.0</v>
      </c>
      <c r="N429" s="34" t="s">
        <v>48</v>
      </c>
      <c r="O429" s="33" t="n">
        <f>1991</f>
        <v>1991.0</v>
      </c>
      <c r="P429" s="34" t="s">
        <v>69</v>
      </c>
      <c r="Q429" s="33" t="n">
        <f>1995</f>
        <v>1995.0</v>
      </c>
      <c r="R429" s="34" t="s">
        <v>51</v>
      </c>
      <c r="S429" s="35" t="n">
        <f>1997.88</f>
        <v>1997.88</v>
      </c>
      <c r="T429" s="32" t="n">
        <f>1364204</f>
        <v>1364204.0</v>
      </c>
      <c r="U429" s="32" t="n">
        <f>1250000</f>
        <v>1250000.0</v>
      </c>
      <c r="V429" s="32" t="n">
        <f>2719807066</f>
        <v>2.719807066E9</v>
      </c>
      <c r="W429" s="32" t="n">
        <f>2491375000</f>
        <v>2.491375E9</v>
      </c>
      <c r="X429" s="36" t="n">
        <f>16</f>
        <v>16.0</v>
      </c>
    </row>
    <row r="430">
      <c r="A430" s="27" t="s">
        <v>42</v>
      </c>
      <c r="B430" s="27" t="s">
        <v>1337</v>
      </c>
      <c r="C430" s="27" t="s">
        <v>1338</v>
      </c>
      <c r="D430" s="27" t="s">
        <v>1339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2513</f>
        <v>2513.0</v>
      </c>
      <c r="L430" s="34" t="s">
        <v>48</v>
      </c>
      <c r="M430" s="33" t="n">
        <f>2513</f>
        <v>2513.0</v>
      </c>
      <c r="N430" s="34" t="s">
        <v>48</v>
      </c>
      <c r="O430" s="33" t="n">
        <f>2013</f>
        <v>2013.0</v>
      </c>
      <c r="P430" s="34" t="s">
        <v>48</v>
      </c>
      <c r="Q430" s="33" t="n">
        <f>2099</f>
        <v>2099.0</v>
      </c>
      <c r="R430" s="34" t="s">
        <v>51</v>
      </c>
      <c r="S430" s="35" t="n">
        <f>2084.91</f>
        <v>2084.91</v>
      </c>
      <c r="T430" s="32" t="n">
        <f>150668</f>
        <v>150668.0</v>
      </c>
      <c r="U430" s="32" t="str">
        <f>"－"</f>
        <v>－</v>
      </c>
      <c r="V430" s="32" t="n">
        <f>317173700</f>
        <v>3.171737E8</v>
      </c>
      <c r="W430" s="32" t="str">
        <f>"－"</f>
        <v>－</v>
      </c>
      <c r="X430" s="36" t="n">
        <f>22</f>
        <v>22.0</v>
      </c>
    </row>
    <row r="431">
      <c r="A431" s="27" t="s">
        <v>42</v>
      </c>
      <c r="B431" s="27" t="s">
        <v>1340</v>
      </c>
      <c r="C431" s="27" t="s">
        <v>1341</v>
      </c>
      <c r="D431" s="27" t="s">
        <v>1342</v>
      </c>
      <c r="E431" s="28" t="s">
        <v>1343</v>
      </c>
      <c r="F431" s="29" t="s">
        <v>1344</v>
      </c>
      <c r="G431" s="30" t="s">
        <v>1345</v>
      </c>
      <c r="H431" s="31"/>
      <c r="I431" s="31" t="s">
        <v>418</v>
      </c>
      <c r="J431" s="32" t="n">
        <v>10.0</v>
      </c>
      <c r="K431" s="33" t="n">
        <f>210</f>
        <v>210.0</v>
      </c>
      <c r="L431" s="34" t="s">
        <v>104</v>
      </c>
      <c r="M431" s="33" t="n">
        <f>228.8</f>
        <v>228.8</v>
      </c>
      <c r="N431" s="34" t="s">
        <v>51</v>
      </c>
      <c r="O431" s="33" t="n">
        <f>203</f>
        <v>203.0</v>
      </c>
      <c r="P431" s="34" t="s">
        <v>104</v>
      </c>
      <c r="Q431" s="33" t="n">
        <f>207.1</f>
        <v>207.1</v>
      </c>
      <c r="R431" s="34" t="s">
        <v>51</v>
      </c>
      <c r="S431" s="35" t="n">
        <f>213.55</f>
        <v>213.55</v>
      </c>
      <c r="T431" s="32" t="n">
        <f>5309350</f>
        <v>5309350.0</v>
      </c>
      <c r="U431" s="32" t="str">
        <f>"－"</f>
        <v>－</v>
      </c>
      <c r="V431" s="32" t="n">
        <f>1118236189</f>
        <v>1.118236189E9</v>
      </c>
      <c r="W431" s="32" t="str">
        <f>"－"</f>
        <v>－</v>
      </c>
      <c r="X431" s="36" t="n">
        <f>2</f>
        <v>2.0</v>
      </c>
    </row>
    <row r="432">
      <c r="A432" s="27" t="s">
        <v>42</v>
      </c>
      <c r="B432" s="27" t="s">
        <v>1346</v>
      </c>
      <c r="C432" s="27" t="s">
        <v>1347</v>
      </c>
      <c r="D432" s="27" t="s">
        <v>1348</v>
      </c>
      <c r="E432" s="28" t="s">
        <v>1343</v>
      </c>
      <c r="F432" s="29" t="s">
        <v>1344</v>
      </c>
      <c r="G432" s="30" t="s">
        <v>1349</v>
      </c>
      <c r="H432" s="31"/>
      <c r="I432" s="31" t="s">
        <v>418</v>
      </c>
      <c r="J432" s="32" t="n">
        <v>10.0</v>
      </c>
      <c r="K432" s="33" t="n">
        <f>509</f>
        <v>509.0</v>
      </c>
      <c r="L432" s="34" t="s">
        <v>269</v>
      </c>
      <c r="M432" s="33" t="n">
        <f>525</f>
        <v>525.0</v>
      </c>
      <c r="N432" s="34" t="s">
        <v>246</v>
      </c>
      <c r="O432" s="33" t="n">
        <f>498</f>
        <v>498.0</v>
      </c>
      <c r="P432" s="34" t="s">
        <v>104</v>
      </c>
      <c r="Q432" s="33" t="n">
        <f>503.4</f>
        <v>503.4</v>
      </c>
      <c r="R432" s="34" t="s">
        <v>51</v>
      </c>
      <c r="S432" s="35" t="n">
        <f>505.63</f>
        <v>505.63</v>
      </c>
      <c r="T432" s="32" t="n">
        <f>289600</f>
        <v>289600.0</v>
      </c>
      <c r="U432" s="32" t="str">
        <f>"－"</f>
        <v>－</v>
      </c>
      <c r="V432" s="32" t="n">
        <f>145908216</f>
        <v>1.45908216E8</v>
      </c>
      <c r="W432" s="32" t="str">
        <f>"－"</f>
        <v>－</v>
      </c>
      <c r="X432" s="36" t="n">
        <f>9</f>
        <v>9.0</v>
      </c>
    </row>
    <row r="433">
      <c r="A433" s="27" t="s">
        <v>42</v>
      </c>
      <c r="B433" s="27" t="s">
        <v>1350</v>
      </c>
      <c r="C433" s="27" t="s">
        <v>1351</v>
      </c>
      <c r="D433" s="27" t="s">
        <v>1352</v>
      </c>
      <c r="E433" s="28" t="s">
        <v>1343</v>
      </c>
      <c r="F433" s="29" t="s">
        <v>1344</v>
      </c>
      <c r="G433" s="30" t="s">
        <v>1349</v>
      </c>
      <c r="H433" s="31"/>
      <c r="I433" s="31" t="s">
        <v>418</v>
      </c>
      <c r="J433" s="32" t="n">
        <v>10.0</v>
      </c>
      <c r="K433" s="33" t="n">
        <f>507.8</f>
        <v>507.8</v>
      </c>
      <c r="L433" s="34" t="s">
        <v>269</v>
      </c>
      <c r="M433" s="33" t="n">
        <f>531.6</f>
        <v>531.6</v>
      </c>
      <c r="N433" s="34" t="s">
        <v>70</v>
      </c>
      <c r="O433" s="33" t="n">
        <f>498</f>
        <v>498.0</v>
      </c>
      <c r="P433" s="34" t="s">
        <v>212</v>
      </c>
      <c r="Q433" s="33" t="n">
        <f>521.5</f>
        <v>521.5</v>
      </c>
      <c r="R433" s="34" t="s">
        <v>51</v>
      </c>
      <c r="S433" s="35" t="n">
        <f>513.89</f>
        <v>513.89</v>
      </c>
      <c r="T433" s="32" t="n">
        <f>362630</f>
        <v>362630.0</v>
      </c>
      <c r="U433" s="32" t="str">
        <f>"－"</f>
        <v>－</v>
      </c>
      <c r="V433" s="32" t="n">
        <f>185165079</f>
        <v>1.85165079E8</v>
      </c>
      <c r="W433" s="32" t="str">
        <f>"－"</f>
        <v>－</v>
      </c>
      <c r="X433" s="36" t="n">
        <f>9</f>
        <v>9.0</v>
      </c>
    </row>
    <row r="434">
      <c r="A434" s="27" t="s">
        <v>42</v>
      </c>
      <c r="B434" s="27" t="s">
        <v>1353</v>
      </c>
      <c r="C434" s="27" t="s">
        <v>1354</v>
      </c>
      <c r="D434" s="27" t="s">
        <v>1355</v>
      </c>
      <c r="E434" s="28" t="s">
        <v>1343</v>
      </c>
      <c r="F434" s="29" t="s">
        <v>1344</v>
      </c>
      <c r="G434" s="30" t="s">
        <v>1349</v>
      </c>
      <c r="H434" s="31"/>
      <c r="I434" s="31" t="s">
        <v>418</v>
      </c>
      <c r="J434" s="32" t="n">
        <v>10.0</v>
      </c>
      <c r="K434" s="33" t="n">
        <f>514</f>
        <v>514.0</v>
      </c>
      <c r="L434" s="34" t="s">
        <v>269</v>
      </c>
      <c r="M434" s="33" t="n">
        <f>610.5</f>
        <v>610.5</v>
      </c>
      <c r="N434" s="34" t="s">
        <v>51</v>
      </c>
      <c r="O434" s="33" t="n">
        <f>498</f>
        <v>498.0</v>
      </c>
      <c r="P434" s="34" t="s">
        <v>269</v>
      </c>
      <c r="Q434" s="33" t="n">
        <f>511.1</f>
        <v>511.1</v>
      </c>
      <c r="R434" s="34" t="s">
        <v>51</v>
      </c>
      <c r="S434" s="35" t="n">
        <f>502.97</f>
        <v>502.97</v>
      </c>
      <c r="T434" s="32" t="n">
        <f>305620</f>
        <v>305620.0</v>
      </c>
      <c r="U434" s="32" t="str">
        <f>"－"</f>
        <v>－</v>
      </c>
      <c r="V434" s="32" t="n">
        <f>154325786</f>
        <v>1.54325786E8</v>
      </c>
      <c r="W434" s="32" t="str">
        <f>"－"</f>
        <v>－</v>
      </c>
      <c r="X434" s="36" t="n">
        <f>9</f>
        <v>9.0</v>
      </c>
    </row>
    <row r="435">
      <c r="A435" s="27" t="s">
        <v>42</v>
      </c>
      <c r="B435" s="27" t="s">
        <v>1356</v>
      </c>
      <c r="C435" s="27" t="s">
        <v>1357</v>
      </c>
      <c r="D435" s="27" t="s">
        <v>1358</v>
      </c>
      <c r="E435" s="28" t="s">
        <v>1343</v>
      </c>
      <c r="F435" s="29" t="s">
        <v>1344</v>
      </c>
      <c r="G435" s="30" t="s">
        <v>1359</v>
      </c>
      <c r="H435" s="31"/>
      <c r="I435" s="31" t="s">
        <v>418</v>
      </c>
      <c r="J435" s="32" t="n">
        <v>1.0</v>
      </c>
      <c r="K435" s="33" t="n">
        <f>1589</f>
        <v>1589.0</v>
      </c>
      <c r="L435" s="34" t="s">
        <v>49</v>
      </c>
      <c r="M435" s="33" t="n">
        <f>1589</f>
        <v>1589.0</v>
      </c>
      <c r="N435" s="34" t="s">
        <v>49</v>
      </c>
      <c r="O435" s="33" t="n">
        <f>1537</f>
        <v>1537.0</v>
      </c>
      <c r="P435" s="34" t="s">
        <v>80</v>
      </c>
      <c r="Q435" s="33" t="n">
        <f>1560</f>
        <v>1560.0</v>
      </c>
      <c r="R435" s="34" t="s">
        <v>51</v>
      </c>
      <c r="S435" s="35" t="n">
        <f>1562.17</f>
        <v>1562.17</v>
      </c>
      <c r="T435" s="32" t="n">
        <f>484820</f>
        <v>484820.0</v>
      </c>
      <c r="U435" s="32" t="n">
        <f>123171</f>
        <v>123171.0</v>
      </c>
      <c r="V435" s="32" t="n">
        <f>757176089</f>
        <v>7.57176089E8</v>
      </c>
      <c r="W435" s="32" t="n">
        <f>192807178</f>
        <v>1.92807178E8</v>
      </c>
      <c r="X435" s="36" t="n">
        <f>6</f>
        <v>6.0</v>
      </c>
    </row>
    <row r="436">
      <c r="A436" s="27" t="s">
        <v>42</v>
      </c>
      <c r="B436" s="27" t="s">
        <v>1360</v>
      </c>
      <c r="C436" s="27" t="s">
        <v>1361</v>
      </c>
      <c r="D436" s="27" t="s">
        <v>1362</v>
      </c>
      <c r="E436" s="28" t="s">
        <v>46</v>
      </c>
      <c r="F436" s="29" t="s">
        <v>46</v>
      </c>
      <c r="G436" s="30" t="s">
        <v>46</v>
      </c>
      <c r="H436" s="31"/>
      <c r="I436" s="31" t="s">
        <v>47</v>
      </c>
      <c r="J436" s="32" t="n">
        <v>1.0</v>
      </c>
      <c r="K436" s="33" t="n">
        <f>132900</f>
        <v>132900.0</v>
      </c>
      <c r="L436" s="34" t="s">
        <v>48</v>
      </c>
      <c r="M436" s="33" t="n">
        <f>139500</f>
        <v>139500.0</v>
      </c>
      <c r="N436" s="34" t="s">
        <v>104</v>
      </c>
      <c r="O436" s="33" t="n">
        <f>129000</f>
        <v>129000.0</v>
      </c>
      <c r="P436" s="34" t="s">
        <v>330</v>
      </c>
      <c r="Q436" s="33" t="n">
        <f>138700</f>
        <v>138700.0</v>
      </c>
      <c r="R436" s="34" t="s">
        <v>51</v>
      </c>
      <c r="S436" s="35" t="n">
        <f>134109.09</f>
        <v>134109.09</v>
      </c>
      <c r="T436" s="32" t="n">
        <f>717627</f>
        <v>717627.0</v>
      </c>
      <c r="U436" s="32" t="n">
        <f>178277</f>
        <v>178277.0</v>
      </c>
      <c r="V436" s="32" t="n">
        <f>96343110072</f>
        <v>9.6343110072E10</v>
      </c>
      <c r="W436" s="32" t="n">
        <f>24017296972</f>
        <v>2.4017296972E10</v>
      </c>
      <c r="X436" s="36" t="n">
        <f>22</f>
        <v>22.0</v>
      </c>
    </row>
    <row r="437">
      <c r="A437" s="27" t="s">
        <v>42</v>
      </c>
      <c r="B437" s="27" t="s">
        <v>1363</v>
      </c>
      <c r="C437" s="27" t="s">
        <v>1364</v>
      </c>
      <c r="D437" s="27" t="s">
        <v>1365</v>
      </c>
      <c r="E437" s="28" t="s">
        <v>46</v>
      </c>
      <c r="F437" s="29" t="s">
        <v>46</v>
      </c>
      <c r="G437" s="30" t="s">
        <v>46</v>
      </c>
      <c r="H437" s="31"/>
      <c r="I437" s="31" t="s">
        <v>47</v>
      </c>
      <c r="J437" s="32" t="n">
        <v>1.0</v>
      </c>
      <c r="K437" s="33" t="n">
        <f>117500</f>
        <v>117500.0</v>
      </c>
      <c r="L437" s="34" t="s">
        <v>48</v>
      </c>
      <c r="M437" s="33" t="n">
        <f>123400</f>
        <v>123400.0</v>
      </c>
      <c r="N437" s="34" t="s">
        <v>104</v>
      </c>
      <c r="O437" s="33" t="n">
        <f>115900</f>
        <v>115900.0</v>
      </c>
      <c r="P437" s="34" t="s">
        <v>50</v>
      </c>
      <c r="Q437" s="33" t="n">
        <f>122900</f>
        <v>122900.0</v>
      </c>
      <c r="R437" s="34" t="s">
        <v>51</v>
      </c>
      <c r="S437" s="35" t="n">
        <f>118895.45</f>
        <v>118895.45</v>
      </c>
      <c r="T437" s="32" t="n">
        <f>443813</f>
        <v>443813.0</v>
      </c>
      <c r="U437" s="32" t="n">
        <f>117547</f>
        <v>117547.0</v>
      </c>
      <c r="V437" s="32" t="n">
        <f>52820361874</f>
        <v>5.2820361874E10</v>
      </c>
      <c r="W437" s="32" t="n">
        <f>14025869774</f>
        <v>1.4025869774E10</v>
      </c>
      <c r="X437" s="36" t="n">
        <f>22</f>
        <v>22.0</v>
      </c>
    </row>
    <row r="438">
      <c r="A438" s="27" t="s">
        <v>42</v>
      </c>
      <c r="B438" s="27" t="s">
        <v>1366</v>
      </c>
      <c r="C438" s="27" t="s">
        <v>1367</v>
      </c>
      <c r="D438" s="27" t="s">
        <v>1368</v>
      </c>
      <c r="E438" s="28" t="s">
        <v>46</v>
      </c>
      <c r="F438" s="29" t="s">
        <v>46</v>
      </c>
      <c r="G438" s="30" t="s">
        <v>46</v>
      </c>
      <c r="H438" s="31"/>
      <c r="I438" s="31" t="s">
        <v>47</v>
      </c>
      <c r="J438" s="32" t="n">
        <v>1.0</v>
      </c>
      <c r="K438" s="33" t="n">
        <f>102300</f>
        <v>102300.0</v>
      </c>
      <c r="L438" s="34" t="s">
        <v>48</v>
      </c>
      <c r="M438" s="33" t="n">
        <f>110700</f>
        <v>110700.0</v>
      </c>
      <c r="N438" s="34" t="s">
        <v>51</v>
      </c>
      <c r="O438" s="33" t="n">
        <f>102000</f>
        <v>102000.0</v>
      </c>
      <c r="P438" s="34" t="s">
        <v>48</v>
      </c>
      <c r="Q438" s="33" t="n">
        <f>110100</f>
        <v>110100.0</v>
      </c>
      <c r="R438" s="34" t="s">
        <v>51</v>
      </c>
      <c r="S438" s="35" t="n">
        <f>106563.64</f>
        <v>106563.64</v>
      </c>
      <c r="T438" s="32" t="n">
        <f>504737</f>
        <v>504737.0</v>
      </c>
      <c r="U438" s="32" t="n">
        <f>132192</f>
        <v>132192.0</v>
      </c>
      <c r="V438" s="32" t="n">
        <f>53901892842</f>
        <v>5.3901892842E10</v>
      </c>
      <c r="W438" s="32" t="n">
        <f>14156736642</f>
        <v>1.4156736642E10</v>
      </c>
      <c r="X438" s="36" t="n">
        <f>22</f>
        <v>22.0</v>
      </c>
    </row>
    <row r="439">
      <c r="A439" s="27" t="s">
        <v>42</v>
      </c>
      <c r="B439" s="27" t="s">
        <v>1369</v>
      </c>
      <c r="C439" s="27" t="s">
        <v>1370</v>
      </c>
      <c r="D439" s="27" t="s">
        <v>1371</v>
      </c>
      <c r="E439" s="28" t="s">
        <v>46</v>
      </c>
      <c r="F439" s="29" t="s">
        <v>46</v>
      </c>
      <c r="G439" s="30" t="s">
        <v>46</v>
      </c>
      <c r="H439" s="31"/>
      <c r="I439" s="31" t="s">
        <v>47</v>
      </c>
      <c r="J439" s="32" t="n">
        <v>1.0</v>
      </c>
      <c r="K439" s="33" t="n">
        <f>187800</f>
        <v>187800.0</v>
      </c>
      <c r="L439" s="34" t="s">
        <v>48</v>
      </c>
      <c r="M439" s="33" t="n">
        <f>198700</f>
        <v>198700.0</v>
      </c>
      <c r="N439" s="34" t="s">
        <v>104</v>
      </c>
      <c r="O439" s="33" t="n">
        <f>187300</f>
        <v>187300.0</v>
      </c>
      <c r="P439" s="34" t="s">
        <v>48</v>
      </c>
      <c r="Q439" s="33" t="n">
        <f>197800</f>
        <v>197800.0</v>
      </c>
      <c r="R439" s="34" t="s">
        <v>51</v>
      </c>
      <c r="S439" s="35" t="n">
        <f>192786.36</f>
        <v>192786.36</v>
      </c>
      <c r="T439" s="32" t="n">
        <f>213382</f>
        <v>213382.0</v>
      </c>
      <c r="U439" s="32" t="n">
        <f>66308</f>
        <v>66308.0</v>
      </c>
      <c r="V439" s="32" t="n">
        <f>41149497683</f>
        <v>4.1149497683E10</v>
      </c>
      <c r="W439" s="32" t="n">
        <f>12793207883</f>
        <v>1.2793207883E10</v>
      </c>
      <c r="X439" s="36" t="n">
        <f>22</f>
        <v>22.0</v>
      </c>
    </row>
    <row r="440">
      <c r="A440" s="27" t="s">
        <v>42</v>
      </c>
      <c r="B440" s="27" t="s">
        <v>1372</v>
      </c>
      <c r="C440" s="27" t="s">
        <v>1373</v>
      </c>
      <c r="D440" s="27" t="s">
        <v>1374</v>
      </c>
      <c r="E440" s="28" t="s">
        <v>46</v>
      </c>
      <c r="F440" s="29" t="s">
        <v>46</v>
      </c>
      <c r="G440" s="30" t="s">
        <v>46</v>
      </c>
      <c r="H440" s="31"/>
      <c r="I440" s="31" t="s">
        <v>47</v>
      </c>
      <c r="J440" s="32" t="n">
        <v>1.0</v>
      </c>
      <c r="K440" s="33" t="n">
        <f>93100</f>
        <v>93100.0</v>
      </c>
      <c r="L440" s="34" t="s">
        <v>48</v>
      </c>
      <c r="M440" s="33" t="n">
        <f>99600</f>
        <v>99600.0</v>
      </c>
      <c r="N440" s="34" t="s">
        <v>51</v>
      </c>
      <c r="O440" s="33" t="n">
        <f>92100</f>
        <v>92100.0</v>
      </c>
      <c r="P440" s="34" t="s">
        <v>48</v>
      </c>
      <c r="Q440" s="33" t="n">
        <f>99300</f>
        <v>99300.0</v>
      </c>
      <c r="R440" s="34" t="s">
        <v>51</v>
      </c>
      <c r="S440" s="35" t="n">
        <f>95795.45</f>
        <v>95795.45</v>
      </c>
      <c r="T440" s="32" t="n">
        <f>235172</f>
        <v>235172.0</v>
      </c>
      <c r="U440" s="32" t="n">
        <f>70983</f>
        <v>70983.0</v>
      </c>
      <c r="V440" s="32" t="n">
        <f>22607225146</f>
        <v>2.2607225146E10</v>
      </c>
      <c r="W440" s="32" t="n">
        <f>6855144346</f>
        <v>6.855144346E9</v>
      </c>
      <c r="X440" s="36" t="n">
        <f>22</f>
        <v>22.0</v>
      </c>
    </row>
    <row r="441">
      <c r="A441" s="27" t="s">
        <v>42</v>
      </c>
      <c r="B441" s="27" t="s">
        <v>1375</v>
      </c>
      <c r="C441" s="27" t="s">
        <v>1376</v>
      </c>
      <c r="D441" s="27" t="s">
        <v>1377</v>
      </c>
      <c r="E441" s="28" t="s">
        <v>46</v>
      </c>
      <c r="F441" s="29" t="s">
        <v>46</v>
      </c>
      <c r="G441" s="30" t="s">
        <v>46</v>
      </c>
      <c r="H441" s="31"/>
      <c r="I441" s="31" t="s">
        <v>47</v>
      </c>
      <c r="J441" s="32" t="n">
        <v>1.0</v>
      </c>
      <c r="K441" s="33" t="n">
        <f>128000</f>
        <v>128000.0</v>
      </c>
      <c r="L441" s="34" t="s">
        <v>48</v>
      </c>
      <c r="M441" s="33" t="n">
        <f>131000</f>
        <v>131000.0</v>
      </c>
      <c r="N441" s="34" t="s">
        <v>104</v>
      </c>
      <c r="O441" s="33" t="n">
        <f>127100</f>
        <v>127100.0</v>
      </c>
      <c r="P441" s="34" t="s">
        <v>50</v>
      </c>
      <c r="Q441" s="33" t="n">
        <f>130200</f>
        <v>130200.0</v>
      </c>
      <c r="R441" s="34" t="s">
        <v>51</v>
      </c>
      <c r="S441" s="35" t="n">
        <f>129263.64</f>
        <v>129263.64</v>
      </c>
      <c r="T441" s="32" t="n">
        <f>85300</f>
        <v>85300.0</v>
      </c>
      <c r="U441" s="32" t="n">
        <f>19988</f>
        <v>19988.0</v>
      </c>
      <c r="V441" s="32" t="n">
        <f>11020025972</f>
        <v>1.1020025972E10</v>
      </c>
      <c r="W441" s="32" t="n">
        <f>2582169972</f>
        <v>2.582169972E9</v>
      </c>
      <c r="X441" s="36" t="n">
        <f>22</f>
        <v>22.0</v>
      </c>
    </row>
    <row r="442">
      <c r="A442" s="27" t="s">
        <v>42</v>
      </c>
      <c r="B442" s="27" t="s">
        <v>1378</v>
      </c>
      <c r="C442" s="27" t="s">
        <v>1379</v>
      </c>
      <c r="D442" s="27" t="s">
        <v>1380</v>
      </c>
      <c r="E442" s="28" t="s">
        <v>46</v>
      </c>
      <c r="F442" s="29" t="s">
        <v>46</v>
      </c>
      <c r="G442" s="30" t="s">
        <v>46</v>
      </c>
      <c r="H442" s="31"/>
      <c r="I442" s="31" t="s">
        <v>47</v>
      </c>
      <c r="J442" s="32" t="n">
        <v>1.0</v>
      </c>
      <c r="K442" s="33" t="n">
        <f>195300</f>
        <v>195300.0</v>
      </c>
      <c r="L442" s="34" t="s">
        <v>48</v>
      </c>
      <c r="M442" s="33" t="n">
        <f>201400</f>
        <v>201400.0</v>
      </c>
      <c r="N442" s="34" t="s">
        <v>69</v>
      </c>
      <c r="O442" s="33" t="n">
        <f>194300</f>
        <v>194300.0</v>
      </c>
      <c r="P442" s="34" t="s">
        <v>48</v>
      </c>
      <c r="Q442" s="33" t="n">
        <f>196900</f>
        <v>196900.0</v>
      </c>
      <c r="R442" s="34" t="s">
        <v>51</v>
      </c>
      <c r="S442" s="35" t="n">
        <f>198713.64</f>
        <v>198713.64</v>
      </c>
      <c r="T442" s="32" t="n">
        <f>71646</f>
        <v>71646.0</v>
      </c>
      <c r="U442" s="32" t="n">
        <f>12970</f>
        <v>12970.0</v>
      </c>
      <c r="V442" s="32" t="n">
        <f>14249644390</f>
        <v>1.424964439E10</v>
      </c>
      <c r="W442" s="32" t="n">
        <f>2576527590</f>
        <v>2.57652759E9</v>
      </c>
      <c r="X442" s="36" t="n">
        <f>22</f>
        <v>22.0</v>
      </c>
    </row>
    <row r="443">
      <c r="A443" s="27" t="s">
        <v>42</v>
      </c>
      <c r="B443" s="27" t="s">
        <v>1381</v>
      </c>
      <c r="C443" s="27" t="s">
        <v>1382</v>
      </c>
      <c r="D443" s="27" t="s">
        <v>1383</v>
      </c>
      <c r="E443" s="28" t="s">
        <v>46</v>
      </c>
      <c r="F443" s="29" t="s">
        <v>46</v>
      </c>
      <c r="G443" s="30" t="s">
        <v>46</v>
      </c>
      <c r="H443" s="31"/>
      <c r="I443" s="31" t="s">
        <v>47</v>
      </c>
      <c r="J443" s="32" t="n">
        <v>1.0</v>
      </c>
      <c r="K443" s="33" t="n">
        <f>136300</f>
        <v>136300.0</v>
      </c>
      <c r="L443" s="34" t="s">
        <v>48</v>
      </c>
      <c r="M443" s="33" t="n">
        <f>143500</f>
        <v>143500.0</v>
      </c>
      <c r="N443" s="34" t="s">
        <v>51</v>
      </c>
      <c r="O443" s="33" t="n">
        <f>135000</f>
        <v>135000.0</v>
      </c>
      <c r="P443" s="34" t="s">
        <v>118</v>
      </c>
      <c r="Q443" s="33" t="n">
        <f>142800</f>
        <v>142800.0</v>
      </c>
      <c r="R443" s="34" t="s">
        <v>51</v>
      </c>
      <c r="S443" s="35" t="n">
        <f>139031.82</f>
        <v>139031.82</v>
      </c>
      <c r="T443" s="32" t="n">
        <f>72813</f>
        <v>72813.0</v>
      </c>
      <c r="U443" s="32" t="n">
        <f>15913</f>
        <v>15913.0</v>
      </c>
      <c r="V443" s="32" t="n">
        <f>10135801920</f>
        <v>1.013580192E10</v>
      </c>
      <c r="W443" s="32" t="n">
        <f>2214366020</f>
        <v>2.21436602E9</v>
      </c>
      <c r="X443" s="36" t="n">
        <f>22</f>
        <v>22.0</v>
      </c>
    </row>
    <row r="444">
      <c r="A444" s="27" t="s">
        <v>42</v>
      </c>
      <c r="B444" s="27" t="s">
        <v>1384</v>
      </c>
      <c r="C444" s="27" t="s">
        <v>1385</v>
      </c>
      <c r="D444" s="27" t="s">
        <v>1386</v>
      </c>
      <c r="E444" s="28" t="s">
        <v>46</v>
      </c>
      <c r="F444" s="29" t="s">
        <v>46</v>
      </c>
      <c r="G444" s="30" t="s">
        <v>46</v>
      </c>
      <c r="H444" s="31"/>
      <c r="I444" s="31" t="s">
        <v>47</v>
      </c>
      <c r="J444" s="32" t="n">
        <v>1.0</v>
      </c>
      <c r="K444" s="33" t="n">
        <f>154600</f>
        <v>154600.0</v>
      </c>
      <c r="L444" s="34" t="s">
        <v>48</v>
      </c>
      <c r="M444" s="33" t="n">
        <f>165800</f>
        <v>165800.0</v>
      </c>
      <c r="N444" s="34" t="s">
        <v>51</v>
      </c>
      <c r="O444" s="33" t="n">
        <f>154400</f>
        <v>154400.0</v>
      </c>
      <c r="P444" s="34" t="s">
        <v>48</v>
      </c>
      <c r="Q444" s="33" t="n">
        <f>165800</f>
        <v>165800.0</v>
      </c>
      <c r="R444" s="34" t="s">
        <v>51</v>
      </c>
      <c r="S444" s="35" t="n">
        <f>160536.36</f>
        <v>160536.36</v>
      </c>
      <c r="T444" s="32" t="n">
        <f>196578</f>
        <v>196578.0</v>
      </c>
      <c r="U444" s="32" t="n">
        <f>49451</f>
        <v>49451.0</v>
      </c>
      <c r="V444" s="32" t="n">
        <f>31593003351</f>
        <v>3.1593003351E10</v>
      </c>
      <c r="W444" s="32" t="n">
        <f>7980688551</f>
        <v>7.980688551E9</v>
      </c>
      <c r="X444" s="36" t="n">
        <f>22</f>
        <v>22.0</v>
      </c>
    </row>
    <row r="445">
      <c r="A445" s="27" t="s">
        <v>42</v>
      </c>
      <c r="B445" s="27" t="s">
        <v>1387</v>
      </c>
      <c r="C445" s="27" t="s">
        <v>1388</v>
      </c>
      <c r="D445" s="27" t="s">
        <v>1389</v>
      </c>
      <c r="E445" s="28" t="s">
        <v>46</v>
      </c>
      <c r="F445" s="29" t="s">
        <v>46</v>
      </c>
      <c r="G445" s="30" t="s">
        <v>46</v>
      </c>
      <c r="H445" s="31"/>
      <c r="I445" s="31" t="s">
        <v>47</v>
      </c>
      <c r="J445" s="32" t="n">
        <v>1.0</v>
      </c>
      <c r="K445" s="33" t="n">
        <f>68800</f>
        <v>68800.0</v>
      </c>
      <c r="L445" s="34" t="s">
        <v>48</v>
      </c>
      <c r="M445" s="33" t="n">
        <f>73800</f>
        <v>73800.0</v>
      </c>
      <c r="N445" s="34" t="s">
        <v>104</v>
      </c>
      <c r="O445" s="33" t="n">
        <f>68600</f>
        <v>68600.0</v>
      </c>
      <c r="P445" s="34" t="s">
        <v>48</v>
      </c>
      <c r="Q445" s="33" t="n">
        <f>73500</f>
        <v>73500.0</v>
      </c>
      <c r="R445" s="34" t="s">
        <v>51</v>
      </c>
      <c r="S445" s="35" t="n">
        <f>70800</f>
        <v>70800.0</v>
      </c>
      <c r="T445" s="32" t="n">
        <f>175251</f>
        <v>175251.0</v>
      </c>
      <c r="U445" s="32" t="n">
        <f>49772</f>
        <v>49772.0</v>
      </c>
      <c r="V445" s="32" t="n">
        <f>12453736490</f>
        <v>1.245373649E10</v>
      </c>
      <c r="W445" s="32" t="n">
        <f>3547532990</f>
        <v>3.54753299E9</v>
      </c>
      <c r="X445" s="36" t="n">
        <f>22</f>
        <v>22.0</v>
      </c>
    </row>
    <row r="446">
      <c r="A446" s="27" t="s">
        <v>42</v>
      </c>
      <c r="B446" s="27" t="s">
        <v>1390</v>
      </c>
      <c r="C446" s="27" t="s">
        <v>1391</v>
      </c>
      <c r="D446" s="27" t="s">
        <v>1392</v>
      </c>
      <c r="E446" s="28" t="s">
        <v>46</v>
      </c>
      <c r="F446" s="29" t="s">
        <v>46</v>
      </c>
      <c r="G446" s="30" t="s">
        <v>46</v>
      </c>
      <c r="H446" s="31"/>
      <c r="I446" s="31" t="s">
        <v>47</v>
      </c>
      <c r="J446" s="32" t="n">
        <v>1.0</v>
      </c>
      <c r="K446" s="33" t="n">
        <f>61700</f>
        <v>61700.0</v>
      </c>
      <c r="L446" s="34" t="s">
        <v>48</v>
      </c>
      <c r="M446" s="33" t="n">
        <f>68300</f>
        <v>68300.0</v>
      </c>
      <c r="N446" s="34" t="s">
        <v>70</v>
      </c>
      <c r="O446" s="33" t="n">
        <f>60500</f>
        <v>60500.0</v>
      </c>
      <c r="P446" s="34" t="s">
        <v>48</v>
      </c>
      <c r="Q446" s="33" t="n">
        <f>67200</f>
        <v>67200.0</v>
      </c>
      <c r="R446" s="34" t="s">
        <v>51</v>
      </c>
      <c r="S446" s="35" t="n">
        <f>64263.64</f>
        <v>64263.64</v>
      </c>
      <c r="T446" s="32" t="n">
        <f>790453</f>
        <v>790453.0</v>
      </c>
      <c r="U446" s="32" t="n">
        <f>209959</f>
        <v>209959.0</v>
      </c>
      <c r="V446" s="32" t="n">
        <f>50757711328</f>
        <v>5.0757711328E10</v>
      </c>
      <c r="W446" s="32" t="n">
        <f>13517793328</f>
        <v>1.3517793328E10</v>
      </c>
      <c r="X446" s="36" t="n">
        <f>22</f>
        <v>22.0</v>
      </c>
    </row>
    <row r="447">
      <c r="A447" s="27" t="s">
        <v>42</v>
      </c>
      <c r="B447" s="27" t="s">
        <v>1393</v>
      </c>
      <c r="C447" s="27" t="s">
        <v>1394</v>
      </c>
      <c r="D447" s="27" t="s">
        <v>1395</v>
      </c>
      <c r="E447" s="28" t="s">
        <v>46</v>
      </c>
      <c r="F447" s="29" t="s">
        <v>46</v>
      </c>
      <c r="G447" s="30" t="s">
        <v>46</v>
      </c>
      <c r="H447" s="31"/>
      <c r="I447" s="31" t="s">
        <v>47</v>
      </c>
      <c r="J447" s="32" t="n">
        <v>1.0</v>
      </c>
      <c r="K447" s="33" t="n">
        <f>82200</f>
        <v>82200.0</v>
      </c>
      <c r="L447" s="34" t="s">
        <v>48</v>
      </c>
      <c r="M447" s="33" t="n">
        <f>86200</f>
        <v>86200.0</v>
      </c>
      <c r="N447" s="34" t="s">
        <v>51</v>
      </c>
      <c r="O447" s="33" t="n">
        <f>81200</f>
        <v>81200.0</v>
      </c>
      <c r="P447" s="34" t="s">
        <v>61</v>
      </c>
      <c r="Q447" s="33" t="n">
        <f>86100</f>
        <v>86100.0</v>
      </c>
      <c r="R447" s="34" t="s">
        <v>51</v>
      </c>
      <c r="S447" s="35" t="n">
        <f>83386.36</f>
        <v>83386.36</v>
      </c>
      <c r="T447" s="32" t="n">
        <f>249411</f>
        <v>249411.0</v>
      </c>
      <c r="U447" s="32" t="n">
        <f>93826</f>
        <v>93826.0</v>
      </c>
      <c r="V447" s="32" t="n">
        <f>20917449164</f>
        <v>2.0917449164E10</v>
      </c>
      <c r="W447" s="32" t="n">
        <f>7888162164</f>
        <v>7.888162164E9</v>
      </c>
      <c r="X447" s="36" t="n">
        <f>22</f>
        <v>22.0</v>
      </c>
    </row>
    <row r="448">
      <c r="A448" s="27" t="s">
        <v>42</v>
      </c>
      <c r="B448" s="27" t="s">
        <v>1396</v>
      </c>
      <c r="C448" s="27" t="s">
        <v>1397</v>
      </c>
      <c r="D448" s="27" t="s">
        <v>1398</v>
      </c>
      <c r="E448" s="28" t="s">
        <v>46</v>
      </c>
      <c r="F448" s="29" t="s">
        <v>46</v>
      </c>
      <c r="G448" s="30" t="s">
        <v>46</v>
      </c>
      <c r="H448" s="31"/>
      <c r="I448" s="31" t="s">
        <v>47</v>
      </c>
      <c r="J448" s="32" t="n">
        <v>1.0</v>
      </c>
      <c r="K448" s="33" t="n">
        <f>135000</f>
        <v>135000.0</v>
      </c>
      <c r="L448" s="34" t="s">
        <v>48</v>
      </c>
      <c r="M448" s="33" t="n">
        <f>141900</f>
        <v>141900.0</v>
      </c>
      <c r="N448" s="34" t="s">
        <v>269</v>
      </c>
      <c r="O448" s="33" t="n">
        <f>134300</f>
        <v>134300.0</v>
      </c>
      <c r="P448" s="34" t="s">
        <v>48</v>
      </c>
      <c r="Q448" s="33" t="n">
        <f>141600</f>
        <v>141600.0</v>
      </c>
      <c r="R448" s="34" t="s">
        <v>51</v>
      </c>
      <c r="S448" s="35" t="n">
        <f>138490.91</f>
        <v>138490.91</v>
      </c>
      <c r="T448" s="32" t="n">
        <f>71219</f>
        <v>71219.0</v>
      </c>
      <c r="U448" s="32" t="n">
        <f>13810</f>
        <v>13810.0</v>
      </c>
      <c r="V448" s="32" t="n">
        <f>9888986861</f>
        <v>9.888986861E9</v>
      </c>
      <c r="W448" s="32" t="n">
        <f>1919513261</f>
        <v>1.919513261E9</v>
      </c>
      <c r="X448" s="36" t="n">
        <f>22</f>
        <v>22.0</v>
      </c>
    </row>
    <row r="449">
      <c r="A449" s="27" t="s">
        <v>42</v>
      </c>
      <c r="B449" s="27" t="s">
        <v>1399</v>
      </c>
      <c r="C449" s="27" t="s">
        <v>1400</v>
      </c>
      <c r="D449" s="27" t="s">
        <v>1401</v>
      </c>
      <c r="E449" s="28" t="s">
        <v>46</v>
      </c>
      <c r="F449" s="29" t="s">
        <v>46</v>
      </c>
      <c r="G449" s="30" t="s">
        <v>46</v>
      </c>
      <c r="H449" s="31"/>
      <c r="I449" s="31" t="s">
        <v>47</v>
      </c>
      <c r="J449" s="32" t="n">
        <v>1.0</v>
      </c>
      <c r="K449" s="33" t="n">
        <f>93200</f>
        <v>93200.0</v>
      </c>
      <c r="L449" s="34" t="s">
        <v>48</v>
      </c>
      <c r="M449" s="33" t="n">
        <f>95300</f>
        <v>95300.0</v>
      </c>
      <c r="N449" s="34" t="s">
        <v>180</v>
      </c>
      <c r="O449" s="33" t="n">
        <f>92700</f>
        <v>92700.0</v>
      </c>
      <c r="P449" s="34" t="s">
        <v>50</v>
      </c>
      <c r="Q449" s="33" t="n">
        <f>93800</f>
        <v>93800.0</v>
      </c>
      <c r="R449" s="34" t="s">
        <v>51</v>
      </c>
      <c r="S449" s="35" t="n">
        <f>93954.55</f>
        <v>93954.55</v>
      </c>
      <c r="T449" s="32" t="n">
        <f>176725</f>
        <v>176725.0</v>
      </c>
      <c r="U449" s="32" t="n">
        <f>44245</f>
        <v>44245.0</v>
      </c>
      <c r="V449" s="32" t="n">
        <f>16608192250</f>
        <v>1.660819225E10</v>
      </c>
      <c r="W449" s="32" t="n">
        <f>4158709550</f>
        <v>4.15870955E9</v>
      </c>
      <c r="X449" s="36" t="n">
        <f>22</f>
        <v>22.0</v>
      </c>
    </row>
    <row r="450">
      <c r="A450" s="27" t="s">
        <v>42</v>
      </c>
      <c r="B450" s="27" t="s">
        <v>1402</v>
      </c>
      <c r="C450" s="27" t="s">
        <v>1403</v>
      </c>
      <c r="D450" s="27" t="s">
        <v>1404</v>
      </c>
      <c r="E450" s="28" t="s">
        <v>46</v>
      </c>
      <c r="F450" s="29" t="s">
        <v>46</v>
      </c>
      <c r="G450" s="30" t="s">
        <v>46</v>
      </c>
      <c r="H450" s="31"/>
      <c r="I450" s="31" t="s">
        <v>47</v>
      </c>
      <c r="J450" s="32" t="n">
        <v>1.0</v>
      </c>
      <c r="K450" s="33" t="n">
        <f>172000</f>
        <v>172000.0</v>
      </c>
      <c r="L450" s="34" t="s">
        <v>48</v>
      </c>
      <c r="M450" s="33" t="n">
        <f>181600</f>
        <v>181600.0</v>
      </c>
      <c r="N450" s="34" t="s">
        <v>51</v>
      </c>
      <c r="O450" s="33" t="n">
        <f>171400</f>
        <v>171400.0</v>
      </c>
      <c r="P450" s="34" t="s">
        <v>48</v>
      </c>
      <c r="Q450" s="33" t="n">
        <f>180800</f>
        <v>180800.0</v>
      </c>
      <c r="R450" s="34" t="s">
        <v>51</v>
      </c>
      <c r="S450" s="35" t="n">
        <f>175590.91</f>
        <v>175590.91</v>
      </c>
      <c r="T450" s="32" t="n">
        <f>41152</f>
        <v>41152.0</v>
      </c>
      <c r="U450" s="32" t="n">
        <f>9649</f>
        <v>9649.0</v>
      </c>
      <c r="V450" s="32" t="n">
        <f>7226881610</f>
        <v>7.22688161E9</v>
      </c>
      <c r="W450" s="32" t="n">
        <f>1693267510</f>
        <v>1.69326751E9</v>
      </c>
      <c r="X450" s="36" t="n">
        <f>22</f>
        <v>22.0</v>
      </c>
    </row>
    <row r="451">
      <c r="A451" s="27" t="s">
        <v>42</v>
      </c>
      <c r="B451" s="27" t="s">
        <v>1405</v>
      </c>
      <c r="C451" s="27" t="s">
        <v>1406</v>
      </c>
      <c r="D451" s="27" t="s">
        <v>1407</v>
      </c>
      <c r="E451" s="28" t="s">
        <v>46</v>
      </c>
      <c r="F451" s="29" t="s">
        <v>46</v>
      </c>
      <c r="G451" s="30" t="s">
        <v>46</v>
      </c>
      <c r="H451" s="31"/>
      <c r="I451" s="31" t="s">
        <v>47</v>
      </c>
      <c r="J451" s="32" t="n">
        <v>1.0</v>
      </c>
      <c r="K451" s="33" t="n">
        <f>155000</f>
        <v>155000.0</v>
      </c>
      <c r="L451" s="34" t="s">
        <v>48</v>
      </c>
      <c r="M451" s="33" t="n">
        <f>164700</f>
        <v>164700.0</v>
      </c>
      <c r="N451" s="34" t="s">
        <v>104</v>
      </c>
      <c r="O451" s="33" t="n">
        <f>153500</f>
        <v>153500.0</v>
      </c>
      <c r="P451" s="34" t="s">
        <v>50</v>
      </c>
      <c r="Q451" s="33" t="n">
        <f>162500</f>
        <v>162500.0</v>
      </c>
      <c r="R451" s="34" t="s">
        <v>51</v>
      </c>
      <c r="S451" s="35" t="n">
        <f>157331.82</f>
        <v>157331.82</v>
      </c>
      <c r="T451" s="32" t="n">
        <f>337687</f>
        <v>337687.0</v>
      </c>
      <c r="U451" s="32" t="n">
        <f>124202</f>
        <v>124202.0</v>
      </c>
      <c r="V451" s="32" t="n">
        <f>53808636931</f>
        <v>5.3808636931E10</v>
      </c>
      <c r="W451" s="32" t="n">
        <f>19938653831</f>
        <v>1.9938653831E10</v>
      </c>
      <c r="X451" s="36" t="n">
        <f>22</f>
        <v>22.0</v>
      </c>
    </row>
    <row r="452">
      <c r="A452" s="27" t="s">
        <v>42</v>
      </c>
      <c r="B452" s="27" t="s">
        <v>1408</v>
      </c>
      <c r="C452" s="27" t="s">
        <v>1409</v>
      </c>
      <c r="D452" s="27" t="s">
        <v>1410</v>
      </c>
      <c r="E452" s="28" t="s">
        <v>46</v>
      </c>
      <c r="F452" s="29" t="s">
        <v>46</v>
      </c>
      <c r="G452" s="30" t="s">
        <v>46</v>
      </c>
      <c r="H452" s="31"/>
      <c r="I452" s="31" t="s">
        <v>47</v>
      </c>
      <c r="J452" s="32" t="n">
        <v>1.0</v>
      </c>
      <c r="K452" s="33" t="n">
        <f>91200</f>
        <v>91200.0</v>
      </c>
      <c r="L452" s="34" t="s">
        <v>48</v>
      </c>
      <c r="M452" s="33" t="n">
        <f>96400</f>
        <v>96400.0</v>
      </c>
      <c r="N452" s="34" t="s">
        <v>104</v>
      </c>
      <c r="O452" s="33" t="n">
        <f>90500</f>
        <v>90500.0</v>
      </c>
      <c r="P452" s="34" t="s">
        <v>118</v>
      </c>
      <c r="Q452" s="33" t="n">
        <f>95800</f>
        <v>95800.0</v>
      </c>
      <c r="R452" s="34" t="s">
        <v>51</v>
      </c>
      <c r="S452" s="35" t="n">
        <f>93427.27</f>
        <v>93427.27</v>
      </c>
      <c r="T452" s="32" t="n">
        <f>101654</f>
        <v>101654.0</v>
      </c>
      <c r="U452" s="32" t="n">
        <f>26915</f>
        <v>26915.0</v>
      </c>
      <c r="V452" s="32" t="n">
        <f>9491798839</f>
        <v>9.491798839E9</v>
      </c>
      <c r="W452" s="32" t="n">
        <f>2513502439</f>
        <v>2.513502439E9</v>
      </c>
      <c r="X452" s="36" t="n">
        <f>22</f>
        <v>22.0</v>
      </c>
    </row>
    <row r="453">
      <c r="A453" s="27" t="s">
        <v>42</v>
      </c>
      <c r="B453" s="27" t="s">
        <v>1411</v>
      </c>
      <c r="C453" s="27" t="s">
        <v>1412</v>
      </c>
      <c r="D453" s="27" t="s">
        <v>1413</v>
      </c>
      <c r="E453" s="28" t="s">
        <v>46</v>
      </c>
      <c r="F453" s="29" t="s">
        <v>46</v>
      </c>
      <c r="G453" s="30" t="s">
        <v>46</v>
      </c>
      <c r="H453" s="31"/>
      <c r="I453" s="31" t="s">
        <v>47</v>
      </c>
      <c r="J453" s="32" t="n">
        <v>1.0</v>
      </c>
      <c r="K453" s="33" t="n">
        <f>320000</f>
        <v>320000.0</v>
      </c>
      <c r="L453" s="34" t="s">
        <v>48</v>
      </c>
      <c r="M453" s="33" t="n">
        <f>353000</f>
        <v>353000.0</v>
      </c>
      <c r="N453" s="34" t="s">
        <v>104</v>
      </c>
      <c r="O453" s="33" t="n">
        <f>317500</f>
        <v>317500.0</v>
      </c>
      <c r="P453" s="34" t="s">
        <v>48</v>
      </c>
      <c r="Q453" s="33" t="n">
        <f>351000</f>
        <v>351000.0</v>
      </c>
      <c r="R453" s="34" t="s">
        <v>51</v>
      </c>
      <c r="S453" s="35" t="n">
        <f>332590.91</f>
        <v>332590.91</v>
      </c>
      <c r="T453" s="32" t="n">
        <f>49116</f>
        <v>49116.0</v>
      </c>
      <c r="U453" s="32" t="n">
        <f>12242</f>
        <v>12242.0</v>
      </c>
      <c r="V453" s="32" t="n">
        <f>16468921311</f>
        <v>1.6468921311E10</v>
      </c>
      <c r="W453" s="32" t="n">
        <f>4105461311</f>
        <v>4.105461311E9</v>
      </c>
      <c r="X453" s="36" t="n">
        <f>22</f>
        <v>22.0</v>
      </c>
    </row>
    <row r="454">
      <c r="A454" s="27" t="s">
        <v>42</v>
      </c>
      <c r="B454" s="27" t="s">
        <v>1414</v>
      </c>
      <c r="C454" s="27" t="s">
        <v>1415</v>
      </c>
      <c r="D454" s="27" t="s">
        <v>1416</v>
      </c>
      <c r="E454" s="28" t="s">
        <v>46</v>
      </c>
      <c r="F454" s="29" t="s">
        <v>46</v>
      </c>
      <c r="G454" s="30" t="s">
        <v>46</v>
      </c>
      <c r="H454" s="31"/>
      <c r="I454" s="31" t="s">
        <v>47</v>
      </c>
      <c r="J454" s="32" t="n">
        <v>1.0</v>
      </c>
      <c r="K454" s="33" t="n">
        <f>156700</f>
        <v>156700.0</v>
      </c>
      <c r="L454" s="34" t="s">
        <v>48</v>
      </c>
      <c r="M454" s="33" t="n">
        <f>161700</f>
        <v>161700.0</v>
      </c>
      <c r="N454" s="34" t="s">
        <v>212</v>
      </c>
      <c r="O454" s="33" t="n">
        <f>155800</f>
        <v>155800.0</v>
      </c>
      <c r="P454" s="34" t="s">
        <v>61</v>
      </c>
      <c r="Q454" s="33" t="n">
        <f>159800</f>
        <v>159800.0</v>
      </c>
      <c r="R454" s="34" t="s">
        <v>51</v>
      </c>
      <c r="S454" s="35" t="n">
        <f>159013.64</f>
        <v>159013.64</v>
      </c>
      <c r="T454" s="32" t="n">
        <f>31095</f>
        <v>31095.0</v>
      </c>
      <c r="U454" s="32" t="n">
        <f>6133</f>
        <v>6133.0</v>
      </c>
      <c r="V454" s="32" t="n">
        <f>4941797719</f>
        <v>4.941797719E9</v>
      </c>
      <c r="W454" s="32" t="n">
        <f>974035719</f>
        <v>9.74035719E8</v>
      </c>
      <c r="X454" s="36" t="n">
        <f>22</f>
        <v>22.0</v>
      </c>
    </row>
    <row r="455">
      <c r="A455" s="27" t="s">
        <v>42</v>
      </c>
      <c r="B455" s="27" t="s">
        <v>1417</v>
      </c>
      <c r="C455" s="27" t="s">
        <v>1418</v>
      </c>
      <c r="D455" s="27" t="s">
        <v>1419</v>
      </c>
      <c r="E455" s="28" t="s">
        <v>46</v>
      </c>
      <c r="F455" s="29" t="s">
        <v>46</v>
      </c>
      <c r="G455" s="30" t="s">
        <v>46</v>
      </c>
      <c r="H455" s="31"/>
      <c r="I455" s="31" t="s">
        <v>418</v>
      </c>
      <c r="J455" s="32" t="n">
        <v>1.0</v>
      </c>
      <c r="K455" s="33" t="n">
        <f>177600</f>
        <v>177600.0</v>
      </c>
      <c r="L455" s="34" t="s">
        <v>48</v>
      </c>
      <c r="M455" s="33" t="n">
        <f>189700</f>
        <v>189700.0</v>
      </c>
      <c r="N455" s="34" t="s">
        <v>51</v>
      </c>
      <c r="O455" s="33" t="n">
        <f>174600</f>
        <v>174600.0</v>
      </c>
      <c r="P455" s="34" t="s">
        <v>118</v>
      </c>
      <c r="Q455" s="33" t="n">
        <f>188200</f>
        <v>188200.0</v>
      </c>
      <c r="R455" s="34" t="s">
        <v>51</v>
      </c>
      <c r="S455" s="35" t="n">
        <f>181440.91</f>
        <v>181440.91</v>
      </c>
      <c r="T455" s="32" t="n">
        <f>15684</f>
        <v>15684.0</v>
      </c>
      <c r="U455" s="32" t="n">
        <f>2799</f>
        <v>2799.0</v>
      </c>
      <c r="V455" s="32" t="n">
        <f>2854199821</f>
        <v>2.854199821E9</v>
      </c>
      <c r="W455" s="32" t="n">
        <f>510643021</f>
        <v>5.10643021E8</v>
      </c>
      <c r="X455" s="36" t="n">
        <f>22</f>
        <v>22.0</v>
      </c>
    </row>
    <row r="456">
      <c r="A456" s="27" t="s">
        <v>42</v>
      </c>
      <c r="B456" s="27" t="s">
        <v>1420</v>
      </c>
      <c r="C456" s="27" t="s">
        <v>1421</v>
      </c>
      <c r="D456" s="27" t="s">
        <v>1422</v>
      </c>
      <c r="E456" s="28" t="s">
        <v>46</v>
      </c>
      <c r="F456" s="29" t="s">
        <v>46</v>
      </c>
      <c r="G456" s="30" t="s">
        <v>46</v>
      </c>
      <c r="H456" s="31"/>
      <c r="I456" s="31" t="s">
        <v>47</v>
      </c>
      <c r="J456" s="32" t="n">
        <v>1.0</v>
      </c>
      <c r="K456" s="33" t="n">
        <f>243700</f>
        <v>243700.0</v>
      </c>
      <c r="L456" s="34" t="s">
        <v>48</v>
      </c>
      <c r="M456" s="33" t="n">
        <f>256200</f>
        <v>256200.0</v>
      </c>
      <c r="N456" s="34" t="s">
        <v>104</v>
      </c>
      <c r="O456" s="33" t="n">
        <f>240100</f>
        <v>240100.0</v>
      </c>
      <c r="P456" s="34" t="s">
        <v>50</v>
      </c>
      <c r="Q456" s="33" t="n">
        <f>253100</f>
        <v>253100.0</v>
      </c>
      <c r="R456" s="34" t="s">
        <v>51</v>
      </c>
      <c r="S456" s="35" t="n">
        <f>244218.18</f>
        <v>244218.18</v>
      </c>
      <c r="T456" s="32" t="n">
        <f>188161</f>
        <v>188161.0</v>
      </c>
      <c r="U456" s="32" t="n">
        <f>60658</f>
        <v>60658.0</v>
      </c>
      <c r="V456" s="32" t="n">
        <f>46680318943</f>
        <v>4.6680318943E10</v>
      </c>
      <c r="W456" s="32" t="n">
        <f>15184707143</f>
        <v>1.5184707143E10</v>
      </c>
      <c r="X456" s="36" t="n">
        <f>22</f>
        <v>22.0</v>
      </c>
    </row>
    <row r="457">
      <c r="A457" s="27" t="s">
        <v>42</v>
      </c>
      <c r="B457" s="27" t="s">
        <v>1423</v>
      </c>
      <c r="C457" s="27" t="s">
        <v>1424</v>
      </c>
      <c r="D457" s="27" t="s">
        <v>1425</v>
      </c>
      <c r="E457" s="28" t="s">
        <v>46</v>
      </c>
      <c r="F457" s="29" t="s">
        <v>46</v>
      </c>
      <c r="G457" s="30" t="s">
        <v>46</v>
      </c>
      <c r="H457" s="31"/>
      <c r="I457" s="31" t="s">
        <v>47</v>
      </c>
      <c r="J457" s="32" t="n">
        <v>1.0</v>
      </c>
      <c r="K457" s="33" t="n">
        <f>75400</f>
        <v>75400.0</v>
      </c>
      <c r="L457" s="34" t="s">
        <v>48</v>
      </c>
      <c r="M457" s="33" t="n">
        <f>83300</f>
        <v>83300.0</v>
      </c>
      <c r="N457" s="34" t="s">
        <v>51</v>
      </c>
      <c r="O457" s="33" t="n">
        <f>74600</f>
        <v>74600.0</v>
      </c>
      <c r="P457" s="34" t="s">
        <v>48</v>
      </c>
      <c r="Q457" s="33" t="n">
        <f>82900</f>
        <v>82900.0</v>
      </c>
      <c r="R457" s="34" t="s">
        <v>51</v>
      </c>
      <c r="S457" s="35" t="n">
        <f>78986.36</f>
        <v>78986.36</v>
      </c>
      <c r="T457" s="32" t="n">
        <f>493545</f>
        <v>493545.0</v>
      </c>
      <c r="U457" s="32" t="n">
        <f>159589</f>
        <v>159589.0</v>
      </c>
      <c r="V457" s="32" t="n">
        <f>39142973975</f>
        <v>3.9142973975E10</v>
      </c>
      <c r="W457" s="32" t="n">
        <f>12715335375</f>
        <v>1.2715335375E10</v>
      </c>
      <c r="X457" s="36" t="n">
        <f>22</f>
        <v>22.0</v>
      </c>
    </row>
    <row r="458">
      <c r="A458" s="27" t="s">
        <v>42</v>
      </c>
      <c r="B458" s="27" t="s">
        <v>1426</v>
      </c>
      <c r="C458" s="27" t="s">
        <v>1427</v>
      </c>
      <c r="D458" s="27" t="s">
        <v>1428</v>
      </c>
      <c r="E458" s="28" t="s">
        <v>46</v>
      </c>
      <c r="F458" s="29" t="s">
        <v>46</v>
      </c>
      <c r="G458" s="30" t="s">
        <v>46</v>
      </c>
      <c r="H458" s="31"/>
      <c r="I458" s="31" t="s">
        <v>47</v>
      </c>
      <c r="J458" s="32" t="n">
        <v>1.0</v>
      </c>
      <c r="K458" s="33" t="n">
        <f>95500</f>
        <v>95500.0</v>
      </c>
      <c r="L458" s="34" t="s">
        <v>48</v>
      </c>
      <c r="M458" s="33" t="n">
        <f>102900</f>
        <v>102900.0</v>
      </c>
      <c r="N458" s="34" t="s">
        <v>51</v>
      </c>
      <c r="O458" s="33" t="n">
        <f>95400</f>
        <v>95400.0</v>
      </c>
      <c r="P458" s="34" t="s">
        <v>48</v>
      </c>
      <c r="Q458" s="33" t="n">
        <f>102400</f>
        <v>102400.0</v>
      </c>
      <c r="R458" s="34" t="s">
        <v>51</v>
      </c>
      <c r="S458" s="35" t="n">
        <f>98672.73</f>
        <v>98672.73</v>
      </c>
      <c r="T458" s="32" t="n">
        <f>121834</f>
        <v>121834.0</v>
      </c>
      <c r="U458" s="32" t="n">
        <f>33074</f>
        <v>33074.0</v>
      </c>
      <c r="V458" s="32" t="n">
        <f>12053261245</f>
        <v>1.2053261245E10</v>
      </c>
      <c r="W458" s="32" t="n">
        <f>3283855245</f>
        <v>3.283855245E9</v>
      </c>
      <c r="X458" s="36" t="n">
        <f>22</f>
        <v>22.0</v>
      </c>
    </row>
    <row r="459">
      <c r="A459" s="27" t="s">
        <v>42</v>
      </c>
      <c r="B459" s="27" t="s">
        <v>1429</v>
      </c>
      <c r="C459" s="27" t="s">
        <v>1430</v>
      </c>
      <c r="D459" s="27" t="s">
        <v>1431</v>
      </c>
      <c r="E459" s="28" t="s">
        <v>46</v>
      </c>
      <c r="F459" s="29" t="s">
        <v>46</v>
      </c>
      <c r="G459" s="30" t="s">
        <v>46</v>
      </c>
      <c r="H459" s="31"/>
      <c r="I459" s="31" t="s">
        <v>47</v>
      </c>
      <c r="J459" s="32" t="n">
        <v>1.0</v>
      </c>
      <c r="K459" s="33" t="n">
        <f>133300</f>
        <v>133300.0</v>
      </c>
      <c r="L459" s="34" t="s">
        <v>48</v>
      </c>
      <c r="M459" s="33" t="n">
        <f>141200</f>
        <v>141200.0</v>
      </c>
      <c r="N459" s="34" t="s">
        <v>104</v>
      </c>
      <c r="O459" s="33" t="n">
        <f>132500</f>
        <v>132500.0</v>
      </c>
      <c r="P459" s="34" t="s">
        <v>48</v>
      </c>
      <c r="Q459" s="33" t="n">
        <f>140000</f>
        <v>140000.0</v>
      </c>
      <c r="R459" s="34" t="s">
        <v>51</v>
      </c>
      <c r="S459" s="35" t="n">
        <f>135840.91</f>
        <v>135840.91</v>
      </c>
      <c r="T459" s="32" t="n">
        <f>82273</f>
        <v>82273.0</v>
      </c>
      <c r="U459" s="32" t="n">
        <f>23144</f>
        <v>23144.0</v>
      </c>
      <c r="V459" s="32" t="n">
        <f>11239983258</f>
        <v>1.1239983258E10</v>
      </c>
      <c r="W459" s="32" t="n">
        <f>3183365258</f>
        <v>3.183365258E9</v>
      </c>
      <c r="X459" s="36" t="n">
        <f>22</f>
        <v>22.0</v>
      </c>
    </row>
    <row r="460">
      <c r="A460" s="27" t="s">
        <v>42</v>
      </c>
      <c r="B460" s="27" t="s">
        <v>1432</v>
      </c>
      <c r="C460" s="27" t="s">
        <v>1433</v>
      </c>
      <c r="D460" s="27" t="s">
        <v>1434</v>
      </c>
      <c r="E460" s="28" t="s">
        <v>46</v>
      </c>
      <c r="F460" s="29" t="s">
        <v>46</v>
      </c>
      <c r="G460" s="30" t="s">
        <v>46</v>
      </c>
      <c r="H460" s="31"/>
      <c r="I460" s="31" t="s">
        <v>418</v>
      </c>
      <c r="J460" s="32" t="n">
        <v>1.0</v>
      </c>
      <c r="K460" s="33" t="n">
        <f>47250</f>
        <v>47250.0</v>
      </c>
      <c r="L460" s="34" t="s">
        <v>48</v>
      </c>
      <c r="M460" s="33" t="n">
        <f>47250</f>
        <v>47250.0</v>
      </c>
      <c r="N460" s="34" t="s">
        <v>48</v>
      </c>
      <c r="O460" s="33" t="n">
        <f>44700</f>
        <v>44700.0</v>
      </c>
      <c r="P460" s="34" t="s">
        <v>48</v>
      </c>
      <c r="Q460" s="33" t="n">
        <f>45750</f>
        <v>45750.0</v>
      </c>
      <c r="R460" s="34" t="s">
        <v>51</v>
      </c>
      <c r="S460" s="35" t="n">
        <f>46136.36</f>
        <v>46136.36</v>
      </c>
      <c r="T460" s="32" t="n">
        <f>6363</f>
        <v>6363.0</v>
      </c>
      <c r="U460" s="32" t="str">
        <f>"－"</f>
        <v>－</v>
      </c>
      <c r="V460" s="32" t="n">
        <f>293047100</f>
        <v>2.930471E8</v>
      </c>
      <c r="W460" s="32" t="str">
        <f>"－"</f>
        <v>－</v>
      </c>
      <c r="X460" s="36" t="n">
        <f>22</f>
        <v>22.0</v>
      </c>
    </row>
    <row r="461">
      <c r="A461" s="27" t="s">
        <v>42</v>
      </c>
      <c r="B461" s="27" t="s">
        <v>1435</v>
      </c>
      <c r="C461" s="27" t="s">
        <v>1436</v>
      </c>
      <c r="D461" s="27" t="s">
        <v>1437</v>
      </c>
      <c r="E461" s="28" t="s">
        <v>46</v>
      </c>
      <c r="F461" s="29" t="s">
        <v>46</v>
      </c>
      <c r="G461" s="30" t="s">
        <v>46</v>
      </c>
      <c r="H461" s="31"/>
      <c r="I461" s="31" t="s">
        <v>418</v>
      </c>
      <c r="J461" s="32" t="n">
        <v>1.0</v>
      </c>
      <c r="K461" s="33" t="n">
        <f>82100</f>
        <v>82100.0</v>
      </c>
      <c r="L461" s="34" t="s">
        <v>48</v>
      </c>
      <c r="M461" s="33" t="n">
        <f>84400</f>
        <v>84400.0</v>
      </c>
      <c r="N461" s="34" t="s">
        <v>51</v>
      </c>
      <c r="O461" s="33" t="n">
        <f>81000</f>
        <v>81000.0</v>
      </c>
      <c r="P461" s="34" t="s">
        <v>48</v>
      </c>
      <c r="Q461" s="33" t="n">
        <f>84200</f>
        <v>84200.0</v>
      </c>
      <c r="R461" s="34" t="s">
        <v>51</v>
      </c>
      <c r="S461" s="35" t="n">
        <f>82577.27</f>
        <v>82577.27</v>
      </c>
      <c r="T461" s="32" t="n">
        <f>45341</f>
        <v>45341.0</v>
      </c>
      <c r="U461" s="32" t="n">
        <f>1445</f>
        <v>1445.0</v>
      </c>
      <c r="V461" s="32" t="n">
        <f>3734793349</f>
        <v>3.734793349E9</v>
      </c>
      <c r="W461" s="32" t="n">
        <f>119064149</f>
        <v>1.19064149E8</v>
      </c>
      <c r="X461" s="36" t="n">
        <f>22</f>
        <v>22.0</v>
      </c>
    </row>
    <row r="462">
      <c r="A462" s="27" t="s">
        <v>42</v>
      </c>
      <c r="B462" s="27" t="s">
        <v>1438</v>
      </c>
      <c r="C462" s="27" t="s">
        <v>1439</v>
      </c>
      <c r="D462" s="27" t="s">
        <v>1440</v>
      </c>
      <c r="E462" s="28" t="s">
        <v>46</v>
      </c>
      <c r="F462" s="29" t="s">
        <v>46</v>
      </c>
      <c r="G462" s="30" t="s">
        <v>46</v>
      </c>
      <c r="H462" s="31"/>
      <c r="I462" s="31" t="s">
        <v>418</v>
      </c>
      <c r="J462" s="32" t="n">
        <v>1.0</v>
      </c>
      <c r="K462" s="33" t="n">
        <f>47350</f>
        <v>47350.0</v>
      </c>
      <c r="L462" s="34" t="s">
        <v>48</v>
      </c>
      <c r="M462" s="33" t="n">
        <f>48350</f>
        <v>48350.0</v>
      </c>
      <c r="N462" s="34" t="s">
        <v>330</v>
      </c>
      <c r="O462" s="33" t="n">
        <f>44800</f>
        <v>44800.0</v>
      </c>
      <c r="P462" s="34" t="s">
        <v>69</v>
      </c>
      <c r="Q462" s="33" t="n">
        <f>47600</f>
        <v>47600.0</v>
      </c>
      <c r="R462" s="34" t="s">
        <v>51</v>
      </c>
      <c r="S462" s="35" t="n">
        <f>47386.36</f>
        <v>47386.36</v>
      </c>
      <c r="T462" s="32" t="n">
        <f>8012</f>
        <v>8012.0</v>
      </c>
      <c r="U462" s="32" t="n">
        <f>720</f>
        <v>720.0</v>
      </c>
      <c r="V462" s="32" t="n">
        <f>376976840</f>
        <v>3.7697684E8</v>
      </c>
      <c r="W462" s="32" t="n">
        <f>33195840</f>
        <v>3.319584E7</v>
      </c>
      <c r="X462" s="36" t="n">
        <f>22</f>
        <v>22.0</v>
      </c>
    </row>
    <row r="463">
      <c r="A463" s="27" t="s">
        <v>42</v>
      </c>
      <c r="B463" s="27" t="s">
        <v>1441</v>
      </c>
      <c r="C463" s="27" t="s">
        <v>1442</v>
      </c>
      <c r="D463" s="27" t="s">
        <v>1443</v>
      </c>
      <c r="E463" s="28" t="s">
        <v>46</v>
      </c>
      <c r="F463" s="29" t="s">
        <v>46</v>
      </c>
      <c r="G463" s="30" t="s">
        <v>46</v>
      </c>
      <c r="H463" s="31"/>
      <c r="I463" s="31" t="s">
        <v>47</v>
      </c>
      <c r="J463" s="32" t="n">
        <v>1.0</v>
      </c>
      <c r="K463" s="33" t="n">
        <f>47400</f>
        <v>47400.0</v>
      </c>
      <c r="L463" s="34" t="s">
        <v>48</v>
      </c>
      <c r="M463" s="33" t="n">
        <f>48950</f>
        <v>48950.0</v>
      </c>
      <c r="N463" s="34" t="s">
        <v>51</v>
      </c>
      <c r="O463" s="33" t="n">
        <f>46250</f>
        <v>46250.0</v>
      </c>
      <c r="P463" s="34" t="s">
        <v>48</v>
      </c>
      <c r="Q463" s="33" t="n">
        <f>48950</f>
        <v>48950.0</v>
      </c>
      <c r="R463" s="34" t="s">
        <v>51</v>
      </c>
      <c r="S463" s="35" t="n">
        <f>47204.55</f>
        <v>47204.55</v>
      </c>
      <c r="T463" s="32" t="n">
        <f>27259</f>
        <v>27259.0</v>
      </c>
      <c r="U463" s="32" t="n">
        <f>2054</f>
        <v>2054.0</v>
      </c>
      <c r="V463" s="32" t="n">
        <f>1287158211</f>
        <v>1.287158211E9</v>
      </c>
      <c r="W463" s="32" t="n">
        <f>96391011</f>
        <v>9.6391011E7</v>
      </c>
      <c r="X463" s="36" t="n">
        <f>22</f>
        <v>22.0</v>
      </c>
    </row>
    <row r="464">
      <c r="A464" s="27" t="s">
        <v>42</v>
      </c>
      <c r="B464" s="27" t="s">
        <v>1444</v>
      </c>
      <c r="C464" s="27" t="s">
        <v>1445</v>
      </c>
      <c r="D464" s="27" t="s">
        <v>1446</v>
      </c>
      <c r="E464" s="28" t="s">
        <v>46</v>
      </c>
      <c r="F464" s="29" t="s">
        <v>46</v>
      </c>
      <c r="G464" s="30" t="s">
        <v>46</v>
      </c>
      <c r="H464" s="31"/>
      <c r="I464" s="31" t="s">
        <v>418</v>
      </c>
      <c r="J464" s="32" t="n">
        <v>1.0</v>
      </c>
      <c r="K464" s="33" t="n">
        <f>45200</f>
        <v>45200.0</v>
      </c>
      <c r="L464" s="34" t="s">
        <v>48</v>
      </c>
      <c r="M464" s="33" t="n">
        <f>47000</f>
        <v>47000.0</v>
      </c>
      <c r="N464" s="34" t="s">
        <v>51</v>
      </c>
      <c r="O464" s="33" t="n">
        <f>44150</f>
        <v>44150.0</v>
      </c>
      <c r="P464" s="34" t="s">
        <v>69</v>
      </c>
      <c r="Q464" s="33" t="n">
        <f>47000</f>
        <v>47000.0</v>
      </c>
      <c r="R464" s="34" t="s">
        <v>51</v>
      </c>
      <c r="S464" s="35" t="n">
        <f>45138.64</f>
        <v>45138.64</v>
      </c>
      <c r="T464" s="32" t="n">
        <f>33951</f>
        <v>33951.0</v>
      </c>
      <c r="U464" s="32" t="n">
        <f>3154</f>
        <v>3154.0</v>
      </c>
      <c r="V464" s="32" t="n">
        <f>1526551082</f>
        <v>1.526551082E9</v>
      </c>
      <c r="W464" s="32" t="n">
        <f>140560582</f>
        <v>1.40560582E8</v>
      </c>
      <c r="X464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