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315" windowHeight="12330"/>
  </bookViews>
  <sheets>
    <sheet name="BO_EM0004" sheetId="1" r:id="rId1"/>
  </sheets>
  <definedNames>
    <definedName name="_xlnm.Print_Titles" localSheetId="0">BO_EM0004!$1:$6</definedName>
  </definedNames>
  <calcPr calcId="145621"/>
</workbook>
</file>

<file path=xl/sharedStrings.xml><?xml version="1.0" encoding="utf-8"?>
<sst xmlns="http://schemas.openxmlformats.org/spreadsheetml/2006/main" count="5635" uniqueCount="1468">
  <si>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</si>
  <si>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sb="0" eb="1">
      <t>トウ</t>
    </rPh>
    <rPh sb="2" eb="3">
      <t>シン</t>
    </rPh>
    <rPh sb="4" eb="5">
      <t>トウ</t>
    </rPh>
    <rPh sb="6" eb="7">
      <t>ソウ</t>
    </rPh>
    <rPh sb="8" eb="9">
      <t>バ</t>
    </rPh>
    <rPh sb="10" eb="11">
      <t>ヒョウ</t>
    </rPh>
    <phoneticPr fontId="3"/>
  </si>
  <si>
    <t>Investment Trust Quotations</t>
    <phoneticPr fontId="3"/>
  </si>
  <si>
    <t>年月</t>
  </si>
  <si>
    <t>銘柄コード</t>
    <rPh sb="0" eb="2">
      <t>メイガラ</t>
    </rPh>
    <phoneticPr fontId="3"/>
  </si>
  <si>
    <t>銘柄名称</t>
    <rPh sb="0" eb="2">
      <t>メイガラ</t>
    </rPh>
    <rPh sb="2" eb="4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</si>
  <si>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</si>
  <si>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</si>
  <si>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</si>
  <si>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sb="0" eb="2">
      <t>ヒヅケ</t>
    </rPh>
    <phoneticPr fontId="3"/>
  </si>
  <si>
    <t>区分</t>
  </si>
  <si>
    <t>信用・貸借</t>
    <rPh sb="0" eb="2">
      <t>シンヨウ</t>
    </rPh>
    <rPh sb="3" eb="5">
      <t>タイシャク</t>
    </rPh>
    <phoneticPr fontId="3"/>
  </si>
  <si>
    <t>売買単位</t>
    <rPh sb="0" eb="2">
      <t>バイバイ</t>
    </rPh>
    <rPh sb="2" eb="4">
      <t>タンイ</t>
    </rPh>
    <phoneticPr fontId="3"/>
  </si>
  <si>
    <t>始値</t>
    <rPh sb="0" eb="2">
      <t>ハジメネ</t>
    </rPh>
    <phoneticPr fontId="3"/>
  </si>
  <si>
    <t>高値</t>
    <rPh sb="0" eb="1">
      <t>タカ</t>
    </rPh>
    <rPh sb="1" eb="2">
      <t>ネ</t>
    </rPh>
    <phoneticPr fontId="3"/>
  </si>
  <si>
    <t>安値</t>
    <rPh sb="0" eb="2">
      <t>ヤスネ</t>
    </rPh>
    <phoneticPr fontId="3"/>
  </si>
  <si>
    <t>終値</t>
    <rPh sb="0" eb="2">
      <t>オワリネ</t>
    </rPh>
    <phoneticPr fontId="3"/>
  </si>
  <si>
    <t>終値平均</t>
    <rPh sb="0" eb="2">
      <t>オワリネ</t>
    </rPh>
    <rPh sb="2" eb="4">
      <t>ヘイキン</t>
    </rPh>
    <phoneticPr fontId="3"/>
  </si>
  <si>
    <t>売買高</t>
    <rPh sb="0" eb="3">
      <t>バイバイダカ</t>
    </rPh>
    <phoneticPr fontId="3"/>
  </si>
  <si>
    <t>うちToSTNeT売買高</t>
  </si>
  <si>
    <t>売買代金</t>
    <rPh sb="0" eb="2">
      <t>バイバイ</t>
    </rPh>
    <rPh sb="2" eb="4">
      <t>ダイキン</t>
    </rPh>
    <phoneticPr fontId="3"/>
  </si>
  <si>
    <t>うちToSTNeT売買代金</t>
  </si>
  <si>
    <t>値付日数</t>
    <rPh sb="0" eb="2">
      <t>ネツ</t>
    </rPh>
    <rPh sb="2" eb="4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</si>
  <si>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</si>
  <si>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</si>
  <si>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</si>
  <si>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</si>
  <si>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</si>
  <si>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</si>
  <si>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</si>
  <si>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</si>
  <si>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</si>
  <si>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</si>
  <si>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</si>
  <si>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</si>
  <si>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</si>
  <si>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</si>
  <si>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</si>
  <si>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</si>
  <si>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</si>
  <si>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</si>
  <si>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</si>
  <si>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2025/09</t>
  </si>
  <si>
    <t>1305</t>
  </si>
  <si>
    <t>ｉＦｒｅｅＥＴＦ　ＴＯＰＩＸ（年１回決算型）　受益証券</t>
  </si>
  <si>
    <t>iFreeETF TOPIX (Yearly Dividend Type)</t>
  </si>
  <si>
    <t/>
  </si>
  <si>
    <t>貸借</t>
  </si>
  <si>
    <t>1</t>
  </si>
  <si>
    <t>26</t>
  </si>
  <si>
    <t>3</t>
  </si>
  <si>
    <t>30</t>
  </si>
  <si>
    <t>1306</t>
  </si>
  <si>
    <t>ＮＥＸＴ　ＦＵＮＤＳ　ＴＯＰＩＸ連動型上場投信　受益証券</t>
  </si>
  <si>
    <t>NEXT FUNDS TOPIX Exchange Traded Fund</t>
  </si>
  <si>
    <t>1308</t>
  </si>
  <si>
    <t>上場インデックスファンドＴＯＰＩＸ　受益証券</t>
  </si>
  <si>
    <t>Listed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</si>
  <si>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</si>
  <si>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</si>
  <si>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</si>
  <si>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24</t>
  </si>
  <si>
    <t>4</t>
  </si>
  <si>
    <t>1311</t>
  </si>
  <si>
    <t>ＮＥＸＴ　ＦＵＮＤＳ　ＴＯＰＩＸ　Ｃｏｒｅ　３０連動型上場投信　受益証券</t>
  </si>
  <si>
    <t>NEXT FUNDS TOPIX Core 30 Exchange Traded Fund</t>
  </si>
  <si>
    <t>1319</t>
  </si>
  <si>
    <t>ＮＥＸＴ　ＦＵＮＤＳ　日経３００株価指数連動型上場投信　受益証券</t>
  </si>
  <si>
    <t>NEXT FUNDS Nikkei 300 Index Exchange Traded Fund</t>
  </si>
  <si>
    <t>18</t>
  </si>
  <si>
    <t>29</t>
  </si>
  <si>
    <t>1320</t>
  </si>
  <si>
    <t>ｉＦｒｅｅＥＴＦ　日経２２５（年１回決算型）　受益証券</t>
  </si>
  <si>
    <t>iFreeETF Nikkei225 (Yearly Dividend Type)</t>
  </si>
  <si>
    <t>19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</si>
  <si>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</si>
  <si>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</si>
  <si>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</si>
  <si>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</si>
  <si>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</si>
  <si>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</si>
  <si>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1325</t>
  </si>
  <si>
    <t>ＮＥＸＴ　ＦＵＮＤＳ　ブラジル株式指数・ボベスパ連動型上場投信　受益証券</t>
  </si>
  <si>
    <t>NEXT FUNDS Ibovespa Linked Exchange Traded Fund</t>
  </si>
  <si>
    <t>1326</t>
  </si>
  <si>
    <t>ＳＰＤＲゴールド・シェア　受益証券</t>
  </si>
  <si>
    <t>SPDR Gold Shares</t>
  </si>
  <si>
    <t>1328</t>
  </si>
  <si>
    <t>ＮＥＸＴ　ＦＵＮＤＳ　金価格連動型上場投信　受益証券</t>
  </si>
  <si>
    <t>NEXT FUNDS Gold Price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</si>
  <si>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</si>
  <si>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</si>
  <si>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</si>
  <si>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</si>
  <si>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</si>
  <si>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Listed Index Fund 225</t>
  </si>
  <si>
    <t>133A</t>
  </si>
  <si>
    <t>グローバルＸ　超短期米国債　ＥＴＦ　受益証券</t>
  </si>
  <si>
    <t>Global X Ultra Short-Term T-Bill ETF</t>
  </si>
  <si>
    <t>17</t>
  </si>
  <si>
    <t>1343</t>
  </si>
  <si>
    <t>ＮＥＸＴ　ＦＵＮＤＳ　東証ＲＥＩＴ　指数連動型上場投信　受益証券</t>
  </si>
  <si>
    <t>NEXT FUNDS REIT INDEX ETF</t>
  </si>
  <si>
    <t>5</t>
  </si>
  <si>
    <t>1345</t>
  </si>
  <si>
    <t>上場インデックスファンドＪリート（東証ＲＥＩＴ指数）隔月分配型　受益証券</t>
  </si>
  <si>
    <t>Listed Index Fund J-REIT (Tokyo Stock Exchange REIT Index)Bi-Monthly Dividend Payment Type</t>
  </si>
  <si>
    <t>1346</t>
  </si>
  <si>
    <t>ＭＡＸＩＳ　日経２２５上場投信　受益証券</t>
  </si>
  <si>
    <t>MAXIS NIKKEI 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</si>
  <si>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</si>
  <si>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</si>
  <si>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</si>
  <si>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</si>
  <si>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</si>
  <si>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</si>
  <si>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</si>
  <si>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</si>
  <si>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</si>
  <si>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</si>
  <si>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</si>
  <si>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Exchange Traded Fund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</si>
  <si>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</si>
  <si>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</si>
  <si>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</si>
  <si>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</si>
  <si>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</si>
  <si>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</si>
  <si>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</si>
  <si>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</si>
  <si>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</si>
  <si>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</si>
  <si>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ｉＦｒｅｅＥＴＦ　日経平均レバレッジ・インデックス　受益証券</t>
  </si>
  <si>
    <t>iFreeETF Nikkei225 Leveraged Index</t>
  </si>
  <si>
    <t>1366</t>
  </si>
  <si>
    <t>ｉＦｒｅｅＥＴＦ　日経平均ダブルインバース・インデックス　受益証券</t>
  </si>
  <si>
    <t>iFreeETF Nikkei225 Double Inverse Index</t>
  </si>
  <si>
    <t>1367</t>
  </si>
  <si>
    <t>ｉＦｒｅｅＥＴＦ　ＴＯＰＩＸレバレッジ（２倍）指数　受益証券</t>
  </si>
  <si>
    <t>iFreeETF TOPIX Leveraged (2x) Index</t>
  </si>
  <si>
    <t>1368</t>
  </si>
  <si>
    <t>ｉＦｒｅｅＥＴＦ　ＴＯＰＩＸダブルインバース（－２倍）指数　受益証券</t>
  </si>
  <si>
    <t>iFreeETF TOPIX Double Inverse (-2x) Index</t>
  </si>
  <si>
    <t>1369</t>
  </si>
  <si>
    <t>Ｏｎｅ　ＥＴＦ　日経２２５　受益証券</t>
  </si>
  <si>
    <t>One ETF Nikkei225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</si>
  <si>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</si>
  <si>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</si>
  <si>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</si>
  <si>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</si>
  <si>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</si>
  <si>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</si>
  <si>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</si>
  <si>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</si>
  <si>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</si>
  <si>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10</t>
  </si>
  <si>
    <t>140A</t>
  </si>
  <si>
    <t>ｉＦｒｅｅＥＴＦ　米国１０年国債先物インバース　受益証券</t>
  </si>
  <si>
    <t>iFreeETF 10-Year U.S. Treasury Note Futures Inverse</t>
  </si>
  <si>
    <t>1456</t>
  </si>
  <si>
    <t>ｉＦｒｅｅＥＴＦ　日経平均インバース・インデックス　受益証券</t>
  </si>
  <si>
    <t>iFreeETF Nikkei225 Inverse Index</t>
  </si>
  <si>
    <t>1457</t>
  </si>
  <si>
    <t>ｉＦｒｅｅＥＴＦ　ＴＯＰＩＸインバース（－１倍）指数　受益証券</t>
  </si>
  <si>
    <t>iFreeETF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</si>
  <si>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</si>
  <si>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</si>
  <si>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</si>
  <si>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</si>
  <si>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</si>
  <si>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</si>
  <si>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1466</t>
  </si>
  <si>
    <t>ｉＦｒｅｅＥＴＦ　ＪＰＸ日経４００ダブルインバース・インデックス　受益証券</t>
  </si>
  <si>
    <t>iFreeETF JPX-Nikkei400 Double Inverse (-2x) Index</t>
  </si>
  <si>
    <t>1469</t>
  </si>
  <si>
    <t>ＪＰＸ日経４００ベア２倍上場投信（ダブルインバース）　受益証券</t>
  </si>
  <si>
    <t>JPX-Nikkei 400 Bear -2x Double Inverse ETF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</si>
  <si>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</si>
  <si>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</si>
  <si>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</si>
  <si>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</si>
  <si>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</si>
  <si>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</si>
  <si>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</si>
  <si>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</si>
  <si>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</si>
  <si>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</si>
  <si>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</si>
  <si>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</si>
  <si>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</si>
  <si>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</si>
  <si>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</si>
  <si>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</si>
  <si>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</si>
  <si>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</si>
  <si>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22</t>
  </si>
  <si>
    <t>1478</t>
  </si>
  <si>
    <t>ｉシェアーズ　ＭＳＣＩ　ジャパン高配当利回り　ＥＴＦ　受益証券</t>
  </si>
  <si>
    <t>iShares MSCI Japan High Dividend ETF</t>
  </si>
  <si>
    <t>9</t>
  </si>
  <si>
    <t>1479</t>
  </si>
  <si>
    <t>ｉＦｒｅｅＥＴＦ　ＭＳＣＩ日本株人材設備投資指数　受益証券</t>
  </si>
  <si>
    <t>iFreeETF MSCI Japan Human and Physical Investment Index</t>
  </si>
  <si>
    <t>16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</si>
  <si>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</si>
  <si>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</si>
  <si>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</si>
  <si>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2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</si>
  <si>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</si>
  <si>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</si>
  <si>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</si>
  <si>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</si>
  <si>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</si>
  <si>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</si>
  <si>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12</t>
  </si>
  <si>
    <t>1483</t>
  </si>
  <si>
    <t>ｉシェアーズ　ＪＰＸ／Ｓ＆Ｐ設備・人材投資　ＥＴＦ　受益証券</t>
  </si>
  <si>
    <t>iShares JPX/S&amp;P CAPEX &amp; Human Capital ETF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</si>
  <si>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</si>
  <si>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</si>
  <si>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</si>
  <si>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</si>
  <si>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</si>
  <si>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</si>
  <si>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</si>
  <si>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</si>
  <si>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</si>
  <si>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</si>
  <si>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</si>
  <si>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</si>
  <si>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1488</t>
  </si>
  <si>
    <t>ｉＦｒｅｅＥＴＦ　東証ＲＥＩＴ指数　受益証券</t>
  </si>
  <si>
    <t>iFreeETF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</si>
  <si>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</si>
  <si>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</si>
  <si>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</si>
  <si>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</si>
  <si>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</si>
  <si>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</si>
  <si>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</si>
  <si>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</si>
  <si>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</si>
  <si>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</si>
  <si>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</si>
  <si>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</si>
  <si>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</si>
  <si>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</si>
  <si>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</si>
  <si>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</si>
  <si>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</si>
  <si>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</si>
  <si>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</si>
  <si>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</si>
  <si>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</si>
  <si>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</si>
  <si>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</si>
  <si>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</si>
  <si>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</si>
  <si>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</si>
  <si>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</si>
  <si>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</si>
  <si>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</si>
  <si>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</si>
  <si>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</si>
  <si>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</si>
  <si>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</si>
  <si>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</si>
  <si>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</si>
  <si>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</si>
  <si>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</si>
  <si>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</si>
  <si>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</si>
  <si>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</si>
  <si>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ＮＡＳＤＡＱ－１００（為替ヘッジなし）連動型上場投信　受益証券</t>
  </si>
  <si>
    <t>NEXT FUNDS NASDAQ-100(R) (Unhedged) Exchange Traded Fund</t>
  </si>
  <si>
    <t>1546</t>
  </si>
  <si>
    <t>ＮＥＸＴ　ＦＵＮＤＳ　ダウ・ジョーンズ工業株３０種平均株価（為替ヘッジなし）連動型上場投信　受益証券</t>
  </si>
  <si>
    <t>NEXT FUNDS DJIA (Unhedged)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</si>
  <si>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</si>
  <si>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</si>
  <si>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</si>
  <si>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</si>
  <si>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</si>
  <si>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</si>
  <si>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</si>
  <si>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東証スタンダードＴＯＰ２０ＥＴＦ　受益証券</t>
  </si>
  <si>
    <t>TSE Standard Top 20 ETF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</si>
  <si>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</si>
  <si>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</si>
  <si>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</si>
  <si>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</si>
  <si>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Ａ－ＲＥＩＴ）　受益証券</t>
  </si>
  <si>
    <t>Listed Index Fund Australian REIT (S&amp;P/ASX200 A-REIT)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</si>
  <si>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</si>
  <si>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</si>
  <si>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</si>
  <si>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</si>
  <si>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</si>
  <si>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</si>
  <si>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</si>
  <si>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</si>
  <si>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</si>
  <si>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</si>
  <si>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東証グロース・コアＥＴＦ　受益証券</t>
  </si>
  <si>
    <t>TSE Growth Core ETF</t>
  </si>
  <si>
    <t>1566</t>
  </si>
  <si>
    <t>上場インデックスファンド新興国債券　受益証券</t>
  </si>
  <si>
    <t>Listed Index Fund Emerging Bond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</si>
  <si>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</si>
  <si>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</si>
  <si>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</si>
  <si>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</si>
  <si>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</si>
  <si>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</si>
  <si>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</si>
  <si>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</si>
  <si>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</si>
  <si>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</si>
  <si>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</si>
  <si>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</si>
  <si>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</si>
  <si>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</si>
  <si>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</si>
  <si>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</si>
  <si>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</si>
  <si>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</si>
  <si>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1577</t>
  </si>
  <si>
    <t>ＮＥＸＴ　ＦＵＮＤＳ　野村日本株高配当７０連動型上場投信　受益証券</t>
  </si>
  <si>
    <t>NEXT FUNDS Nomura Japan Equity High Dividend 70 Exchange Traded Fund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</si>
  <si>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</si>
  <si>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</si>
  <si>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</si>
  <si>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</si>
  <si>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</si>
  <si>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</si>
  <si>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</si>
  <si>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</si>
  <si>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</si>
  <si>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1585</t>
  </si>
  <si>
    <t>ｉＦｒｅｅＥＴＦ　ＴＯＰＩＸ　Ｅｘ－Ｆｉｎａｎｃｉａｌｓ　受益証券</t>
  </si>
  <si>
    <t>iFreeETF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</si>
  <si>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</si>
  <si>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</si>
  <si>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</si>
  <si>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</si>
  <si>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</si>
  <si>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</si>
  <si>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</si>
  <si>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</si>
  <si>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</si>
  <si>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</si>
  <si>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</si>
  <si>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</si>
  <si>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</si>
  <si>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</si>
  <si>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</si>
  <si>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</si>
  <si>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</si>
  <si>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</si>
  <si>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</si>
  <si>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</si>
  <si>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</si>
  <si>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1599</t>
  </si>
  <si>
    <t>ｉＦｒｅｅＥＴＦ　ＪＰＸ日経４００　受益証券</t>
  </si>
  <si>
    <t>iFreeETF JPX-Nikkei400</t>
  </si>
  <si>
    <t>159A</t>
  </si>
  <si>
    <t>ＮＥＸＴ　ＦＵＮＤＳ　ＪＰＸプライム１５０指数連動型上場投信　受益証券</t>
  </si>
  <si>
    <t>NEXT FUNDS JPX Prime 150 Index Exchange Traded Fund</t>
  </si>
  <si>
    <t>1615</t>
  </si>
  <si>
    <t>ＮＥＸＴ　ＦＵＮＤＳ　東証銀行業株価指数連動型上場投信　受益証券</t>
  </si>
  <si>
    <t>NEXT FUNDS 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</si>
  <si>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</si>
  <si>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</si>
  <si>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</si>
  <si>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</si>
  <si>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</si>
  <si>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</si>
  <si>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</si>
  <si>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</si>
  <si>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</si>
  <si>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</si>
  <si>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</si>
  <si>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</si>
  <si>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</si>
  <si>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</si>
  <si>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</si>
  <si>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</si>
  <si>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</si>
  <si>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</si>
  <si>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</si>
  <si>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</si>
  <si>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</si>
  <si>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</si>
  <si>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</si>
  <si>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</si>
  <si>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</si>
  <si>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</si>
  <si>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</si>
  <si>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25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</si>
  <si>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</si>
  <si>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</si>
  <si>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</si>
  <si>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</si>
  <si>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</si>
  <si>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</si>
  <si>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</si>
  <si>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</si>
  <si>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</si>
  <si>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</si>
  <si>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</si>
  <si>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</si>
  <si>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162A</t>
  </si>
  <si>
    <t>ＡＩセレクトメガトレンド　日本株（ネットリターン）ＥＴＮ　受益証券</t>
  </si>
  <si>
    <t>AI Select Megatrend Japan Equity Net Return ETN</t>
  </si>
  <si>
    <t>信用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</si>
  <si>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</si>
  <si>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</si>
  <si>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</si>
  <si>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</si>
  <si>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</si>
  <si>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</si>
  <si>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</si>
  <si>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</si>
  <si>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</si>
  <si>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11</t>
  </si>
  <si>
    <t>1633</t>
  </si>
  <si>
    <t>ＮＥＸＴ　ＦＵＮＤＳ　不動産（ＴＯＰＩＸ－１７）上場投信　受益証券</t>
  </si>
  <si>
    <t>NEXT FUNDS TOPIX-17 REAL ESTATE ETF</t>
  </si>
  <si>
    <t>163A</t>
  </si>
  <si>
    <t>半導体フォーカス　日本株（ネットリターン）ＥＴＮ　受益証券</t>
  </si>
  <si>
    <t>Semiconductor Focus Japan Equity Net Return ETN</t>
  </si>
  <si>
    <t>1651</t>
  </si>
  <si>
    <t>ｉＦｒｅｅＥＴＦ　ＴＯＰＩＸ高配当４０指数　受益証券</t>
  </si>
  <si>
    <t>iFreeETF TOPIX High Dividend Yield 40 Index</t>
  </si>
  <si>
    <t>1652</t>
  </si>
  <si>
    <t>ｉＦｒｅｅＥＴＦ　ＭＳＣＩ日本株女性活躍指数（ＷＩＮ）　受益証券</t>
  </si>
  <si>
    <t>iFreeETF MSCI Japan Empowering Women Index (WIN)</t>
  </si>
  <si>
    <t>1653</t>
  </si>
  <si>
    <t>ｉＦｒｅｅＥＴＦ　ＭＳＣＩジャパンＥＳＧセレクト・リーダーズ指数　受益証券</t>
  </si>
  <si>
    <t>iFreeETF MSCI Japan ESG Select Leaders Index</t>
  </si>
  <si>
    <t>1654</t>
  </si>
  <si>
    <t>ｉＦｒｅｅＥＴＦ　ＦＴＳＥ　Ｂｌｏｓｓｏｍ　Ｊａｐａｎ　Ｉｎｄｅｘ　受益証券</t>
  </si>
  <si>
    <t>iFreeETF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</si>
  <si>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</si>
  <si>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</si>
  <si>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</si>
  <si>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</si>
  <si>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</si>
  <si>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</si>
  <si>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</si>
  <si>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</si>
  <si>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</si>
  <si>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</si>
  <si>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</si>
  <si>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</si>
  <si>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</si>
  <si>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</si>
  <si>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</si>
  <si>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</si>
  <si>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</si>
  <si>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</si>
  <si>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</si>
  <si>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</si>
  <si>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</si>
  <si>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</si>
  <si>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</si>
  <si>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</si>
  <si>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</si>
  <si>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</si>
  <si>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</si>
  <si>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</si>
  <si>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</si>
  <si>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</si>
  <si>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</si>
  <si>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</si>
  <si>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</si>
  <si>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</si>
  <si>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</si>
  <si>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</si>
  <si>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</si>
  <si>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</si>
  <si>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</si>
  <si>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</si>
  <si>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　連動型上場投信　受益証券</t>
  </si>
  <si>
    <t>NEXT FUNDS Nifty 50 Linked Exchange Traded Fund</t>
  </si>
  <si>
    <t>1679</t>
  </si>
  <si>
    <t>Ｓｉｍｐｌｅ－Ｘ　ＮＹ　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</si>
  <si>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</si>
  <si>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</si>
  <si>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</si>
  <si>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 (MSCI-KOKUSAI)</t>
  </si>
  <si>
    <t>1681</t>
  </si>
  <si>
    <t>上場インデックスファンド海外新興国株式（ＭＳＣＩ　エマージング）　受益証券</t>
  </si>
  <si>
    <t>Listed Index Fund International Emerging Countries Equity (MSCI EMERGING)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</si>
  <si>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</si>
  <si>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</si>
  <si>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</si>
  <si>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</si>
  <si>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</si>
  <si>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</si>
  <si>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</si>
  <si>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</si>
  <si>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</si>
  <si>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</si>
  <si>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</si>
  <si>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</si>
  <si>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</si>
  <si>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</si>
  <si>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</si>
  <si>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</si>
  <si>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</si>
  <si>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</si>
  <si>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8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</si>
  <si>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</si>
  <si>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</si>
  <si>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</si>
  <si>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</si>
  <si>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</si>
  <si>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</si>
  <si>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</si>
  <si>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</si>
  <si>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</si>
  <si>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</si>
  <si>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</si>
  <si>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</si>
  <si>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</si>
  <si>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</si>
  <si>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</si>
  <si>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</si>
  <si>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</si>
  <si>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</si>
  <si>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</si>
  <si>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</si>
  <si>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</si>
  <si>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</si>
  <si>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</si>
  <si>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</si>
  <si>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</si>
  <si>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</si>
  <si>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 (TSE Dividend Focus 100)</t>
  </si>
  <si>
    <t>1699</t>
  </si>
  <si>
    <t>ＮＥＸＴ　ＦＵＮＤＳ　ＮＯＭＵＲＡ　原油インデックス連動型上場投信　受益証券</t>
  </si>
  <si>
    <t>NEXT FUNDS NOMURA Crude Oil Long Index Linked Exchange Traded Fund</t>
  </si>
  <si>
    <t>170A</t>
  </si>
  <si>
    <t>ＳＭＴ　ＥＴＦ日本好配当株アクティブ　受益証券</t>
  </si>
  <si>
    <t>SMT ETF Japan Equity Income Strategy Active</t>
  </si>
  <si>
    <t>178A</t>
  </si>
  <si>
    <t>グローバルＸ　革新的優良企業　ＥＴＦ　受益証券</t>
  </si>
  <si>
    <t>Global X Innovative Bluechip Top 10+ ETF</t>
  </si>
  <si>
    <t>179A</t>
  </si>
  <si>
    <t>グローバルＸ　超長期米国債　ＥＴＦ（為替ヘッジあり）　受益証券</t>
  </si>
  <si>
    <t>Global X 25+ Year T-Bond ETF (JPY Hedged)</t>
  </si>
  <si>
    <t>180A</t>
  </si>
  <si>
    <t>グローバルＸ　超長期米国債　ＥＴＦ　受益証券</t>
  </si>
  <si>
    <t>Global X 25+ Year T-Bond ETF</t>
  </si>
  <si>
    <t>181A</t>
  </si>
  <si>
    <t>ＭＡＸＩＳ米国国債１－３年上場投信（為替ヘッジなし）　受益証券</t>
  </si>
  <si>
    <t>MAXIS US Treasury Bond 1-3 Year ETF (Unhedged)</t>
  </si>
  <si>
    <t>182A</t>
  </si>
  <si>
    <t>ＭＡＸＩＳ米国国債２０年超上場投信（為替ヘッジなし）　受益証券</t>
  </si>
  <si>
    <t>MAXIS US Treasury Bond 20+ Year ETF (Unhedged)</t>
  </si>
  <si>
    <t>183A</t>
  </si>
  <si>
    <t>ＭＡＸＩＳ米国国債２０年超上場投信（為替ヘッジあり）　受益証券</t>
  </si>
  <si>
    <t>MAXIS US Treasury Bond 20+ Year ETF (JPY Hedged)</t>
  </si>
  <si>
    <t>188A</t>
  </si>
  <si>
    <t>グローバルＸ　インド・トップ１０＋　ＥＴＦ　受益証券</t>
  </si>
  <si>
    <t>Global X India Top 10+ ETF</t>
  </si>
  <si>
    <t>200A</t>
  </si>
  <si>
    <t>ＮＥＸＴ　ＦＵＮＤＳ　日経半導体株指数連動型上場投信　受益証券</t>
  </si>
  <si>
    <t>NEXT FUNDS Nikkei Semiconductor Stock Index Exchange Traded Fund</t>
  </si>
  <si>
    <t>2011</t>
  </si>
  <si>
    <t>ＳＭＤＡＭ　Ａｃｔｉｖｅ　ＥＴＦ　日本高配当株式　受益証券</t>
  </si>
  <si>
    <t>SMDAM Active ETF Japan High Dividend Equity</t>
  </si>
  <si>
    <t>2012</t>
  </si>
  <si>
    <t>ｉシェアーズ　米国債０－３ヶ月　ＥＴＦ　受益証券</t>
  </si>
  <si>
    <t>iShares 0-3 Month US Treasury Bond ETF</t>
  </si>
  <si>
    <t>2013</t>
  </si>
  <si>
    <t>ｉシェアーズ　米国高配当株　ＥＴＦ　受益証券</t>
  </si>
  <si>
    <t>iShares US High Dividend ETF</t>
  </si>
  <si>
    <t>2014</t>
  </si>
  <si>
    <t>ｉシェアーズ　米国連続増配株　ＥＴＦ　受益証券</t>
  </si>
  <si>
    <t>iShares US Dividend Growth ETF</t>
  </si>
  <si>
    <t>2015</t>
  </si>
  <si>
    <t>ｉＦｒｅｅＥＴＦ　米国国債７－１０年（為替ヘッジなし）　受益証券</t>
  </si>
  <si>
    <t>iFreeETF US Treasury Bond 7-10 Year (NON HEDGED)</t>
  </si>
  <si>
    <t>2016</t>
  </si>
  <si>
    <t>ｉＦｒｅｅＥＴＦ　米国国債７－１０年（為替ヘッジあり）　受益証券</t>
  </si>
  <si>
    <t>iFreeETF US Treasury Bond 7-10 Year (JPY HEDGED)</t>
  </si>
  <si>
    <t>2017</t>
  </si>
  <si>
    <t>ｉＦｒｅｅＥＴＦ　ＪＰＸプライム１５０　受益証券</t>
  </si>
  <si>
    <t>iFreeETF JPX Prime 150</t>
  </si>
  <si>
    <t>2018</t>
  </si>
  <si>
    <t>グローバルＸ　ＵＳ　ＲＥＩＴ・トップ２０　ＥＴＦ　受益証券</t>
  </si>
  <si>
    <t>Global X US REIT Top 20 ETF</t>
  </si>
  <si>
    <t>2019</t>
  </si>
  <si>
    <t>グローバルＸ　米国優先証券　ＥＴＦ（隔月分配型）　受益証券</t>
  </si>
  <si>
    <t>Global X U.S. Preferred Security ETF (Bi-monthly dividend type)</t>
  </si>
  <si>
    <t>201A</t>
  </si>
  <si>
    <t>ｉシェアーズ　Ｎｉｆｔｙ　５０　インド株　ＥＴＦ　受益証券</t>
  </si>
  <si>
    <t>iShares Nifty 50 ETF</t>
  </si>
  <si>
    <t>2031</t>
  </si>
  <si>
    <t>ＮＥＸＴ　ＮＯＴＥＳ　香港ハンセン・ダブル・ブル　ＥＴＮ　受益証券</t>
  </si>
  <si>
    <t>NEXT NOTES HSI Leveraged ETN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</si>
  <si>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</si>
  <si>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</si>
  <si>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</si>
  <si>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</si>
  <si>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</si>
  <si>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</si>
  <si>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</si>
  <si>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</si>
  <si>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</si>
  <si>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</si>
  <si>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</si>
  <si>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</si>
  <si>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</si>
  <si>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</si>
  <si>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</si>
  <si>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</si>
  <si>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</si>
  <si>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</si>
  <si>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</si>
  <si>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</si>
  <si>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</si>
  <si>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</si>
  <si>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</si>
  <si>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</si>
  <si>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</si>
  <si>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</si>
  <si>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</si>
  <si>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</si>
  <si>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東証グロース市場２５０　ＥＴＮ　受益証券</t>
  </si>
  <si>
    <t>NEXT NOTES Tokyo Stock Exchange Growth Market 250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</si>
  <si>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</si>
  <si>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</si>
  <si>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</si>
  <si>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</si>
  <si>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</si>
  <si>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</si>
  <si>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</si>
  <si>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</si>
  <si>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</si>
  <si>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</si>
  <si>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</si>
  <si>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</si>
  <si>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</si>
  <si>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</si>
  <si>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</si>
  <si>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</si>
  <si>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</si>
  <si>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</si>
  <si>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</si>
  <si>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</si>
  <si>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</si>
  <si>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</si>
  <si>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</si>
  <si>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</si>
  <si>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</si>
  <si>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</si>
  <si>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</si>
  <si>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</si>
  <si>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</si>
  <si>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</si>
  <si>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</si>
  <si>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</si>
  <si>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</si>
  <si>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</si>
  <si>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</si>
  <si>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</si>
  <si>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2070</t>
  </si>
  <si>
    <t>スマートＥＳＧ３０女性活躍（ネットリターン）ＥＴＮ　受益証券</t>
  </si>
  <si>
    <t>Smart ESG 30 Empowering Women Net Return ETN</t>
  </si>
  <si>
    <t>2071</t>
  </si>
  <si>
    <t>スマートＥＳＧ３０総合（ネットリターン）ＥＴＮ　受益証券</t>
  </si>
  <si>
    <t>Smart ESG 30 Net Return ETN</t>
  </si>
  <si>
    <t>2072</t>
  </si>
  <si>
    <t>トップシェアインデックス（ネットリターン）ＥＴＮ　受益証券</t>
  </si>
  <si>
    <t>Market Share Leaders Net Return ETN</t>
  </si>
  <si>
    <t>2073</t>
  </si>
  <si>
    <t>スマートＥＳＧ３０低カーボンリスク（ネットリターン）ＥＴＮ　受益証券</t>
  </si>
  <si>
    <t>Smart ESG 30 Low Carbon Risk Net Return ETN</t>
  </si>
  <si>
    <t>2080</t>
  </si>
  <si>
    <t>ＰＢＲ１倍割れ解消推進ＥＴＦ　受益証券</t>
  </si>
  <si>
    <t>PBR Improvement over 1x ETF</t>
  </si>
  <si>
    <t>2081</t>
  </si>
  <si>
    <t>政策保有解消推進ＥＴＦ　受益証券</t>
  </si>
  <si>
    <t>Strategic Shareholding Disposal Promotion ETF</t>
  </si>
  <si>
    <t>2082</t>
  </si>
  <si>
    <t>投資家経営者一心同体ＥＴＦ　受益証券</t>
  </si>
  <si>
    <t>Investor-Management Unite as One ETF</t>
  </si>
  <si>
    <t>2083</t>
  </si>
  <si>
    <t>ＮＥＸＴ　ＦＵＮＤＳ　日本成長株アクティブ上場投信　受益証券</t>
  </si>
  <si>
    <t>NEXT FUNDS Japan Growth Equity Active Exchange Traded Fund</t>
  </si>
  <si>
    <t>2084</t>
  </si>
  <si>
    <t>ＮＥＸＴ　ＦＵＮＤＳ　日本高配当株アクティブ上場投信　受益証券</t>
  </si>
  <si>
    <t>NEXT FUNDS Japan High Dividend Equity Active Exchange Traded Fund</t>
  </si>
  <si>
    <t>2085</t>
  </si>
  <si>
    <t>ＭＡＸＩＳ高配当日本株アクティブ上場投信　受益証券</t>
  </si>
  <si>
    <t>MAXIS High Dividend Japan Equity Actively Managed ETF</t>
  </si>
  <si>
    <t>2086</t>
  </si>
  <si>
    <t>ＮＺＡＭ　上場投信　Ｓ＆Ｐ５００（為替ヘッジあり）　受益証券</t>
  </si>
  <si>
    <t>NZAM ETF S&amp;P500 (JPY Hedged)</t>
  </si>
  <si>
    <t>2087</t>
  </si>
  <si>
    <t>ＮＺＡＭ　上場投信　ＮＡＳＤＡＱ１００（為替ヘッジあり）　受益証券</t>
  </si>
  <si>
    <t>NZAM ETF NASDAQ100 (JPY Hedged)</t>
  </si>
  <si>
    <t>2088</t>
  </si>
  <si>
    <t>ＮＺＡＭ　上場投信　ＮＹダウ３０（為替ヘッジあり）　受益証券</t>
  </si>
  <si>
    <t>NZAM ETF NY Dow30 (JPY Hedged)</t>
  </si>
  <si>
    <t>2089</t>
  </si>
  <si>
    <t>ＮＺＡＭ　上場投信　ＤＡＸ（為替ヘッジあり）　受益証券</t>
  </si>
  <si>
    <t>NZAM ETF DAX (JPY Hedged)</t>
  </si>
  <si>
    <t>2090</t>
  </si>
  <si>
    <t>ＮＺＡＭ　上場投信　米国国債７－１０年（為替ヘッジあり）　受益証券</t>
  </si>
  <si>
    <t>NZAM ETF US Treasury 7-10Y (JPY Hedged)</t>
  </si>
  <si>
    <t>2091</t>
  </si>
  <si>
    <t>ＮＺＡＭ　上場投信　ドイツ国債７－１０年（為替ヘッジあり）　受益証券</t>
  </si>
  <si>
    <t>NZAM ETF German Government Bond 7-10Y (JPY Hedged)</t>
  </si>
  <si>
    <t>2092</t>
  </si>
  <si>
    <t>ＮＺＡＭ　上場投信　フランス国債７－１０年（為替ヘッジあり）　受益証券</t>
  </si>
  <si>
    <t>NZAM ETF France Government Bond 7-10Y (JPY Hedged)</t>
  </si>
  <si>
    <t>2093</t>
  </si>
  <si>
    <t>上場Ｔｒａｃｅｒｓ　米国債０－２年ラダー（為替ヘッジなし）　受益証券</t>
  </si>
  <si>
    <t>Listed Tracers US Government Bond 0-2years Ladder (No Currency Hedge)</t>
  </si>
  <si>
    <t>2094</t>
  </si>
  <si>
    <t>東証ＲＥＩＴインバースＥＴＦ　受益証券</t>
  </si>
  <si>
    <t>TSE REIT Inverse ETF</t>
  </si>
  <si>
    <t>2095</t>
  </si>
  <si>
    <t>グローバルＸ　Ｓ＆Ｐ５００配当貴族　ＥＴＦ（為替ヘッジあり）　受益証券</t>
  </si>
  <si>
    <t>Global X S&amp;P 500 Dividend Aristocrats ETF (JPY Hedged)</t>
  </si>
  <si>
    <t>2096</t>
  </si>
  <si>
    <t>グローバルＸ　オフィス・Ｊ－ＲＥＩＴ　ＥＴＦ　受益証券</t>
  </si>
  <si>
    <t>Global X Office J-REIT ETF</t>
  </si>
  <si>
    <t>2097</t>
  </si>
  <si>
    <t>グローバルＸ　レジデンシャル・Ｊ－ＲＥＩＴ　ＥＴＦ　受益証券</t>
  </si>
  <si>
    <t>Global X Residential J-REIT ETF</t>
  </si>
  <si>
    <t>2098</t>
  </si>
  <si>
    <t>グローバルＸ　ホテル＆リテール・Ｊ－ＲＥＩＴ　ＥＴＦ　受益証券</t>
  </si>
  <si>
    <t>Global X Hotel &amp; Retail J-REIT ETF</t>
  </si>
  <si>
    <t>210A</t>
  </si>
  <si>
    <t>ｉＦｒｅｅＥＴＦ　日経高利回りＲＥＩＴ指数　受益証券</t>
  </si>
  <si>
    <t>iFreeETF Nikkei High Yield REIT Index</t>
  </si>
  <si>
    <t>213A</t>
  </si>
  <si>
    <t>上場インデックスファンド日経半導体株　受益証券</t>
  </si>
  <si>
    <t>Listed Index Fund Nikkei Semiconductor Stock</t>
  </si>
  <si>
    <t>221A</t>
  </si>
  <si>
    <t>ＭＡＸＩＳ日経半導体株上場投信　受益証券</t>
  </si>
  <si>
    <t>MAXIS Nikkei Semiconductor Stock (Japan) ETF</t>
  </si>
  <si>
    <t>2235</t>
  </si>
  <si>
    <t>上場インデックスファンド米国株式（ダウ平均）為替ヘッジなし　受益証券</t>
  </si>
  <si>
    <t>Listed Index Fund US Equity (Dow Average) No Currency Hedge</t>
  </si>
  <si>
    <t>2236</t>
  </si>
  <si>
    <t>グローバルＸ　Ｓ＆Ｐ５００配当貴族ＥＴＦ　受益証券</t>
  </si>
  <si>
    <t>Global X S&amp;P 500 Dividend Aristocrats ETF</t>
  </si>
  <si>
    <t>2237</t>
  </si>
  <si>
    <t>ｉＦｒｅｅＥＴＦ　Ｓ＆Ｐ５００レバレッジ　受益証券</t>
  </si>
  <si>
    <t>iFreeETF S&amp;P500 Leveraged (2x)</t>
  </si>
  <si>
    <t>2238</t>
  </si>
  <si>
    <t>ｉＦｒｅｅＥＴＦ　Ｓ＆Ｐ５００インバース　受益証券</t>
  </si>
  <si>
    <t>iFreeETF S&amp;P500 Inverse</t>
  </si>
  <si>
    <t>2239</t>
  </si>
  <si>
    <t>上場インデックスファンドＳ＆Ｐ５００先物レバレッジ２倍　受益証券</t>
  </si>
  <si>
    <t>Listed Index Fund S&amp;P500 Futures Leveraged Two Times</t>
  </si>
  <si>
    <t>223A</t>
  </si>
  <si>
    <t>グローバルＸ　ＡＩ＆ビッグデータ　ＥＴＦ　受益証券</t>
  </si>
  <si>
    <t>Global X Artificial Intelligence &amp; Technology ETF</t>
  </si>
  <si>
    <t>2240</t>
  </si>
  <si>
    <t>上場インデックスファンドＳ＆Ｐ５００先物インバース　受益証券</t>
  </si>
  <si>
    <t>Listed Index Fund S&amp;P500 Futures Inverse</t>
  </si>
  <si>
    <t>2241</t>
  </si>
  <si>
    <t>ＭＡＸＩＳ　ＮＹダウ上場投信　受益証券</t>
  </si>
  <si>
    <t>MAXIS NY Dow Industrial Average ETF</t>
  </si>
  <si>
    <t>2242</t>
  </si>
  <si>
    <t>ＭＡＸＩＳ　ＮＹダウ上場投信（為替ヘッジあり）　受益証券</t>
  </si>
  <si>
    <t>MAXIS NY Dow Industrial Average ETF (JPY Hedged)</t>
  </si>
  <si>
    <t>2243</t>
  </si>
  <si>
    <t>グローバルＸ　半導体　ＥＴＦ　受益証券</t>
  </si>
  <si>
    <t>Global X Semiconductor ETF</t>
  </si>
  <si>
    <t>2244</t>
  </si>
  <si>
    <t>グローバルＸ　ＵＳ　テック・トップ２０　ＥＴＦ　受益証券</t>
  </si>
  <si>
    <t>Global X US Tech Top 20 ETF</t>
  </si>
  <si>
    <t>2245</t>
  </si>
  <si>
    <t>ＮＥＸＴ　ＦＵＮＤＳ　ブルームバーグ・ドイツ国債（７－１０年）インデックス（為替ヘッジあり）連動型上場投信　受益証券</t>
  </si>
  <si>
    <t>NEXT FUNDS Bloomberg Germany Treasury Bond (7-10 year) Index (Yen-Hedged) Exchange Traded Fund</t>
  </si>
  <si>
    <t>2246</t>
  </si>
  <si>
    <t>ＮＥＸＴ　ＦＵＮＤＳ　ブルームバーグ・フランス国債（７－１０年）インデックス（為替ヘッジあり）連動型上場投信　受益証券</t>
  </si>
  <si>
    <t>NEXT FUNDS Bloomberg France Treasury Bond (7-10 year) Index (Yen-Hedged) Exchange Traded Fund</t>
  </si>
  <si>
    <t>2247</t>
  </si>
  <si>
    <t>ｉＦｒｅｅＥＴＦ　Ｓ＆Ｐ５００（為替ヘッジなし）　受益証券</t>
  </si>
  <si>
    <t>iFreeETF S&amp;P500 (NON HEDGED)</t>
  </si>
  <si>
    <t>2248</t>
  </si>
  <si>
    <t>ｉＦｒｅｅＥＴＦ　Ｓ＆Ｐ５００（為替ヘッジあり）　受益証券</t>
  </si>
  <si>
    <t>iFreeETF S&amp;P500 (JPY HEDGED)</t>
  </si>
  <si>
    <t>2249</t>
  </si>
  <si>
    <t>ｉＦｒｅｅＥＴＦ　Ｓ＆Ｐ５００ダブルインバース　受益証券</t>
  </si>
  <si>
    <t>iFreeETF S&amp;P500 Double Inverse (-2x)</t>
  </si>
  <si>
    <t>224A</t>
  </si>
  <si>
    <t>グローバルＸ　ウラニウムビジネス　ＥＴＦ　受益証券</t>
  </si>
  <si>
    <t>Global X Uranium ETF</t>
  </si>
  <si>
    <t>2250</t>
  </si>
  <si>
    <t>ｉシェアーズ　ＭＳＣＩ　ジャパン気候変動アクション　ＥＴＦ　受益証券</t>
  </si>
  <si>
    <t>iShares MSCI Japan Climate Action ETF</t>
  </si>
  <si>
    <t>2251</t>
  </si>
  <si>
    <t>ＮＥＸＴ　ＦＵＮＤＳ　ＪＰＸ国債先物ダブルインバース指数連動型上場投信　受益証券</t>
  </si>
  <si>
    <t>NEXT FUNDS JPX JGB Futures Double Inverse Index Exchange Traded Fund</t>
  </si>
  <si>
    <t>2252</t>
  </si>
  <si>
    <t>グローバルＸ　Ｍｏｒｎｉｎｇｓｔａｒ　米国中小型　Ｍｏａｔ　ＥＴＦ　受益証券</t>
  </si>
  <si>
    <t>Global X Morningstar US Small Mid Moat ETF</t>
  </si>
  <si>
    <t>2253</t>
  </si>
  <si>
    <t>グローバルＸ　スーパーディビィデンド－ＵＳ　ＥＴＦ　受益証券</t>
  </si>
  <si>
    <t>Global X SuperDividend U.S. ETF</t>
  </si>
  <si>
    <t>2254</t>
  </si>
  <si>
    <t>グローバルＸ　チャイナＥＶ＆バッテリー　ＥＴＦ　受益証券</t>
  </si>
  <si>
    <t>Global X China Electric Vehicle and Battery ETF</t>
  </si>
  <si>
    <t>2255</t>
  </si>
  <si>
    <t>ｉシェアーズ　米国債２０年超　ＥＴＦ　受益証券</t>
  </si>
  <si>
    <t>iShares 20+ Year US Treasury Bond ETF</t>
  </si>
  <si>
    <t>2256</t>
  </si>
  <si>
    <t>ｉシェアーズ　米国総合債券　ＥＴＦ　受益証券</t>
  </si>
  <si>
    <t>iShares US Aggregate Bond ETF</t>
  </si>
  <si>
    <t>2257</t>
  </si>
  <si>
    <t>ｉシェアーズ　米ドル建て投資適格社債　ＥＴＦ　受益証券</t>
  </si>
  <si>
    <t>iShares USD Investment Grade Corporate Bond ETF</t>
  </si>
  <si>
    <t>2258</t>
  </si>
  <si>
    <t>ｉシェアーズ　米ドル建てハイイールド社債　ＥＴＦ　受益証券</t>
  </si>
  <si>
    <t>iShares USD High Yield Corporate Bond ETF</t>
  </si>
  <si>
    <t>2259</t>
  </si>
  <si>
    <t>ｉシェアーズ　フランス国債７－１０年　ＥＴＦ（為替ヘッジあり）　受益証券</t>
  </si>
  <si>
    <t>iShares 7-10 Year France Government Bond JPY Hedged ETF</t>
  </si>
  <si>
    <t>233A</t>
  </si>
  <si>
    <t>ｉＦｒｅｅＥＴＦ　インドＮｉｆｔｙ５０　受益証券</t>
  </si>
  <si>
    <t>iFreeETF Nifty50</t>
  </si>
  <si>
    <t>234A</t>
  </si>
  <si>
    <t>グローバルＸ　ＭＳＣＩ　キャッシュフローキング－日本株式　ＥＴＦ　受益証券</t>
  </si>
  <si>
    <t>Global X MSCI Japan Cash Flow Kings ETF</t>
  </si>
  <si>
    <t>235A</t>
  </si>
  <si>
    <t>グローバルＸ　高配当３０－日本株式　ＥＴＦ　受益証券</t>
  </si>
  <si>
    <t>Global X Japan High Dividend 30 ETF</t>
  </si>
  <si>
    <t>236A</t>
  </si>
  <si>
    <t>ｉシェアーズ　日本国債７－１０年　ＥＴＦ　受益証券</t>
  </si>
  <si>
    <t>iShares 7-10 Year Japan Government Bond ETF</t>
  </si>
  <si>
    <t>237A</t>
  </si>
  <si>
    <t>ｉシェアーズ　米国債２５年超　ロングデュレーション　ＥＴＦ　受益証券</t>
  </si>
  <si>
    <t>iShares 25+ Year US Treasury Bond Long Duration ETF</t>
  </si>
  <si>
    <t>238A</t>
  </si>
  <si>
    <t>ｉシェアーズ　米国債２５年超　ロングデュレーション　ＥＴＦ（為替ヘッジあり）　受益証券</t>
  </si>
  <si>
    <t>iShares 25+ Year US Treasury Bond Long Duration JPY Hedged ETF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</si>
  <si>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</si>
  <si>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</si>
  <si>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</si>
  <si>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</si>
  <si>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</si>
  <si>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</si>
  <si>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</si>
  <si>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</si>
  <si>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</si>
  <si>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</si>
  <si>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</si>
  <si>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</si>
  <si>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</si>
  <si>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</si>
  <si>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</si>
  <si>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</si>
  <si>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</si>
  <si>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</si>
  <si>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</si>
  <si>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東証グロース２５０ＥＴＦ　受益証券</t>
  </si>
  <si>
    <t>TSE Growth 250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</si>
  <si>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</si>
  <si>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</si>
  <si>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</si>
  <si>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</si>
  <si>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</si>
  <si>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</si>
  <si>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</si>
  <si>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</si>
  <si>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</si>
  <si>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</si>
  <si>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</si>
  <si>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</si>
  <si>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</si>
  <si>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</si>
  <si>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</si>
  <si>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</si>
  <si>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</si>
  <si>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</si>
  <si>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</si>
  <si>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</si>
  <si>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</si>
  <si>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</si>
  <si>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</si>
  <si>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</si>
  <si>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</si>
  <si>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</si>
  <si>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</si>
  <si>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</si>
  <si>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</si>
  <si>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</si>
  <si>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</si>
  <si>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</si>
  <si>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</si>
  <si>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</si>
  <si>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ｉＦｒｅｅＥＴＦ　東証ＲＥＩＴ　Ｃｏｒｅ指数　受益証券</t>
  </si>
  <si>
    <t>iFreeETF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</si>
  <si>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</si>
  <si>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</si>
  <si>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</si>
  <si>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</si>
  <si>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</si>
  <si>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</si>
  <si>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</si>
  <si>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</si>
  <si>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</si>
  <si>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</si>
  <si>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</si>
  <si>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</si>
  <si>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</si>
  <si>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ブルームバーグ米国投資適格社債（１－１０年）インデックス（為替ヘッジあり）連動型上場投信　受益証券</t>
  </si>
  <si>
    <t>NEXT FUNDS Bloomberg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</si>
  <si>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</si>
  <si>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</si>
  <si>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</si>
  <si>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</si>
  <si>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</si>
  <si>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</si>
  <si>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</si>
  <si>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</si>
  <si>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</si>
  <si>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</si>
  <si>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</si>
  <si>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</si>
  <si>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</si>
  <si>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</si>
  <si>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</si>
  <si>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</si>
  <si>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</si>
  <si>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</si>
  <si>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</si>
  <si>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</si>
  <si>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</si>
  <si>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</si>
  <si>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</si>
  <si>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</si>
  <si>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</si>
  <si>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</si>
  <si>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</si>
  <si>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</si>
  <si>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</si>
  <si>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</si>
  <si>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</si>
  <si>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</si>
  <si>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</si>
  <si>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</si>
  <si>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</si>
  <si>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</si>
  <si>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>2567</t>
  </si>
  <si>
    <t>ＮＺＡＭ　上場投信　Ｓ＆Ｐ／ＪＰＸカーボン・エフィシェント指数　受益証券</t>
  </si>
  <si>
    <t>NZAM ETF S&amp;P/JPX Carbon Efficient Index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</si>
  <si>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</si>
  <si>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</si>
  <si>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</si>
  <si>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</si>
  <si>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</si>
  <si>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</si>
  <si>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257A</t>
  </si>
  <si>
    <t>ＳＭＴ　ＥＴＦ日本株厳選投資アクティブ　受益証券</t>
  </si>
  <si>
    <t>SMT ETF Selected Japan Equity Active</t>
  </si>
  <si>
    <t>258A</t>
  </si>
  <si>
    <t>ＳＭＴ　ＥＴＦ国内リート厳選投資アクティブ　受益証券</t>
  </si>
  <si>
    <t>SMT ETF Selected J-REIT Active</t>
  </si>
  <si>
    <t>2620</t>
  </si>
  <si>
    <t>ｉシェアーズ　米国債１－３年　ＥＴＦ　受益証券</t>
  </si>
  <si>
    <t>iShares 1-3 Year US Treasury Bond ETF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</si>
  <si>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</si>
  <si>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</si>
  <si>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</si>
  <si>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</si>
  <si>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</si>
  <si>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</si>
  <si>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</si>
  <si>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</si>
  <si>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</si>
  <si>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2624</t>
  </si>
  <si>
    <t>ｉＦｒｅｅＥＴＦ　日経２２５（年４回決算型）　受益証券</t>
  </si>
  <si>
    <t>iFreeETF Nikkei225 (Quarterly Dividend Type)</t>
  </si>
  <si>
    <t>2625</t>
  </si>
  <si>
    <t>ｉＦｒｅｅＥＴＦ　ＴＯＰＩＸ（年４回決算型）　受益証券</t>
  </si>
  <si>
    <t>iFreeETF TOPIX (Quarterly Dividend Type)</t>
  </si>
  <si>
    <t>2626</t>
  </si>
  <si>
    <t>グローバルＸ　デジタル・イノベーション－日本株式　ＥＴＦ　受益証券</t>
  </si>
  <si>
    <t>Global X Digital Innovation Japan ETF</t>
  </si>
  <si>
    <t>2627</t>
  </si>
  <si>
    <t>グローバルＸ　ｅコマース－日本株式　ＥＴＦ　受益証券</t>
  </si>
  <si>
    <t>Global X E-Commerce Japan ETF</t>
  </si>
  <si>
    <t>2628</t>
  </si>
  <si>
    <t>ｉＦｒｅｅＥＴＦ　中国科創板５０（ＳＴＡＲ５０）　受益証券</t>
  </si>
  <si>
    <t>iFreeETF China STAR50</t>
  </si>
  <si>
    <t>2629</t>
  </si>
  <si>
    <t>ｉＦｒｅｅＥＴＦ　中国グレーターベイエリア・イノベーション１００（ＧＢＡ１００）　受益証券</t>
  </si>
  <si>
    <t>iFreeETF China GBA100</t>
  </si>
  <si>
    <t>2630</t>
  </si>
  <si>
    <t>ＭＡＸＩＳ米国株式（Ｓ＆Ｐ５００）上場投信（為替ヘッジあり）　受益証券</t>
  </si>
  <si>
    <t>MAXIS S&amp;P500 US Equity ETF (JPY Hedged)</t>
  </si>
  <si>
    <t>2631</t>
  </si>
  <si>
    <t>ＭＡＸＩＳナスダック１００上場投信　受益証券</t>
  </si>
  <si>
    <t>MAXIS NASDAQ100 ETF</t>
  </si>
  <si>
    <t>2632</t>
  </si>
  <si>
    <t>ＭＡＸＩＳナスダック１００上場投信（為替ヘッジあり）　受益証券</t>
  </si>
  <si>
    <t>MAXIS NASDAQ100 ETF (JPY Hedged)</t>
  </si>
  <si>
    <t>2633</t>
  </si>
  <si>
    <t>ＮＥＸＴ　ＦＵＮＤＳ　Ｓ＆Ｐ　５００　指数（為替ヘッジなし）連動型上場投信　受益証券</t>
  </si>
  <si>
    <t>NEXT FUNDS S&amp;P 500 (Unhedged) Exchange Traded Fund</t>
  </si>
  <si>
    <t>2634</t>
  </si>
  <si>
    <t>ＮＥＸＴ　ＦＵＮＤＳ　Ｓ＆Ｐ　５００　指数（為替ヘッジあり）連動型上場投信　受益証券</t>
  </si>
  <si>
    <t>NEXT FUNDS S&amp;P 500 (Yen-Hedged) Exchange Traded Fund</t>
  </si>
  <si>
    <t>2635</t>
  </si>
  <si>
    <t>ＮＥＸＴ　ＦＵＮＤＳ　Ｓ＆Ｐ　５００スコアリング＆スクリーニング指数連動型上場投信　受益証券</t>
  </si>
  <si>
    <t>NEXT FUNDS S&amp;P 500 Scored &amp; Screened Index Exchange Traded Fund</t>
  </si>
  <si>
    <t>確</t>
  </si>
  <si>
    <t>2636</t>
  </si>
  <si>
    <t>グローバルＸ　ＭＳＣＩ　ガバナンス・クオリティ－日本株式　ＥＴＦ　受益証券</t>
  </si>
  <si>
    <t>Global X MSCI Governance-Quality Japan ETF</t>
  </si>
  <si>
    <t>2637</t>
  </si>
  <si>
    <t>グローバルＸ　クリーンテック－日本株式　ＥＴＦ　受益証券</t>
  </si>
  <si>
    <t>Global X CleanTech Japan ETF</t>
  </si>
  <si>
    <t>2638</t>
  </si>
  <si>
    <t>グローバルＸ　ロボティクス＆ＡＩ－日本株式　ＥＴＦ　受益証券</t>
  </si>
  <si>
    <t>Global X Japan Robotics &amp; AI ETF</t>
  </si>
  <si>
    <t>2639</t>
  </si>
  <si>
    <t>グローバルＸ　バイオ＆メドテック－日本株式　ＥＴＦ　受益証券</t>
  </si>
  <si>
    <t>Global X Japan Bio &amp; Med Tech ETF</t>
  </si>
  <si>
    <t>2640</t>
  </si>
  <si>
    <t>グローバルＸ　ゲーム＆アニメ－日本株式　ＥＴＦ　受益証券</t>
  </si>
  <si>
    <t>Global X Japan Games &amp; Animation ETF</t>
  </si>
  <si>
    <t>2641</t>
  </si>
  <si>
    <t>グローバルＸ　グローバルリーダーズ－日本株式　ＥＴＦ　受益証券</t>
  </si>
  <si>
    <t>Global X Japan Global Leaders ETF</t>
  </si>
  <si>
    <t>2642</t>
  </si>
  <si>
    <t>ＳＭＴ　ＥＴＦカーボン・エフィシェント日本株　受益証券</t>
  </si>
  <si>
    <t>SMT ETF Carbon Efficient Index Japan Equity</t>
  </si>
  <si>
    <t>2643</t>
  </si>
  <si>
    <t>ＮＥＸＴ　ＦＵＮＤＳ　ＭＳＣＩジャパンカントリー指数（セレクト）連動型上場投信　受益証券</t>
  </si>
  <si>
    <t>NEXT FUNDS MSCI Japan Country Selection Index Exchange Traded Fund</t>
  </si>
  <si>
    <t>2644</t>
  </si>
  <si>
    <t>グローバルＸ　半導体関連－日本株式　ＥＴＦ　受益証券</t>
  </si>
  <si>
    <t>Global X Japan Semiconductor ETF</t>
  </si>
  <si>
    <t>2645</t>
  </si>
  <si>
    <t>グローバルＸ　レジャー＆エンターテインメント－日本株式　ＥＴＦ　受益証券</t>
  </si>
  <si>
    <t>Global X Japan Leisure &amp; Entertainment ETF</t>
  </si>
  <si>
    <t>2646</t>
  </si>
  <si>
    <t>グローバルＸ　メタルビジネス－日本株式　ＥＴＦ　受益証券</t>
  </si>
  <si>
    <t>Global X Japan Metal Business ETF</t>
  </si>
  <si>
    <t>2647</t>
  </si>
  <si>
    <t>ＮＥＸＴ　ＦＵＮＤＳ　ブルームバーグ米国国債（７－１０年）インデックス（為替ヘッジなし）連動型上場投信　受益証券</t>
  </si>
  <si>
    <t>NEXT FUNDS Bloomberg US Treasury Bond (7-10 year) Index (Unhedged) Exchange Traded Fund</t>
  </si>
  <si>
    <t>2648</t>
  </si>
  <si>
    <t>ＮＥＸＴ　ＦＵＮＤＳ　ブルームバーグ米国国債（７－１０年）インデックス（為替ヘッジあり）連動型上場投信　受益証券</t>
  </si>
  <si>
    <t>NEXT FUNDS Bloomberg US Treasury Bond (7-10 year) Index (Yen-Hedged) Exchange Traded Fund</t>
  </si>
  <si>
    <t>2649</t>
  </si>
  <si>
    <t>ｉシェアーズ　米国政府系機関ジニーメイＭＢＳ　ＥＴＦ（為替ヘッジあり）　受益証券</t>
  </si>
  <si>
    <t>iShares Ginnie Mae MBS JPY Hedged ETF</t>
  </si>
  <si>
    <t>273A</t>
  </si>
  <si>
    <t>ＳＢＩ　サウジアラビア株式上場投信　受益証券</t>
  </si>
  <si>
    <t>SBI Saudi Arabia Equity Exchange Traded Fund</t>
  </si>
  <si>
    <t>282A</t>
  </si>
  <si>
    <t>グローバルＸ　半導体・トップ１０－日本株式　ＥＴＦ　受益証券</t>
  </si>
  <si>
    <t>Global X Japan Semiconductor Top 10 ETF</t>
  </si>
  <si>
    <t>2836</t>
  </si>
  <si>
    <t>グローバルＸ　フィンテック－日本株式　ＥＴＦ　受益証券</t>
  </si>
  <si>
    <t>Global X Japan Fintech ETF</t>
  </si>
  <si>
    <t>2837</t>
  </si>
  <si>
    <t>グローバルＸ　中小型リーダーズ－日本株式　ＥＴＦ　受益証券</t>
  </si>
  <si>
    <t>Global X Japan Mid &amp; Small Cap Leaders ETF</t>
  </si>
  <si>
    <t>2838</t>
  </si>
  <si>
    <t>ＭＡＸＩＳ米国国債７－１０年上場投信（為替ヘッジなし）　受益証券</t>
  </si>
  <si>
    <t>MAXIS US Treasury Bond 7-10 Year ETF (Unhedged)</t>
  </si>
  <si>
    <t>2839</t>
  </si>
  <si>
    <t>ＭＡＸＩＳ米国国債７－１０年上場投信（為替ヘッジあり）　受益証券</t>
  </si>
  <si>
    <t>MAXIS US Treasury Bond 7-10 Year ETF (JPY Hedged)</t>
  </si>
  <si>
    <t>283A</t>
  </si>
  <si>
    <t>グローバルＸ　ＵＳ　テック・配当貴族　ＥＴＦ　受益証券</t>
  </si>
  <si>
    <t>Global X US Tech Dividend Aristocrats ETF</t>
  </si>
  <si>
    <t>2840</t>
  </si>
  <si>
    <t>ｉＦｒｅｅＥＴＦ　ＮＡＳＤＡＱ１００（為替ヘッジなし）　受益証券</t>
  </si>
  <si>
    <t>iFreeETF NASDAQ100 (NON HEDGED)</t>
  </si>
  <si>
    <t>2841</t>
  </si>
  <si>
    <t>ｉＦｒｅｅＥＴＦ　ＮＡＳＤＡＱ１００（為替ヘッジあり）　受益証券</t>
  </si>
  <si>
    <t>iFreeETF NASDAQ100 (JPY HEDGED)</t>
  </si>
  <si>
    <t>2842</t>
  </si>
  <si>
    <t>ｉＦｒｅｅＥＴＦ　ＮＡＳＤＡＱ１００インバース　受益証券</t>
  </si>
  <si>
    <t>iFreeETF NASDAQ100 Inverse</t>
  </si>
  <si>
    <t>2843</t>
  </si>
  <si>
    <t>上場インデックスファンド豪州国債（為替ヘッジあり）　受益証券</t>
  </si>
  <si>
    <t>Listed Index Fund Australian Government Bond (Currency Hedge)</t>
  </si>
  <si>
    <t>2844</t>
  </si>
  <si>
    <t>上場インデックスファンド豪州国債（為替ヘッジなし）　受益証券</t>
  </si>
  <si>
    <t>Listed Index Fund Australian Government Bond (No Currency Hedge)</t>
  </si>
  <si>
    <t>2845</t>
  </si>
  <si>
    <t>ＮＥＸＴ　ＦＵＮＤＳ　ＮＡＳＤＡＱ－１００（為替ヘッジあり）連動型上場投信　受益証券</t>
  </si>
  <si>
    <t>NEXT FUNDS NASDAQ-100(R) (Yen-Hedged) Exchange Traded Fund</t>
  </si>
  <si>
    <t>2846</t>
  </si>
  <si>
    <t>ＮＥＸＴ　ＦＵＮＤＳ　ダウ・ジョーンズ工業株３０種平均株価（為替ヘッジあり）連動型上場投信　受益証券</t>
  </si>
  <si>
    <t>NEXT FUNDS DJIA (Yen-Hedged) Exchange Traded Fund</t>
  </si>
  <si>
    <t>2847</t>
  </si>
  <si>
    <t>グローバルＸ　新成長インフラ－日本株式　ＥＴＦ　受益証券</t>
  </si>
  <si>
    <t>Global X Japan New Growth Infrastructure ETF</t>
  </si>
  <si>
    <t>2848</t>
  </si>
  <si>
    <t>グローバルＸ　ＭＳＣＩ　気候変動対応－日本株式　ＥＴＦ　受益証券</t>
  </si>
  <si>
    <t>Global X MSCI Japan Climate Change ETF</t>
  </si>
  <si>
    <t>2849</t>
  </si>
  <si>
    <t>グローバルＸ　Ｍｏｒｎｉｎｇｓｔａｒ　高配当　ＥＳＧ－日本株式　ＥＴＦ　受益証券</t>
  </si>
  <si>
    <t>Global X Morningstar Japan High Dividend ESG ETF</t>
  </si>
  <si>
    <t>2851</t>
  </si>
  <si>
    <t>ｉシェアーズ　ＭＳＣＩ　ジャパンＳＲＩ　ＥＴＦ　受益証券</t>
  </si>
  <si>
    <t>iShares MSCI Japan SRI ETF</t>
  </si>
  <si>
    <t>2852</t>
  </si>
  <si>
    <t>ｉシェアーズ　グリーンＪリート　ＥＴＦ　受益証券</t>
  </si>
  <si>
    <t>iShares Japan Green REIT ETF</t>
  </si>
  <si>
    <t>2853</t>
  </si>
  <si>
    <t>ｉシェアーズ　気候リスク調整世界国債　ＥＴＦ（除く日本・為替ヘッジあり）　受益証券</t>
  </si>
  <si>
    <t>iShares Climate Risk-Adjusted Global ex Japan Government Bond JPY Hedged ETF</t>
  </si>
  <si>
    <t>2854</t>
  </si>
  <si>
    <t>グローバルＸ　テック・トップ２０－日本株式　ＥＴＦ　受益証券</t>
  </si>
  <si>
    <t>Global X Japan Tech Top 20 ETF</t>
  </si>
  <si>
    <t>2855</t>
  </si>
  <si>
    <t>グローバルＸ　グリーン・Ｊ－ＲＥＩＴ　ＥＴＦ　受益証券</t>
  </si>
  <si>
    <t>Global X Green J-REIT ETF</t>
  </si>
  <si>
    <t>2856</t>
  </si>
  <si>
    <t>ｉシェアーズ　米国債３－７年　ＥＴＦ（為替ヘッジあり）　受益証券</t>
  </si>
  <si>
    <t>iShares 3-7 Year US Treasury Bond JPY Hedged ETF</t>
  </si>
  <si>
    <t>2857</t>
  </si>
  <si>
    <t>ｉシェアーズ　ドイツ国債　ＥＴＦ（為替ヘッジあり）　受益証券</t>
  </si>
  <si>
    <t>iShares Germany Government Bond JPY Hedged ETF</t>
  </si>
  <si>
    <t>2858</t>
  </si>
  <si>
    <t>グローバルＸ　日経２２５　カバード・コール　ＥＴＦ（プレミアム再投資型）　受益証券</t>
  </si>
  <si>
    <t>Global X Nikkei 225 Covered Call ETF (option premium reinvestment type)</t>
  </si>
  <si>
    <t>2859</t>
  </si>
  <si>
    <t>ＮＥＸＴ　ＦＵＮＤＳ　ユーロ・ストックス５０指数（為替ヘッジあり）連動型上場投信　受益証券</t>
  </si>
  <si>
    <t>NEXT FUNDS EURO STOXX 50 (Yen-Hedged) Exchange Traded Fund</t>
  </si>
  <si>
    <t>2860</t>
  </si>
  <si>
    <t>ＮＥＸＴ　ＦＵＮＤＳ　ドイツ株式・ＤＡＸ（為替ヘッジあり）連動型上場投信　受益証券</t>
  </si>
  <si>
    <t>NEXT FUNDS German Equity DAX (Yen-Hedged) Exchange Traded Fund</t>
  </si>
  <si>
    <t>2861</t>
  </si>
  <si>
    <t>上場インデックスファンドフランス国債（為替ヘッジなし）　受益証券</t>
  </si>
  <si>
    <t>Listed Index Fund France Government Bond (No Currency Hedge)</t>
  </si>
  <si>
    <t>2862</t>
  </si>
  <si>
    <t>上場インデックスファンドフランス国債（為替ヘッジあり）　受益証券</t>
  </si>
  <si>
    <t>Listed Index Fund France Government Bond (Currency Hedge)</t>
  </si>
  <si>
    <t>2863</t>
  </si>
  <si>
    <t>ＮＥＸＴ　ＦＵＮＤＳ　Ｓ＆Ｐ米国株式・債券バランス保守型指数（為替ヘッジあり）連動型上場投信　受益証券</t>
  </si>
  <si>
    <t>NEXT FUNDS S&amp;P US Equity and Bond Balance Conservative Index (Yen-Hedged) Exchange Traded Fund</t>
  </si>
  <si>
    <t>2864</t>
  </si>
  <si>
    <t>グローバルＸ　ロジスティクス・ＲＥＩＴ　ＥＴＦ　受益証券</t>
  </si>
  <si>
    <t>Global X Logistics REIT ETF</t>
  </si>
  <si>
    <t>2865</t>
  </si>
  <si>
    <t>グローバルＸ　ＮＡＳＤＡＱ１００・カバード・コール　ＥＴＦ　受益証券</t>
  </si>
  <si>
    <t>Global X Nasdaq 100 Covered Call ETF</t>
  </si>
  <si>
    <t>2866</t>
  </si>
  <si>
    <t>グローバルＸ　米国優先証券　ＥＴＦ　受益証券</t>
  </si>
  <si>
    <t>Global X U.S. Preferred Security ETF</t>
  </si>
  <si>
    <t>2867</t>
  </si>
  <si>
    <t>グローバルＸ　自動運転＆ＥＶ　ＥＴＦ　受益証券</t>
  </si>
  <si>
    <t>Global X Autonomous &amp; EV ETF</t>
  </si>
  <si>
    <t>2868</t>
  </si>
  <si>
    <t>グローバルＸ　Ｓ＆Ｐ５００・カバード・コール　ＥＴＦ　受益証券</t>
  </si>
  <si>
    <t>Global X S&amp;P 500 Covered Call ETF</t>
  </si>
  <si>
    <t>2869</t>
  </si>
  <si>
    <t>ｉＦｒｅｅＥＴＦ　ＮＡＳＤＡＱ１００レバレッジ　受益証券</t>
  </si>
  <si>
    <t>iFreeETF NASDAQ100 Leveraged (2x)</t>
  </si>
  <si>
    <t>2870</t>
  </si>
  <si>
    <t>ｉＦｒｅｅＥＴＦ　ＮＡＳＤＡＱ１００ダブルインバース　受益証券</t>
  </si>
  <si>
    <t>iFreeETF NASDAQ100 Double Inverse (-2x)</t>
  </si>
  <si>
    <t>294A</t>
  </si>
  <si>
    <t>ＮＥＸＴ　ＦＵＮＤＳ　ＭＳＣＩジャパン気候変動指数（セレクト）連動型上場投信　受益証券</t>
  </si>
  <si>
    <t>NEXT FUNDS MSCI Global Climate 500 Japan Selection Index Exchange Traded Fund</t>
  </si>
  <si>
    <t>295A</t>
  </si>
  <si>
    <t>Ｏｎｅ　ＥＴＦ　ＦＴＳＥ・サウジアラビア・インデックス　受益証券</t>
  </si>
  <si>
    <t>One ETF FTSE Saudi Arabia Index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</si>
  <si>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</si>
  <si>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</si>
  <si>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</si>
  <si>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</si>
  <si>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</si>
  <si>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</si>
  <si>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</si>
  <si>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</si>
  <si>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</si>
  <si>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2989</t>
  </si>
  <si>
    <t>東海道リート投資法人　投資証券</t>
  </si>
  <si>
    <t>Tokaido REIT,Inc.</t>
  </si>
  <si>
    <t>313A</t>
  </si>
  <si>
    <t>ｉシェアーズ　Ｓ＆Ｐ　５００　トップ　２０　ＥＴＦ　受益証券</t>
  </si>
  <si>
    <t>iShares S&amp;P 500 Top 20 ETF</t>
  </si>
  <si>
    <t>314A</t>
  </si>
  <si>
    <t>ｉシェアーズ　ゴールド　ＥＴＦ　受益証券</t>
  </si>
  <si>
    <t>iShares Gold ETF</t>
  </si>
  <si>
    <t>315A</t>
  </si>
  <si>
    <t>グローバルＸ　銀行　高配当－日本株式　ＥＴＦ　受益証券</t>
  </si>
  <si>
    <t>Global X Japan Bank High Dividend ETF</t>
  </si>
  <si>
    <t>316A</t>
  </si>
  <si>
    <t>ｉＦｒｅｅＥＴＦ　ＦＡＮＧ＋　受益証券</t>
  </si>
  <si>
    <t>iFreeETF FANG+</t>
  </si>
  <si>
    <t>318A</t>
  </si>
  <si>
    <t>ＶＩＸ短期先物指数ＥＴＦ　受益証券</t>
  </si>
  <si>
    <t>SIMPLEX VIX Short-Term Futures ETF</t>
  </si>
  <si>
    <t>3226</t>
  </si>
  <si>
    <t>三井不動産アコモデーションファンド投資法人　投資証券</t>
  </si>
  <si>
    <t>Mitsui Fudosan Accommodations Fund Inc.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</si>
  <si>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</si>
  <si>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</si>
  <si>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</si>
  <si>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</si>
  <si>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</si>
  <si>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</si>
  <si>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</si>
  <si>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</si>
  <si>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</si>
  <si>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</si>
  <si>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</si>
  <si>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</si>
  <si>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</si>
  <si>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</si>
  <si>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</si>
  <si>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</si>
  <si>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</si>
  <si>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</si>
  <si>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</si>
  <si>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</si>
  <si>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</si>
  <si>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</si>
  <si>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</si>
  <si>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</si>
  <si>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328A</t>
  </si>
  <si>
    <t>グローバルＸ　プライシングパワー・リーダーズ－日本株式　ＥＴＦ　受益証券</t>
  </si>
  <si>
    <t>Global X Japan Pricing Power Leaders ETF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</si>
  <si>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</si>
  <si>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</si>
  <si>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</si>
  <si>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</si>
  <si>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</si>
  <si>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</si>
  <si>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</si>
  <si>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</si>
  <si>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</si>
  <si>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</si>
  <si>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</si>
  <si>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</si>
  <si>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</si>
  <si>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</si>
  <si>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</si>
  <si>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</si>
  <si>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</si>
  <si>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</si>
  <si>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</si>
  <si>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</si>
  <si>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</si>
  <si>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</si>
  <si>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</si>
  <si>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</si>
  <si>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345A</t>
  </si>
  <si>
    <t>高配当成長　日本株（ネットリターン）ＥＴＮ　受益証券</t>
  </si>
  <si>
    <t>High Dividend Growth Japan Equity Net Return ETN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</si>
  <si>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</si>
  <si>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</si>
  <si>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</si>
  <si>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</si>
  <si>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</si>
  <si>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</si>
  <si>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</si>
  <si>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</si>
  <si>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</si>
  <si>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</si>
  <si>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</si>
  <si>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</si>
  <si>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346A</t>
  </si>
  <si>
    <t>ＮＥＸＴ　ＦＵＮＤＳ　Ｓ＆Ｐ　５００　半導体・半導体製造装置３５％キャップ指数連動型上場投信　受益証券</t>
  </si>
  <si>
    <t>NEXT FUNDS S&amp;P 500 Semiconductors &amp; Semiconductor Equipment (Industry Group) 35% Capped Index Exchange Traded Fund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</si>
  <si>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</si>
  <si>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</si>
  <si>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</si>
  <si>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</si>
  <si>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</si>
  <si>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</si>
  <si>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</si>
  <si>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日本ホテル＆レジデンシャル投資法人　投資証券</t>
  </si>
  <si>
    <t>Nippon Hotel &amp; Residential Investment Corporation</t>
  </si>
  <si>
    <t>3476</t>
  </si>
  <si>
    <t>投資法人みらい　投資証券</t>
  </si>
  <si>
    <t>MIRAI Corporation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</si>
  <si>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</si>
  <si>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</si>
  <si>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</si>
  <si>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</si>
  <si>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</si>
  <si>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</si>
  <si>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</si>
  <si>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ザイマックス・リート投資法人　投資証券</t>
  </si>
  <si>
    <t>XYMAX REIT Investment Corporation</t>
  </si>
  <si>
    <t>348A</t>
  </si>
  <si>
    <t>ＭＡＸＩＳ読売３３３日本株上場投信　受益証券</t>
  </si>
  <si>
    <t>MAXIS Yomiuri333 Japan Stock ETF</t>
  </si>
  <si>
    <t>3492</t>
  </si>
  <si>
    <t>タカラレーベン不動産投資法人　投資証券</t>
  </si>
  <si>
    <t>Takara Leben Real Estate Investment Corporation</t>
  </si>
  <si>
    <t>349A</t>
  </si>
  <si>
    <t>ＳＭＤＡＭ　Ａｃｔｉｖｅ　ＥＴＦ　日本グロース株式　受益証券</t>
  </si>
  <si>
    <t>SMDAM Active ETF Japan Growth Equity</t>
  </si>
  <si>
    <t>354A</t>
  </si>
  <si>
    <t>ｉＦｒｅｅＥＴＦ　ブルームバーグ日本株高配当５０指数　受益証券</t>
  </si>
  <si>
    <t>iFreeETF Bloomberg Japan High Dividend 50 Index</t>
  </si>
  <si>
    <t>356A</t>
  </si>
  <si>
    <t>グローバルＸ　Ｓ＆Ｐ５００　キャッシュフロー・トップ１００　ＥＴＦ　受益証券</t>
  </si>
  <si>
    <t>Global X S&amp;P 500 Cash Flow Top 100 ETF</t>
  </si>
  <si>
    <t>360A</t>
  </si>
  <si>
    <t>東証ＲＥＩＴ　Ｃｏｒｅ　ＥＴＦ　受益証券</t>
  </si>
  <si>
    <t>TSE REIT Core ETF</t>
  </si>
  <si>
    <t>363A</t>
  </si>
  <si>
    <t>ｉＦｒｅｅＥＴＦ　英国ＦＴＳＥ１００　受益証券</t>
  </si>
  <si>
    <t>iFreeETF FTSE100</t>
  </si>
  <si>
    <t>364A</t>
  </si>
  <si>
    <t>ＮＥＸＴ　ＦＵＮＤＳ　Ｓ＆Ｐ　５００　配当貴族指数連動型上場投信　受益証券</t>
  </si>
  <si>
    <t>NEXT FUNDS S&amp;P 500 Dividend Aristocrats Index Exchange Traded Fund</t>
  </si>
  <si>
    <t>376A</t>
  </si>
  <si>
    <t>ＮＥＸＴ　ＦＵＮＤＳ　ブルームバーグ米国国債（７－１０年）インデックス（７５％為替ヘッジあり）連動型上場投信　受益証券</t>
  </si>
  <si>
    <t>NEXT FUNDS Bloomberg US Treasury Bond (7-10 year) Index (75% Yen-Hedged) Exchange Traded Fund</t>
  </si>
  <si>
    <t>379A</t>
  </si>
  <si>
    <t>グローバルＸ　Ｓ＆Ｐ５００　ＥＴＦ（ダイナミック・プロテクション）　受益証券</t>
  </si>
  <si>
    <t>Global X S&amp;P 500 ETF (Dynamic Protection)</t>
  </si>
  <si>
    <t>380A</t>
  </si>
  <si>
    <t>グローバルＸ　チャイナテック　ＥＴＦ　受益証券</t>
  </si>
  <si>
    <t>Global X China Tech ETF</t>
  </si>
  <si>
    <t>381A</t>
  </si>
  <si>
    <t>ｉＦｒｅｅＥＴＦ　米国国債３－５年（為替ヘッジなし）　受益証券</t>
  </si>
  <si>
    <t>iFreeETF US Treasury Bond 3-5 Year (NON HEDGED)</t>
  </si>
  <si>
    <t>382A</t>
  </si>
  <si>
    <t>ｉＦｒｅｅＥＴＦ　米国国債３－５年（為替ヘッジあり）　受益証券</t>
  </si>
  <si>
    <t>iFreeETF US Treasury Bond 3-5 Year (JPY HEDGED)</t>
  </si>
  <si>
    <t>383A</t>
  </si>
  <si>
    <t>ＭＡＸＩＳ　Ｓ＆Ｐ５００均等ウェイト上場投信　受益証券</t>
  </si>
  <si>
    <t>MAXIS S&amp;P500 Equal Weight ETF</t>
  </si>
  <si>
    <t>392A</t>
  </si>
  <si>
    <t>ｉシェアーズ　ＮＡＳＤＡＱ　トップ　３０　ＥＴＦ　受益証券</t>
  </si>
  <si>
    <t>iShares Nasdaq Top 30 ETF</t>
  </si>
  <si>
    <t>394A</t>
  </si>
  <si>
    <t>業界改革厳選ＥＴＦテレビ業界　受益証券</t>
  </si>
  <si>
    <t>Sector Restructuring Select ETF TV</t>
  </si>
  <si>
    <t>395A</t>
  </si>
  <si>
    <t>業界改革厳選ＥＴＦ地銀　受益証券</t>
  </si>
  <si>
    <t>Sector Restructuring Select ETF Regional Banks</t>
  </si>
  <si>
    <t>396A</t>
  </si>
  <si>
    <t>業界改革厳選ＥＴＦ　ＲＥＩＴイベント・ドリブン　受益証券</t>
  </si>
  <si>
    <t>Sector Restructuring Select ETF Event-Driven REITs</t>
  </si>
  <si>
    <t>399A</t>
  </si>
  <si>
    <t>上場インデックスファンド日経平均高配当株５０　受益証券</t>
  </si>
  <si>
    <t>Listed Index Fund Nikkei 225 High Dividend Yield Stock 50</t>
  </si>
  <si>
    <t>401A</t>
  </si>
  <si>
    <t>霞ヶ関ホテルリート投資法人　投資証券</t>
  </si>
  <si>
    <t>Kasumigaseki Hotel REIT Investment Corporation</t>
  </si>
  <si>
    <t>404A</t>
  </si>
  <si>
    <t>グローバルＸ　チャイナテック・トップ１０　ＥＴＦ　受益証券</t>
  </si>
  <si>
    <t>Global X China Tech Top 10 ETF</t>
  </si>
  <si>
    <t>408A</t>
  </si>
  <si>
    <t>ｉシェアーズ　ＡＩ　グローバル・イノベーション　アクティブ　ＥＴＦ　受益証券</t>
  </si>
  <si>
    <t>iShares A.I. Global Innovation Active ETF</t>
  </si>
  <si>
    <t xml:space="preserve">新規上場  </t>
  </si>
  <si>
    <t xml:space="preserve">New Listing  </t>
  </si>
  <si>
    <t xml:space="preserve">2025/09/10  </t>
  </si>
  <si>
    <t>412A</t>
  </si>
  <si>
    <t>ＮＥＸＴ　ＦＵＮＤＳ　ＴＩＰ　ＦａｃｔＳｅｔ　台湾イノベイティブ・テクノロジー５０指数連動型上場投信　受益証券</t>
  </si>
  <si>
    <t>NEXT FUNDS TIP FactSet Taiwan Innovative Technology 50 Index Exchange Traded Fund</t>
  </si>
  <si>
    <t xml:space="preserve">2025/09/18  </t>
  </si>
  <si>
    <t>413A</t>
  </si>
  <si>
    <t>ｉＦｒｅｅＥＴＦ　キャセイ台湾テックリーダー指数　受益証券</t>
  </si>
  <si>
    <t>iFreeETF Cathay Taiwan Tech Leader Index</t>
  </si>
  <si>
    <t xml:space="preserve">2025/09/12  </t>
  </si>
  <si>
    <t>424A</t>
  </si>
  <si>
    <t>グローバルＸ　ゴールド　ＥＴＦ（為替ヘッジあり）　受益証券</t>
  </si>
  <si>
    <t>Global X Gold ETF (JPY Hedged)</t>
  </si>
  <si>
    <t xml:space="preserve">2025/09/26  </t>
  </si>
  <si>
    <t>425A</t>
  </si>
  <si>
    <t>グローバルＸ　ゴールド　ＥＴＦ　受益証券</t>
  </si>
  <si>
    <t>Global X Gold ETF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</si>
  <si>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</si>
  <si>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</si>
  <si>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</si>
  <si>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</si>
  <si>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</si>
  <si>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</si>
  <si>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</si>
  <si>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日本都市ファンド投資法人　投資証券</t>
  </si>
  <si>
    <t>Japan Metropolitan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</si>
  <si>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</si>
  <si>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</si>
  <si>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</si>
  <si>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</si>
  <si>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</si>
  <si>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</si>
  <si>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</si>
  <si>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ＮＴＴ都市開発リート投資法人　投資証券</t>
  </si>
  <si>
    <t>NTT UD REIT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</si>
  <si>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</si>
  <si>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</si>
  <si>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</si>
  <si>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</si>
  <si>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</si>
  <si>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</si>
  <si>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</si>
  <si>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</si>
  <si>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</si>
  <si>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</si>
  <si>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森トラストリート投資法人　投資証券</t>
  </si>
  <si>
    <t>MORI TRUST REIT,Inc.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</si>
  <si>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</si>
  <si>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</si>
  <si>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</si>
  <si>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</si>
  <si>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</si>
  <si>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</si>
  <si>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</si>
  <si>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</si>
  <si>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</si>
  <si>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</si>
  <si>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</si>
  <si>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</si>
  <si>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</si>
  <si>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</si>
  <si>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</si>
  <si>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</si>
  <si>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ＫＤＸ不動産投資法人　投資証券</t>
  </si>
  <si>
    <t>KDX Realty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</si>
  <si>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</si>
  <si>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</si>
  <si>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</si>
  <si>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</si>
  <si>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</si>
  <si>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</si>
  <si>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</si>
  <si>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</si>
  <si>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</si>
  <si>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</si>
  <si>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</si>
  <si>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</si>
  <si>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</si>
  <si>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</si>
  <si>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</si>
  <si>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</si>
  <si>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</si>
  <si>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</si>
  <si>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</si>
  <si>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</si>
  <si>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</si>
  <si>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</si>
  <si>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</si>
  <si>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</si>
  <si>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9282</t>
  </si>
  <si>
    <t>いちごグリーンインフラ投資法人　投資証券</t>
  </si>
  <si>
    <t>Ichigo Green Infrastructure Investment Corporation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</si>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</sst>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numFmtId="0" fontId="0" fillId="0" borderId="0">
      <alignment vertical="center"/>
    </xf>
    <xf numFmtId="0" fontId="1" fillId="0" borderId="0">
      <alignment vertical="center"/>
    </xf>
    <xf numFmtId="0" fontId="8" fillId="0" borderId="0"/>
    <xf numFmtId="9" fontId="2" fillId="0" borderId="0" applyFont="0" applyFill="0" applyBorder="0" applyAlignment="0" applyProtection="0"/>
    <xf numFmtId="0" fontId="12" fillId="0" borderId="0"/>
    <xf numFmtId="0" fontId="8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7" fillId="0" borderId="0">
      <alignment horizontal="center" wrapText="1"/>
      <protection locked="0"/>
    </xf>
    <xf numFmtId="0" fontId="18" fillId="0" borderId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176" fontId="13" fillId="0" borderId="0" applyFill="0" applyBorder="0" applyAlignment="0"/>
    <xf numFmtId="177" fontId="7" fillId="0" borderId="0" applyFill="0" applyBorder="0" applyAlignment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2" fillId="21" borderId="28" applyNumberFormat="0" applyAlignment="0" applyProtection="0"/>
    <xf numFmtId="0" fontId="23" fillId="0" borderId="0">
      <alignment vertical="top" wrapText="1"/>
    </xf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5" fillId="0" borderId="0">
      <alignment horizontal="left"/>
    </xf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38" fontId="28" fillId="22" borderId="0" applyNumberFormat="0" applyBorder="0" applyAlignment="0" applyProtection="0"/>
    <xf numFmtId="0" fontId="29" fillId="23" borderId="0"/>
    <xf numFmtId="0" fontId="30" fillId="0" borderId="29" applyNumberFormat="0" applyAlignment="0" applyProtection="0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1" fillId="0" borderId="30" applyNumberFormat="0" applyFill="0" applyAlignment="0" applyProtection="0"/>
    <xf numFmtId="0" fontId="32" fillId="0" borderId="31" applyNumberFormat="0" applyFill="0" applyAlignment="0" applyProtection="0"/>
    <xf numFmtId="0" fontId="33" fillId="0" borderId="32" applyNumberFormat="0" applyFill="0" applyAlignment="0" applyProtection="0"/>
    <xf numFmtId="0" fontId="33" fillId="0" borderId="0" applyNumberFormat="0" applyFill="0" applyBorder="0" applyAlignment="0" applyProtection="0"/>
    <xf numFmtId="0" fontId="7" fillId="0" borderId="0" applyBorder="0"/>
    <xf numFmtId="0" fontId="34" fillId="7" borderId="27" applyNumberFormat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7" fillId="0" borderId="0"/>
    <xf numFmtId="0" fontId="35" fillId="0" borderId="33" applyNumberFormat="0" applyFill="0" applyAlignment="0" applyProtection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25" borderId="0" applyNumberFormat="0" applyBorder="0" applyAlignment="0" applyProtection="0"/>
    <xf numFmtId="37" fontId="38" fillId="0" borderId="0"/>
    <xf numFmtId="182" fontId="39" fillId="0" borderId="0"/>
    <xf numFmtId="183" fontId="7" fillId="0" borderId="0"/>
    <xf numFmtId="183" fontId="7" fillId="0" borderId="0"/>
    <xf numFmtId="182" fontId="39" fillId="0" borderId="0"/>
    <xf numFmtId="0" fontId="24" fillId="0" borderId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14" fontId="17" fillId="0" borderId="0">
      <alignment horizontal="center" wrapText="1"/>
      <protection locked="0"/>
    </xf>
    <xf numFmtId="10" fontId="24" fillId="0" borderId="0" applyFont="0" applyFill="0" applyBorder="0" applyAlignment="0" applyProtection="0"/>
    <xf numFmtId="4" fontId="25" fillId="0" borderId="0">
      <alignment horizontal="right"/>
    </xf>
    <xf numFmtId="0" fontId="41" fillId="0" borderId="0" applyNumberFormat="0" applyFont="0" applyFill="0" applyBorder="0" applyAlignment="0" applyProtection="0">
      <alignment horizontal="left"/>
    </xf>
    <xf numFmtId="0" fontId="42" fillId="0" borderId="36">
      <alignment horizontal="center"/>
    </xf>
    <xf numFmtId="0" fontId="43" fillId="0" borderId="0" applyNumberFormat="0" applyFont="0" applyFill="0" applyBorder="0" applyAlignment="0"/>
    <xf numFmtId="4" fontId="44" fillId="0" borderId="0">
      <alignment horizontal="right"/>
    </xf>
    <xf numFmtId="0" fontId="45" fillId="0" borderId="0">
      <alignment horizontal="left"/>
    </xf>
    <xf numFmtId="0" fontId="46" fillId="0" borderId="0"/>
    <xf numFmtId="0" fontId="47" fillId="0" borderId="0">
      <alignment horizontal="center"/>
    </xf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9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3" fillId="0" borderId="0"/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64" fillId="0" borderId="0" applyFont="0" applyFill="0" applyBorder="0" applyAlignment="0" applyProtection="0">
      <alignment vertical="center"/>
    </xf>
    <xf numFmtId="38" fontId="65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65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84" fontId="24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/>
    <xf numFmtId="49" fontId="71" fillId="27" borderId="17" applyNumberFormat="0" applyFill="0" applyBorder="0" applyProtection="0"/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185" fontId="59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6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8" fillId="0" borderId="0" applyFont="0" applyFill="0" applyBorder="0" applyAlignment="0" applyProtection="0"/>
    <xf numFmtId="6" fontId="66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/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4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2" fillId="0" borderId="0"/>
    <xf numFmtId="0" fontId="64" fillId="0" borderId="0">
      <alignment vertical="center"/>
    </xf>
    <xf numFmtId="0" fontId="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79" fillId="0" borderId="0">
      <alignment vertical="center"/>
    </xf>
    <xf numFmtId="0" fontId="66" fillId="0" borderId="0">
      <alignment vertical="center"/>
    </xf>
    <xf numFmtId="0" fontId="8" fillId="0" borderId="0"/>
    <xf numFmtId="0" fontId="8" fillId="0" borderId="0"/>
    <xf numFmtId="0" fontId="8" fillId="0" borderId="0"/>
    <xf numFmtId="0" fontId="8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/>
    <xf numFmtId="0" fontId="66" fillId="0" borderId="0"/>
    <xf numFmtId="0" fontId="66" fillId="0" borderId="0">
      <alignment vertical="center"/>
    </xf>
    <xf numFmtId="0" fontId="81" fillId="0" borderId="0">
      <alignment vertical="center"/>
    </xf>
    <xf numFmtId="0" fontId="66" fillId="0" borderId="0"/>
    <xf numFmtId="0" fontId="81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/>
    <xf numFmtId="0" fontId="82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2" fillId="0" borderId="0"/>
    <xf numFmtId="0" fontId="64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7" fillId="0" borderId="0">
      <alignment vertical="center"/>
    </xf>
    <xf numFmtId="0" fontId="83" fillId="0" borderId="0"/>
    <xf numFmtId="0" fontId="66" fillId="0" borderId="0"/>
    <xf numFmtId="0" fontId="7" fillId="0" borderId="0">
      <alignment vertical="center"/>
    </xf>
    <xf numFmtId="0" fontId="66" fillId="0" borderId="0">
      <alignment vertical="center"/>
    </xf>
    <xf numFmtId="0" fontId="66" fillId="0" borderId="0"/>
    <xf numFmtId="0" fontId="8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7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2" fillId="0" borderId="0"/>
    <xf numFmtId="0" fontId="79" fillId="0" borderId="0">
      <alignment vertical="center"/>
    </xf>
    <xf numFmtId="0" fontId="2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8" fillId="0" borderId="0"/>
    <xf numFmtId="0" fontId="8" fillId="0" borderId="0"/>
    <xf numFmtId="0" fontId="14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66" fillId="0" borderId="0"/>
    <xf numFmtId="0" fontId="66" fillId="0" borderId="0"/>
    <xf numFmtId="0" fontId="8" fillId="0" borderId="0"/>
    <xf numFmtId="0" fontId="8" fillId="0" borderId="0">
      <alignment vertical="center"/>
    </xf>
    <xf numFmtId="0" fontId="64" fillId="0" borderId="0">
      <alignment vertical="center"/>
    </xf>
    <xf numFmtId="0" fontId="83" fillId="0" borderId="0"/>
    <xf numFmtId="0" fontId="64" fillId="0" borderId="0">
      <alignment vertical="center"/>
    </xf>
    <xf numFmtId="0" fontId="8" fillId="0" borderId="0"/>
    <xf numFmtId="0" fontId="8" fillId="0" borderId="0">
      <alignment vertical="center"/>
    </xf>
    <xf numFmtId="0" fontId="83" fillId="0" borderId="0"/>
    <xf numFmtId="0" fontId="8" fillId="0" borderId="0"/>
    <xf numFmtId="0" fontId="8" fillId="0" borderId="0"/>
    <xf numFmtId="0" fontId="83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3" fillId="0" borderId="0"/>
    <xf numFmtId="0" fontId="83" fillId="0" borderId="0"/>
    <xf numFmtId="0" fontId="8" fillId="0" borderId="0"/>
    <xf numFmtId="0" fontId="83" fillId="0" borderId="0"/>
    <xf numFmtId="0" fontId="14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4" fillId="0" borderId="0">
      <alignment vertical="center"/>
    </xf>
    <xf numFmtId="0" fontId="8" fillId="0" borderId="0"/>
    <xf numFmtId="0" fontId="8" fillId="0" borderId="0"/>
    <xf numFmtId="0" fontId="66" fillId="0" borderId="0"/>
    <xf numFmtId="0" fontId="66" fillId="0" borderId="0"/>
    <xf numFmtId="0" fontId="8" fillId="0" borderId="0"/>
    <xf numFmtId="0" fontId="8" fillId="0" borderId="0"/>
    <xf numFmtId="0" fontId="7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64" fillId="0" borderId="0"/>
    <xf numFmtId="0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1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7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2" fillId="0" borderId="0">
      <alignment vertical="center"/>
    </xf>
    <xf numFmtId="0" fontId="8" fillId="0" borderId="0"/>
    <xf numFmtId="0" fontId="8" fillId="0" borderId="0">
      <alignment vertical="center"/>
    </xf>
    <xf numFmtId="0" fontId="8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8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2" fillId="0" borderId="0"/>
    <xf numFmtId="0" fontId="87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8" fillId="0" borderId="0"/>
    <xf numFmtId="0" fontId="89" fillId="0" borderId="0"/>
    <xf numFmtId="0" fontId="53" fillId="0" borderId="0"/>
    <xf numFmtId="49" fontId="77" fillId="0" borderId="0" applyFill="0" applyBorder="0"/>
    <xf numFmtId="188" fontId="90" fillId="0" borderId="0"/>
    <xf numFmtId="0" fontId="91" fillId="0" borderId="0"/>
    <xf numFmtId="0" fontId="92" fillId="0" borderId="0"/>
    <xf numFmtId="0" fontId="91" fillId="0" borderId="0"/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8" fillId="0" borderId="0"/>
  </cellStyleXfs>
  <cellXfs count="47">
    <xf numFmtId="0" fontId="0" fillId="0" borderId="0" xfId="0">
      <alignment vertical="center"/>
    </xf>
    <xf numFmtId="0" fontId="4" fillId="0" borderId="0" xfId="1" applyFont="1">
      <alignment vertical="center"/>
    </xf>
    <xf numFmtId="0" fontId="9" fillId="0" borderId="0" xfId="1" applyFont="1">
      <alignment vertical="center"/>
    </xf>
    <xf numFmtId="0" fontId="4" fillId="0" borderId="0" xfId="1" applyNumberFormat="1" applyFont="1">
      <alignment vertical="center"/>
    </xf>
    <xf numFmtId="0" fontId="2" fillId="0" borderId="1" xfId="1" applyFont="1" applyFill="1" applyBorder="1">
      <alignment vertical="center"/>
    </xf>
    <xf numFmtId="0" fontId="2" fillId="0" borderId="2" xfId="1" applyFont="1" applyFill="1" applyBorder="1">
      <alignment vertical="center"/>
    </xf>
    <xf numFmtId="0" fontId="2" fillId="0" borderId="2" xfId="1" applyNumberFormat="1" applyFont="1" applyFill="1" applyBorder="1">
      <alignment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0" fontId="7" fillId="0" borderId="10" xfId="1" applyNumberFormat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49" fontId="7" fillId="0" borderId="9" xfId="2" applyNumberFormat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4" xfId="1" applyNumberFormat="1" applyFont="1" applyFill="1" applyBorder="1" applyAlignment="1">
      <alignment horizontal="center" vertical="center"/>
    </xf>
    <xf numFmtId="0" fontId="2" fillId="0" borderId="14" xfId="1" applyNumberFormat="1" applyFont="1" applyFill="1" applyBorder="1" applyAlignment="1">
      <alignment horizontal="center" vertical="center"/>
    </xf>
    <xf numFmtId="49" fontId="2" fillId="0" borderId="15" xfId="2" applyNumberFormat="1" applyFont="1" applyFill="1" applyBorder="1" applyAlignment="1">
      <alignment horizontal="center" vertical="center"/>
    </xf>
    <xf numFmtId="49" fontId="7" fillId="0" borderId="13" xfId="2" applyNumberFormat="1" applyFont="1" applyFill="1" applyBorder="1" applyAlignment="1">
      <alignment horizontal="center" vertical="center"/>
    </xf>
    <xf numFmtId="49" fontId="2" fillId="0" borderId="16" xfId="2" applyNumberFormat="1" applyFont="1" applyFill="1" applyBorder="1" applyAlignment="1">
      <alignment horizontal="center" vertical="center"/>
    </xf>
    <xf numFmtId="49" fontId="2" fillId="0" borderId="13" xfId="2" applyNumberFormat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right" vertical="center"/>
    </xf>
    <xf numFmtId="0" fontId="2" fillId="0" borderId="6" xfId="1" applyNumberFormat="1" applyFont="1" applyFill="1" applyBorder="1" applyAlignment="1">
      <alignment horizontal="right" vertical="center"/>
    </xf>
    <xf numFmtId="0" fontId="2" fillId="0" borderId="18" xfId="1" applyNumberFormat="1" applyFont="1" applyFill="1" applyBorder="1" applyAlignment="1">
      <alignment horizontal="right" vertical="center"/>
    </xf>
    <xf numFmtId="0" fontId="2" fillId="0" borderId="19" xfId="1" applyNumberFormat="1" applyFont="1" applyFill="1" applyBorder="1" applyAlignment="1">
      <alignment horizontal="right" vertical="center"/>
    </xf>
    <xf numFmtId="49" fontId="11" fillId="0" borderId="17" xfId="2" applyNumberFormat="1" applyFont="1" applyFill="1" applyBorder="1" applyAlignment="1">
      <alignment horizontal="right"/>
    </xf>
    <xf numFmtId="49" fontId="11" fillId="0" borderId="20" xfId="2" applyNumberFormat="1" applyFont="1" applyFill="1" applyBorder="1" applyAlignment="1">
      <alignment horizontal="right"/>
    </xf>
    <xf numFmtId="49" fontId="11" fillId="0" borderId="19" xfId="2" applyNumberFormat="1" applyFont="1" applyFill="1" applyBorder="1" applyAlignment="1">
      <alignment horizontal="right"/>
    </xf>
    <xf numFmtId="49" fontId="7" fillId="0" borderId="21" xfId="1" applyNumberFormat="1" applyFont="1" applyFill="1" applyBorder="1" applyAlignment="1">
      <alignment horizontal="left" vertical="center"/>
    </xf>
    <xf numFmtId="49" fontId="7" fillId="0" borderId="22" xfId="1" applyNumberFormat="1" applyFont="1" applyFill="1" applyBorder="1" applyAlignment="1">
      <alignment horizontal="left" vertical="center"/>
    </xf>
    <xf numFmtId="49" fontId="7" fillId="0" borderId="23" xfId="1" applyNumberFormat="1" applyFont="1" applyFill="1" applyBorder="1" applyAlignment="1">
      <alignment horizontal="left" vertical="center"/>
    </xf>
    <xf numFmtId="49" fontId="7" fillId="0" borderId="24" xfId="1" applyNumberFormat="1" applyFont="1" applyFill="1" applyBorder="1" applyAlignment="1">
      <alignment horizontal="left" vertical="center"/>
    </xf>
    <xf numFmtId="49" fontId="7" fillId="0" borderId="21" xfId="2" applyNumberFormat="1" applyFont="1" applyFill="1" applyBorder="1" applyAlignment="1">
      <alignment horizontal="left"/>
    </xf>
    <xf numFmtId="3" fontId="7" fillId="0" borderId="21" xfId="2" applyNumberFormat="1" applyFont="1" applyFill="1" applyBorder="1" applyAlignment="1">
      <alignment horizontal="right"/>
    </xf>
    <xf numFmtId="4" fontId="7" fillId="0" borderId="25" xfId="2" applyNumberFormat="1" applyFont="1" applyFill="1" applyBorder="1" applyAlignment="1">
      <alignment horizontal="right"/>
    </xf>
    <xf numFmtId="49" fontId="7" fillId="0" borderId="24" xfId="2" applyNumberFormat="1" applyFont="1" applyFill="1" applyBorder="1" applyAlignment="1">
      <alignment horizontal="right"/>
    </xf>
    <xf numFmtId="4" fontId="7" fillId="0" borderId="21" xfId="2" applyNumberFormat="1" applyFont="1" applyFill="1" applyBorder="1" applyAlignment="1">
      <alignment horizontal="right"/>
    </xf>
    <xf numFmtId="189" fontId="7" fillId="0" borderId="21" xfId="2" applyNumberFormat="1" applyFont="1" applyFill="1" applyBorder="1" applyAlignment="1">
      <alignment horizontal="right"/>
    </xf>
    <xf numFmtId="0" fontId="2" fillId="0" borderId="2" xfId="1" applyFont="1" applyFill="1" applyBorder="1" applyAlignment="1">
      <alignment horizontal="left" vertical="top" wrapText="1"/>
    </xf>
    <xf numFmtId="0" fontId="2" fillId="0" borderId="3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left" vertical="top" wrapText="1"/>
    </xf>
    <xf numFmtId="0" fontId="2" fillId="0" borderId="5" xfId="1" applyFont="1" applyFill="1" applyBorder="1" applyAlignment="1">
      <alignment horizontal="left" vertical="top" wrapText="1"/>
    </xf>
    <xf numFmtId="0" fontId="2" fillId="0" borderId="7" xfId="1" applyFont="1" applyFill="1" applyBorder="1" applyAlignment="1">
      <alignment horizontal="left" vertical="top" wrapText="1"/>
    </xf>
    <xf numFmtId="0" fontId="2" fillId="0" borderId="8" xfId="1" applyFont="1" applyFill="1" applyBorder="1" applyAlignment="1">
      <alignment horizontal="left" vertical="top" wrapText="1"/>
    </xf>
    <xf numFmtId="0" fontId="5" fillId="0" borderId="4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name="標準" xfId="0" builtin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71"/>
  <sheetViews>
    <sheetView showGridLines="0" tabSelected="1" view="pageBreakPreview" zoomScaleNormal="7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r="1" spans="1:24" ht="13.5" customHeight="1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r="2" spans="1:24" ht="99" customHeight="1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r="3" spans="1:24" ht="39" customHeight="1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r="4" spans="1:24" s="2" customFormat="1" ht="13.5" customHeight="1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r="7" spans="1:24" s="2" customFormat="1" ht="13.5" customHeight="1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3212</f>
        <v>3212.0</v>
      </c>
      <c r="L7" s="34" t="s">
        <v>48</v>
      </c>
      <c r="M7" s="33" t="n">
        <f>3365</f>
        <v>3365.0</v>
      </c>
      <c r="N7" s="34" t="s">
        <v>49</v>
      </c>
      <c r="O7" s="33" t="n">
        <f>3194</f>
        <v>3194.0</v>
      </c>
      <c r="P7" s="34" t="s">
        <v>50</v>
      </c>
      <c r="Q7" s="33" t="n">
        <f>3315</f>
        <v>3315.0</v>
      </c>
      <c r="R7" s="34" t="s">
        <v>51</v>
      </c>
      <c r="S7" s="35" t="n">
        <f>3291.9</f>
        <v>3291.9</v>
      </c>
      <c r="T7" s="32" t="n">
        <f>24760130</f>
        <v>2.476013E7</v>
      </c>
      <c r="U7" s="32" t="n">
        <f>22475680</f>
        <v>2.247568E7</v>
      </c>
      <c r="V7" s="32" t="n">
        <f>81777411992</f>
        <v>8.1777411992E10</v>
      </c>
      <c r="W7" s="32" t="n">
        <f>74268208142</f>
        <v>7.4268208142E10</v>
      </c>
      <c r="X7" s="36" t="n">
        <f>20</f>
        <v>20.0</v>
      </c>
    </row>
    <row r="8">
      <c r="A8" s="27" t="s">
        <v>42</v>
      </c>
      <c r="B8" s="27" t="s">
        <v>52</v>
      </c>
      <c r="C8" s="27" t="s">
        <v>53</v>
      </c>
      <c r="D8" s="27" t="s">
        <v>54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3177</f>
        <v>3177.0</v>
      </c>
      <c r="L8" s="34" t="s">
        <v>48</v>
      </c>
      <c r="M8" s="33" t="n">
        <f>3331</f>
        <v>3331.0</v>
      </c>
      <c r="N8" s="34" t="s">
        <v>49</v>
      </c>
      <c r="O8" s="33" t="n">
        <f>3161</f>
        <v>3161.0</v>
      </c>
      <c r="P8" s="34" t="s">
        <v>50</v>
      </c>
      <c r="Q8" s="33" t="n">
        <f>3283</f>
        <v>3283.0</v>
      </c>
      <c r="R8" s="34" t="s">
        <v>51</v>
      </c>
      <c r="S8" s="35" t="n">
        <f>3259.15</f>
        <v>3259.15</v>
      </c>
      <c r="T8" s="32" t="n">
        <f>46788470</f>
        <v>4.678847E7</v>
      </c>
      <c r="U8" s="32" t="n">
        <f>17195000</f>
        <v>1.7195E7</v>
      </c>
      <c r="V8" s="32" t="n">
        <f>152699653756</f>
        <v>1.52699653756E11</v>
      </c>
      <c r="W8" s="32" t="n">
        <f>56054197606</f>
        <v>5.6054197606E10</v>
      </c>
      <c r="X8" s="36" t="n">
        <f>20</f>
        <v>20.0</v>
      </c>
    </row>
    <row r="9">
      <c r="A9" s="27" t="s">
        <v>42</v>
      </c>
      <c r="B9" s="27" t="s">
        <v>55</v>
      </c>
      <c r="C9" s="27" t="s">
        <v>56</v>
      </c>
      <c r="D9" s="27" t="s">
        <v>57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1.0</v>
      </c>
      <c r="K9" s="33" t="n">
        <f>3138</f>
        <v>3138.0</v>
      </c>
      <c r="L9" s="34" t="s">
        <v>48</v>
      </c>
      <c r="M9" s="33" t="n">
        <f>3291</f>
        <v>3291.0</v>
      </c>
      <c r="N9" s="34" t="s">
        <v>49</v>
      </c>
      <c r="O9" s="33" t="n">
        <f>3123</f>
        <v>3123.0</v>
      </c>
      <c r="P9" s="34" t="s">
        <v>50</v>
      </c>
      <c r="Q9" s="33" t="n">
        <f>3250</f>
        <v>3250.0</v>
      </c>
      <c r="R9" s="34" t="s">
        <v>51</v>
      </c>
      <c r="S9" s="35" t="n">
        <f>3220.35</f>
        <v>3220.35</v>
      </c>
      <c r="T9" s="32" t="n">
        <f>32939822</f>
        <v>3.2939822E7</v>
      </c>
      <c r="U9" s="32" t="n">
        <f>27641036</f>
        <v>2.7641036E7</v>
      </c>
      <c r="V9" s="32" t="n">
        <f>106684585814</f>
        <v>1.06684585814E11</v>
      </c>
      <c r="W9" s="32" t="n">
        <f>89545655897</f>
        <v>8.9545655897E10</v>
      </c>
      <c r="X9" s="36" t="n">
        <f>20</f>
        <v>20.0</v>
      </c>
    </row>
    <row r="10">
      <c r="A10" s="27" t="s">
        <v>42</v>
      </c>
      <c r="B10" s="27" t="s">
        <v>58</v>
      </c>
      <c r="C10" s="27" t="s">
        <v>59</v>
      </c>
      <c r="D10" s="27" t="s">
        <v>60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49500</f>
        <v>49500.0</v>
      </c>
      <c r="L10" s="34" t="s">
        <v>48</v>
      </c>
      <c r="M10" s="33" t="n">
        <f>55930</f>
        <v>55930.0</v>
      </c>
      <c r="N10" s="34" t="s">
        <v>61</v>
      </c>
      <c r="O10" s="33" t="n">
        <f>48000</f>
        <v>48000.0</v>
      </c>
      <c r="P10" s="34" t="s">
        <v>62</v>
      </c>
      <c r="Q10" s="33" t="n">
        <f>53800</f>
        <v>53800.0</v>
      </c>
      <c r="R10" s="34" t="s">
        <v>51</v>
      </c>
      <c r="S10" s="35" t="n">
        <f>50090.5</f>
        <v>50090.5</v>
      </c>
      <c r="T10" s="32" t="n">
        <f>8321</f>
        <v>8321.0</v>
      </c>
      <c r="U10" s="32" t="str">
        <f>"－"</f>
        <v>－</v>
      </c>
      <c r="V10" s="32" t="n">
        <f>422857860</f>
        <v>4.2285786E8</v>
      </c>
      <c r="W10" s="32" t="str">
        <f>"－"</f>
        <v>－</v>
      </c>
      <c r="X10" s="36" t="n">
        <f>20</f>
        <v>20.0</v>
      </c>
    </row>
    <row r="11">
      <c r="A11" s="27" t="s">
        <v>42</v>
      </c>
      <c r="B11" s="27" t="s">
        <v>63</v>
      </c>
      <c r="C11" s="27" t="s">
        <v>64</v>
      </c>
      <c r="D11" s="27" t="s">
        <v>65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1.0</v>
      </c>
      <c r="K11" s="33" t="n">
        <f>1594</f>
        <v>1594.0</v>
      </c>
      <c r="L11" s="34" t="s">
        <v>48</v>
      </c>
      <c r="M11" s="33" t="n">
        <f>1675</f>
        <v>1675.0</v>
      </c>
      <c r="N11" s="34" t="s">
        <v>49</v>
      </c>
      <c r="O11" s="33" t="n">
        <f>1568.5</f>
        <v>1568.5</v>
      </c>
      <c r="P11" s="34" t="s">
        <v>50</v>
      </c>
      <c r="Q11" s="33" t="n">
        <f>1653</f>
        <v>1653.0</v>
      </c>
      <c r="R11" s="34" t="s">
        <v>51</v>
      </c>
      <c r="S11" s="35" t="n">
        <f>1630.1</f>
        <v>1630.1</v>
      </c>
      <c r="T11" s="32" t="n">
        <f>678827</f>
        <v>678827.0</v>
      </c>
      <c r="U11" s="32" t="n">
        <f>431210</f>
        <v>431210.0</v>
      </c>
      <c r="V11" s="32" t="n">
        <f>1099892788</f>
        <v>1.099892788E9</v>
      </c>
      <c r="W11" s="32" t="n">
        <f>694524482</f>
        <v>6.94524482E8</v>
      </c>
      <c r="X11" s="36" t="n">
        <f>20</f>
        <v>20.0</v>
      </c>
    </row>
    <row r="12">
      <c r="A12" s="27" t="s">
        <v>42</v>
      </c>
      <c r="B12" s="27" t="s">
        <v>66</v>
      </c>
      <c r="C12" s="27" t="s">
        <v>67</v>
      </c>
      <c r="D12" s="27" t="s">
        <v>68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1000.0</v>
      </c>
      <c r="K12" s="33" t="n">
        <f>587.6</f>
        <v>587.6</v>
      </c>
      <c r="L12" s="34" t="s">
        <v>48</v>
      </c>
      <c r="M12" s="33" t="n">
        <f>630</f>
        <v>630.0</v>
      </c>
      <c r="N12" s="34" t="s">
        <v>69</v>
      </c>
      <c r="O12" s="33" t="n">
        <f>578.1</f>
        <v>578.1</v>
      </c>
      <c r="P12" s="34" t="s">
        <v>70</v>
      </c>
      <c r="Q12" s="33" t="n">
        <f>600.5</f>
        <v>600.5</v>
      </c>
      <c r="R12" s="34" t="s">
        <v>51</v>
      </c>
      <c r="S12" s="35" t="n">
        <f>600.58</f>
        <v>600.58</v>
      </c>
      <c r="T12" s="32" t="n">
        <f>109000</f>
        <v>109000.0</v>
      </c>
      <c r="U12" s="32" t="str">
        <f>"－"</f>
        <v>－</v>
      </c>
      <c r="V12" s="32" t="n">
        <f>65438100</f>
        <v>6.54381E7</v>
      </c>
      <c r="W12" s="32" t="str">
        <f>"－"</f>
        <v>－</v>
      </c>
      <c r="X12" s="36" t="n">
        <f>16</f>
        <v>16.0</v>
      </c>
    </row>
    <row r="13">
      <c r="A13" s="27" t="s">
        <v>42</v>
      </c>
      <c r="B13" s="27" t="s">
        <v>71</v>
      </c>
      <c r="C13" s="27" t="s">
        <v>72</v>
      </c>
      <c r="D13" s="27" t="s">
        <v>73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1.0</v>
      </c>
      <c r="K13" s="33" t="n">
        <f>43470</f>
        <v>43470.0</v>
      </c>
      <c r="L13" s="34" t="s">
        <v>48</v>
      </c>
      <c r="M13" s="33" t="n">
        <f>47150</f>
        <v>47150.0</v>
      </c>
      <c r="N13" s="34" t="s">
        <v>74</v>
      </c>
      <c r="O13" s="33" t="n">
        <f>42980</f>
        <v>42980.0</v>
      </c>
      <c r="P13" s="34" t="s">
        <v>48</v>
      </c>
      <c r="Q13" s="33" t="n">
        <f>46490</f>
        <v>46490.0</v>
      </c>
      <c r="R13" s="34" t="s">
        <v>51</v>
      </c>
      <c r="S13" s="35" t="n">
        <f>45457.5</f>
        <v>45457.5</v>
      </c>
      <c r="T13" s="32" t="n">
        <f>1922423</f>
        <v>1922423.0</v>
      </c>
      <c r="U13" s="32" t="n">
        <f>996832</f>
        <v>996832.0</v>
      </c>
      <c r="V13" s="32" t="n">
        <f>87725769016</f>
        <v>8.7725769016E10</v>
      </c>
      <c r="W13" s="32" t="n">
        <f>45683096626</f>
        <v>4.5683096626E10</v>
      </c>
      <c r="X13" s="36" t="n">
        <f>20</f>
        <v>20.0</v>
      </c>
    </row>
    <row r="14">
      <c r="A14" s="27" t="s">
        <v>42</v>
      </c>
      <c r="B14" s="27" t="s">
        <v>75</v>
      </c>
      <c r="C14" s="27" t="s">
        <v>76</v>
      </c>
      <c r="D14" s="27" t="s">
        <v>77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1.0</v>
      </c>
      <c r="K14" s="33" t="n">
        <f>43640</f>
        <v>43640.0</v>
      </c>
      <c r="L14" s="34" t="s">
        <v>48</v>
      </c>
      <c r="M14" s="33" t="n">
        <f>47300</f>
        <v>47300.0</v>
      </c>
      <c r="N14" s="34" t="s">
        <v>74</v>
      </c>
      <c r="O14" s="33" t="n">
        <f>43140</f>
        <v>43140.0</v>
      </c>
      <c r="P14" s="34" t="s">
        <v>48</v>
      </c>
      <c r="Q14" s="33" t="n">
        <f>46630</f>
        <v>46630.0</v>
      </c>
      <c r="R14" s="34" t="s">
        <v>51</v>
      </c>
      <c r="S14" s="35" t="n">
        <f>45614.5</f>
        <v>45614.5</v>
      </c>
      <c r="T14" s="32" t="n">
        <f>6933976</f>
        <v>6933976.0</v>
      </c>
      <c r="U14" s="32" t="n">
        <f>1763496</f>
        <v>1763496.0</v>
      </c>
      <c r="V14" s="32" t="n">
        <f>318431160635</f>
        <v>3.18431160635E11</v>
      </c>
      <c r="W14" s="32" t="n">
        <f>82023755945</f>
        <v>8.2023755945E10</v>
      </c>
      <c r="X14" s="36" t="n">
        <f>20</f>
        <v>20.0</v>
      </c>
    </row>
    <row r="15">
      <c r="A15" s="27" t="s">
        <v>42</v>
      </c>
      <c r="B15" s="27" t="s">
        <v>78</v>
      </c>
      <c r="C15" s="27" t="s">
        <v>79</v>
      </c>
      <c r="D15" s="27" t="s">
        <v>80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1.0</v>
      </c>
      <c r="K15" s="33" t="n">
        <f>9950</f>
        <v>9950.0</v>
      </c>
      <c r="L15" s="34" t="s">
        <v>48</v>
      </c>
      <c r="M15" s="33" t="n">
        <f>11450</f>
        <v>11450.0</v>
      </c>
      <c r="N15" s="34" t="s">
        <v>51</v>
      </c>
      <c r="O15" s="33" t="n">
        <f>9556</f>
        <v>9556.0</v>
      </c>
      <c r="P15" s="34" t="s">
        <v>62</v>
      </c>
      <c r="Q15" s="33" t="n">
        <f>10750</f>
        <v>10750.0</v>
      </c>
      <c r="R15" s="34" t="s">
        <v>51</v>
      </c>
      <c r="S15" s="35" t="n">
        <f>10093.85</f>
        <v>10093.85</v>
      </c>
      <c r="T15" s="32" t="n">
        <f>57006</f>
        <v>57006.0</v>
      </c>
      <c r="U15" s="32" t="n">
        <f>3982</f>
        <v>3982.0</v>
      </c>
      <c r="V15" s="32" t="n">
        <f>575989148</f>
        <v>5.75989148E8</v>
      </c>
      <c r="W15" s="32" t="n">
        <f>39795308</f>
        <v>3.9795308E7</v>
      </c>
      <c r="X15" s="36" t="n">
        <f>20</f>
        <v>20.0</v>
      </c>
    </row>
    <row r="16">
      <c r="A16" s="27" t="s">
        <v>42</v>
      </c>
      <c r="B16" s="27" t="s">
        <v>81</v>
      </c>
      <c r="C16" s="27" t="s">
        <v>82</v>
      </c>
      <c r="D16" s="27" t="s">
        <v>83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10.0</v>
      </c>
      <c r="K16" s="33" t="n">
        <f>214.3</f>
        <v>214.3</v>
      </c>
      <c r="L16" s="34" t="s">
        <v>48</v>
      </c>
      <c r="M16" s="33" t="n">
        <f>229.5</f>
        <v>229.5</v>
      </c>
      <c r="N16" s="34" t="s">
        <v>70</v>
      </c>
      <c r="O16" s="33" t="n">
        <f>206</f>
        <v>206.0</v>
      </c>
      <c r="P16" s="34" t="s">
        <v>50</v>
      </c>
      <c r="Q16" s="33" t="n">
        <f>227.7</f>
        <v>227.7</v>
      </c>
      <c r="R16" s="34" t="s">
        <v>51</v>
      </c>
      <c r="S16" s="35" t="n">
        <f>221.02</f>
        <v>221.02</v>
      </c>
      <c r="T16" s="32" t="n">
        <f>740090</f>
        <v>740090.0</v>
      </c>
      <c r="U16" s="32" t="n">
        <f>8400</f>
        <v>8400.0</v>
      </c>
      <c r="V16" s="32" t="n">
        <f>162876134</f>
        <v>1.62876134E8</v>
      </c>
      <c r="W16" s="32" t="n">
        <f>1868920</f>
        <v>1868920.0</v>
      </c>
      <c r="X16" s="36" t="n">
        <f>20</f>
        <v>20.0</v>
      </c>
    </row>
    <row r="17">
      <c r="A17" s="27" t="s">
        <v>42</v>
      </c>
      <c r="B17" s="27" t="s">
        <v>84</v>
      </c>
      <c r="C17" s="27" t="s">
        <v>85</v>
      </c>
      <c r="D17" s="27" t="s">
        <v>86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1.0</v>
      </c>
      <c r="K17" s="33" t="n">
        <f>46670</f>
        <v>46670.0</v>
      </c>
      <c r="L17" s="34" t="s">
        <v>48</v>
      </c>
      <c r="M17" s="33" t="n">
        <f>52940</f>
        <v>52940.0</v>
      </c>
      <c r="N17" s="34" t="s">
        <v>51</v>
      </c>
      <c r="O17" s="33" t="n">
        <f>46610</f>
        <v>46610.0</v>
      </c>
      <c r="P17" s="34" t="s">
        <v>48</v>
      </c>
      <c r="Q17" s="33" t="n">
        <f>52790</f>
        <v>52790.0</v>
      </c>
      <c r="R17" s="34" t="s">
        <v>51</v>
      </c>
      <c r="S17" s="35" t="n">
        <f>49754.5</f>
        <v>49754.5</v>
      </c>
      <c r="T17" s="32" t="n">
        <f>630468</f>
        <v>630468.0</v>
      </c>
      <c r="U17" s="32" t="n">
        <f>13</f>
        <v>13.0</v>
      </c>
      <c r="V17" s="32" t="n">
        <f>31620644365</f>
        <v>3.1620644365E10</v>
      </c>
      <c r="W17" s="32" t="n">
        <f>645845</f>
        <v>645845.0</v>
      </c>
      <c r="X17" s="36" t="n">
        <f>20</f>
        <v>20.0</v>
      </c>
    </row>
    <row r="18">
      <c r="A18" s="27" t="s">
        <v>42</v>
      </c>
      <c r="B18" s="27" t="s">
        <v>87</v>
      </c>
      <c r="C18" s="27" t="s">
        <v>88</v>
      </c>
      <c r="D18" s="27" t="s">
        <v>89</v>
      </c>
      <c r="E18" s="28" t="s">
        <v>46</v>
      </c>
      <c r="F18" s="29" t="s">
        <v>46</v>
      </c>
      <c r="G18" s="30" t="s">
        <v>46</v>
      </c>
      <c r="H18" s="31"/>
      <c r="I18" s="31" t="s">
        <v>47</v>
      </c>
      <c r="J18" s="32" t="n">
        <v>1.0</v>
      </c>
      <c r="K18" s="33" t="n">
        <f>12170</f>
        <v>12170.0</v>
      </c>
      <c r="L18" s="34" t="s">
        <v>48</v>
      </c>
      <c r="M18" s="33" t="n">
        <f>13745</f>
        <v>13745.0</v>
      </c>
      <c r="N18" s="34" t="s">
        <v>51</v>
      </c>
      <c r="O18" s="33" t="n">
        <f>12170</f>
        <v>12170.0</v>
      </c>
      <c r="P18" s="34" t="s">
        <v>48</v>
      </c>
      <c r="Q18" s="33" t="n">
        <f>13745</f>
        <v>13745.0</v>
      </c>
      <c r="R18" s="34" t="s">
        <v>51</v>
      </c>
      <c r="S18" s="35" t="n">
        <f>12949.75</f>
        <v>12949.75</v>
      </c>
      <c r="T18" s="32" t="n">
        <f>1494800</f>
        <v>1494800.0</v>
      </c>
      <c r="U18" s="32" t="n">
        <f>52050</f>
        <v>52050.0</v>
      </c>
      <c r="V18" s="32" t="n">
        <f>19456187044</f>
        <v>1.9456187044E10</v>
      </c>
      <c r="W18" s="32" t="n">
        <f>689834804</f>
        <v>6.89834804E8</v>
      </c>
      <c r="X18" s="36" t="n">
        <f>20</f>
        <v>20.0</v>
      </c>
    </row>
    <row r="19">
      <c r="A19" s="27" t="s">
        <v>42</v>
      </c>
      <c r="B19" s="27" t="s">
        <v>90</v>
      </c>
      <c r="C19" s="27" t="s">
        <v>91</v>
      </c>
      <c r="D19" s="27" t="s">
        <v>92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1.0</v>
      </c>
      <c r="K19" s="33" t="n">
        <f>4374</f>
        <v>4374.0</v>
      </c>
      <c r="L19" s="34" t="s">
        <v>48</v>
      </c>
      <c r="M19" s="33" t="n">
        <f>4739</f>
        <v>4739.0</v>
      </c>
      <c r="N19" s="34" t="s">
        <v>74</v>
      </c>
      <c r="O19" s="33" t="n">
        <f>4322</f>
        <v>4322.0</v>
      </c>
      <c r="P19" s="34" t="s">
        <v>48</v>
      </c>
      <c r="Q19" s="33" t="n">
        <f>4674</f>
        <v>4674.0</v>
      </c>
      <c r="R19" s="34" t="s">
        <v>51</v>
      </c>
      <c r="S19" s="35" t="n">
        <f>4572.15</f>
        <v>4572.15</v>
      </c>
      <c r="T19" s="32" t="n">
        <f>11641423</f>
        <v>1.1641423E7</v>
      </c>
      <c r="U19" s="32" t="n">
        <f>3641851</f>
        <v>3641851.0</v>
      </c>
      <c r="V19" s="32" t="n">
        <f>53381283552</f>
        <v>5.3381283552E10</v>
      </c>
      <c r="W19" s="32" t="n">
        <f>16763998440</f>
        <v>1.676399844E10</v>
      </c>
      <c r="X19" s="36" t="n">
        <f>20</f>
        <v>20.0</v>
      </c>
    </row>
    <row r="20">
      <c r="A20" s="27" t="s">
        <v>42</v>
      </c>
      <c r="B20" s="27" t="s">
        <v>93</v>
      </c>
      <c r="C20" s="27" t="s">
        <v>94</v>
      </c>
      <c r="D20" s="27" t="s">
        <v>95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1.0</v>
      </c>
      <c r="K20" s="33" t="n">
        <f>43680</f>
        <v>43680.0</v>
      </c>
      <c r="L20" s="34" t="s">
        <v>48</v>
      </c>
      <c r="M20" s="33" t="n">
        <f>47330</f>
        <v>47330.0</v>
      </c>
      <c r="N20" s="34" t="s">
        <v>74</v>
      </c>
      <c r="O20" s="33" t="n">
        <f>43180</f>
        <v>43180.0</v>
      </c>
      <c r="P20" s="34" t="s">
        <v>48</v>
      </c>
      <c r="Q20" s="33" t="n">
        <f>46670</f>
        <v>46670.0</v>
      </c>
      <c r="R20" s="34" t="s">
        <v>51</v>
      </c>
      <c r="S20" s="35" t="n">
        <f>45662.5</f>
        <v>45662.5</v>
      </c>
      <c r="T20" s="32" t="n">
        <f>2785436</f>
        <v>2785436.0</v>
      </c>
      <c r="U20" s="32" t="n">
        <f>2075275</f>
        <v>2075275.0</v>
      </c>
      <c r="V20" s="32" t="n">
        <f>127542453363</f>
        <v>1.27542453363E11</v>
      </c>
      <c r="W20" s="32" t="n">
        <f>95130454393</f>
        <v>9.5130454393E10</v>
      </c>
      <c r="X20" s="36" t="n">
        <f>20</f>
        <v>20.0</v>
      </c>
    </row>
    <row r="21">
      <c r="A21" s="27" t="s">
        <v>42</v>
      </c>
      <c r="B21" s="27" t="s">
        <v>96</v>
      </c>
      <c r="C21" s="27" t="s">
        <v>97</v>
      </c>
      <c r="D21" s="27" t="s">
        <v>98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1.0</v>
      </c>
      <c r="K21" s="33" t="n">
        <f>993</f>
        <v>993.0</v>
      </c>
      <c r="L21" s="34" t="s">
        <v>48</v>
      </c>
      <c r="M21" s="33" t="n">
        <f>1009</f>
        <v>1009.0</v>
      </c>
      <c r="N21" s="34" t="s">
        <v>49</v>
      </c>
      <c r="O21" s="33" t="n">
        <f>988</f>
        <v>988.0</v>
      </c>
      <c r="P21" s="34" t="s">
        <v>99</v>
      </c>
      <c r="Q21" s="33" t="n">
        <f>998</f>
        <v>998.0</v>
      </c>
      <c r="R21" s="34" t="s">
        <v>51</v>
      </c>
      <c r="S21" s="35" t="n">
        <f>998.15</f>
        <v>998.15</v>
      </c>
      <c r="T21" s="32" t="n">
        <f>2454995</f>
        <v>2454995.0</v>
      </c>
      <c r="U21" s="32" t="n">
        <f>851040</f>
        <v>851040.0</v>
      </c>
      <c r="V21" s="32" t="n">
        <f>2449431416</f>
        <v>2.449431416E9</v>
      </c>
      <c r="W21" s="32" t="n">
        <f>850241720</f>
        <v>8.5024172E8</v>
      </c>
      <c r="X21" s="36" t="n">
        <f>20</f>
        <v>20.0</v>
      </c>
    </row>
    <row r="22">
      <c r="A22" s="27" t="s">
        <v>42</v>
      </c>
      <c r="B22" s="27" t="s">
        <v>100</v>
      </c>
      <c r="C22" s="27" t="s">
        <v>101</v>
      </c>
      <c r="D22" s="27" t="s">
        <v>102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10.0</v>
      </c>
      <c r="K22" s="33" t="n">
        <f>2074</f>
        <v>2074.0</v>
      </c>
      <c r="L22" s="34" t="s">
        <v>48</v>
      </c>
      <c r="M22" s="33" t="n">
        <f>2111</f>
        <v>2111.0</v>
      </c>
      <c r="N22" s="34" t="s">
        <v>99</v>
      </c>
      <c r="O22" s="33" t="n">
        <f>2033</f>
        <v>2033.0</v>
      </c>
      <c r="P22" s="34" t="s">
        <v>103</v>
      </c>
      <c r="Q22" s="33" t="n">
        <f>2078.5</f>
        <v>2078.5</v>
      </c>
      <c r="R22" s="34" t="s">
        <v>51</v>
      </c>
      <c r="S22" s="35" t="n">
        <f>2078.45</f>
        <v>2078.45</v>
      </c>
      <c r="T22" s="32" t="n">
        <f>16643040</f>
        <v>1.664304E7</v>
      </c>
      <c r="U22" s="32" t="n">
        <f>3254000</f>
        <v>3254000.0</v>
      </c>
      <c r="V22" s="32" t="n">
        <f>34517082871</f>
        <v>3.4517082871E10</v>
      </c>
      <c r="W22" s="32" t="n">
        <f>6733846306</f>
        <v>6.733846306E9</v>
      </c>
      <c r="X22" s="36" t="n">
        <f>20</f>
        <v>20.0</v>
      </c>
    </row>
    <row r="23">
      <c r="A23" s="27" t="s">
        <v>42</v>
      </c>
      <c r="B23" s="27" t="s">
        <v>104</v>
      </c>
      <c r="C23" s="27" t="s">
        <v>105</v>
      </c>
      <c r="D23" s="27" t="s">
        <v>106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100.0</v>
      </c>
      <c r="K23" s="33" t="n">
        <f>1966.5</f>
        <v>1966.5</v>
      </c>
      <c r="L23" s="34" t="s">
        <v>48</v>
      </c>
      <c r="M23" s="33" t="n">
        <f>1988</f>
        <v>1988.0</v>
      </c>
      <c r="N23" s="34" t="s">
        <v>48</v>
      </c>
      <c r="O23" s="33" t="n">
        <f>1904</f>
        <v>1904.0</v>
      </c>
      <c r="P23" s="34" t="s">
        <v>103</v>
      </c>
      <c r="Q23" s="33" t="n">
        <f>1949</f>
        <v>1949.0</v>
      </c>
      <c r="R23" s="34" t="s">
        <v>51</v>
      </c>
      <c r="S23" s="35" t="n">
        <f>1949.73</f>
        <v>1949.73</v>
      </c>
      <c r="T23" s="32" t="n">
        <f>5522600</f>
        <v>5522600.0</v>
      </c>
      <c r="U23" s="32" t="n">
        <f>3224200</f>
        <v>3224200.0</v>
      </c>
      <c r="V23" s="32" t="n">
        <f>10765429745</f>
        <v>1.0765429745E10</v>
      </c>
      <c r="W23" s="32" t="n">
        <f>6266789895</f>
        <v>6.266789895E9</v>
      </c>
      <c r="X23" s="36" t="n">
        <f>20</f>
        <v>20.0</v>
      </c>
    </row>
    <row r="24">
      <c r="A24" s="27" t="s">
        <v>42</v>
      </c>
      <c r="B24" s="27" t="s">
        <v>107</v>
      </c>
      <c r="C24" s="27" t="s">
        <v>108</v>
      </c>
      <c r="D24" s="27" t="s">
        <v>109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1.0</v>
      </c>
      <c r="K24" s="33" t="n">
        <f>43660</f>
        <v>43660.0</v>
      </c>
      <c r="L24" s="34" t="s">
        <v>48</v>
      </c>
      <c r="M24" s="33" t="n">
        <f>47360</f>
        <v>47360.0</v>
      </c>
      <c r="N24" s="34" t="s">
        <v>74</v>
      </c>
      <c r="O24" s="33" t="n">
        <f>43180</f>
        <v>43180.0</v>
      </c>
      <c r="P24" s="34" t="s">
        <v>48</v>
      </c>
      <c r="Q24" s="33" t="n">
        <f>46740</f>
        <v>46740.0</v>
      </c>
      <c r="R24" s="34" t="s">
        <v>51</v>
      </c>
      <c r="S24" s="35" t="n">
        <f>45689.5</f>
        <v>45689.5</v>
      </c>
      <c r="T24" s="32" t="n">
        <f>1181887</f>
        <v>1181887.0</v>
      </c>
      <c r="U24" s="32" t="n">
        <f>820567</f>
        <v>820567.0</v>
      </c>
      <c r="V24" s="32" t="n">
        <f>53984178239</f>
        <v>5.3984178239E10</v>
      </c>
      <c r="W24" s="32" t="n">
        <f>37433916309</f>
        <v>3.7433916309E10</v>
      </c>
      <c r="X24" s="36" t="n">
        <f>20</f>
        <v>20.0</v>
      </c>
    </row>
    <row r="25">
      <c r="A25" s="27" t="s">
        <v>42</v>
      </c>
      <c r="B25" s="27" t="s">
        <v>110</v>
      </c>
      <c r="C25" s="27" t="s">
        <v>111</v>
      </c>
      <c r="D25" s="27" t="s">
        <v>112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10.0</v>
      </c>
      <c r="K25" s="33" t="n">
        <f>3165</f>
        <v>3165.0</v>
      </c>
      <c r="L25" s="34" t="s">
        <v>48</v>
      </c>
      <c r="M25" s="33" t="n">
        <f>3317</f>
        <v>3317.0</v>
      </c>
      <c r="N25" s="34" t="s">
        <v>49</v>
      </c>
      <c r="O25" s="33" t="n">
        <f>3150</f>
        <v>3150.0</v>
      </c>
      <c r="P25" s="34" t="s">
        <v>50</v>
      </c>
      <c r="Q25" s="33" t="n">
        <f>3275</f>
        <v>3275.0</v>
      </c>
      <c r="R25" s="34" t="s">
        <v>51</v>
      </c>
      <c r="S25" s="35" t="n">
        <f>3248</f>
        <v>3248.0</v>
      </c>
      <c r="T25" s="32" t="n">
        <f>5077280</f>
        <v>5077280.0</v>
      </c>
      <c r="U25" s="32" t="n">
        <f>3165800</f>
        <v>3165800.0</v>
      </c>
      <c r="V25" s="32" t="n">
        <f>16522064967</f>
        <v>1.6522064967E10</v>
      </c>
      <c r="W25" s="32" t="n">
        <f>10318526077</f>
        <v>1.0318526077E10</v>
      </c>
      <c r="X25" s="36" t="n">
        <f>20</f>
        <v>20.0</v>
      </c>
    </row>
    <row r="26">
      <c r="A26" s="27" t="s">
        <v>42</v>
      </c>
      <c r="B26" s="27" t="s">
        <v>113</v>
      </c>
      <c r="C26" s="27" t="s">
        <v>114</v>
      </c>
      <c r="D26" s="27" t="s">
        <v>115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1.0</v>
      </c>
      <c r="K26" s="33" t="n">
        <f>17015</f>
        <v>17015.0</v>
      </c>
      <c r="L26" s="34" t="s">
        <v>48</v>
      </c>
      <c r="M26" s="33" t="n">
        <f>17120</f>
        <v>17120.0</v>
      </c>
      <c r="N26" s="34" t="s">
        <v>70</v>
      </c>
      <c r="O26" s="33" t="n">
        <f>16715</f>
        <v>16715.0</v>
      </c>
      <c r="P26" s="34" t="s">
        <v>99</v>
      </c>
      <c r="Q26" s="33" t="n">
        <f>17025</f>
        <v>17025.0</v>
      </c>
      <c r="R26" s="34" t="s">
        <v>51</v>
      </c>
      <c r="S26" s="35" t="n">
        <f>17030.59</f>
        <v>17030.59</v>
      </c>
      <c r="T26" s="32" t="n">
        <f>2307</f>
        <v>2307.0</v>
      </c>
      <c r="U26" s="32" t="str">
        <f>"－"</f>
        <v>－</v>
      </c>
      <c r="V26" s="32" t="n">
        <f>39078230</f>
        <v>3.907823E7</v>
      </c>
      <c r="W26" s="32" t="str">
        <f>"－"</f>
        <v>－</v>
      </c>
      <c r="X26" s="36" t="n">
        <f>17</f>
        <v>17.0</v>
      </c>
    </row>
    <row r="27">
      <c r="A27" s="27" t="s">
        <v>42</v>
      </c>
      <c r="B27" s="27" t="s">
        <v>116</v>
      </c>
      <c r="C27" s="27" t="s">
        <v>117</v>
      </c>
      <c r="D27" s="27" t="s">
        <v>118</v>
      </c>
      <c r="E27" s="28" t="s">
        <v>46</v>
      </c>
      <c r="F27" s="29" t="s">
        <v>46</v>
      </c>
      <c r="G27" s="30" t="s">
        <v>46</v>
      </c>
      <c r="H27" s="31"/>
      <c r="I27" s="31" t="s">
        <v>47</v>
      </c>
      <c r="J27" s="32" t="n">
        <v>10.0</v>
      </c>
      <c r="K27" s="33" t="n">
        <f>222.5</f>
        <v>222.5</v>
      </c>
      <c r="L27" s="34" t="s">
        <v>48</v>
      </c>
      <c r="M27" s="33" t="n">
        <f>224.8</f>
        <v>224.8</v>
      </c>
      <c r="N27" s="34" t="s">
        <v>50</v>
      </c>
      <c r="O27" s="33" t="n">
        <f>202</f>
        <v>202.0</v>
      </c>
      <c r="P27" s="34" t="s">
        <v>49</v>
      </c>
      <c r="Q27" s="33" t="n">
        <f>207.5</f>
        <v>207.5</v>
      </c>
      <c r="R27" s="34" t="s">
        <v>51</v>
      </c>
      <c r="S27" s="35" t="n">
        <f>211.32</f>
        <v>211.32</v>
      </c>
      <c r="T27" s="32" t="n">
        <f>44701150</f>
        <v>4.470115E7</v>
      </c>
      <c r="U27" s="32" t="n">
        <f>238310</f>
        <v>238310.0</v>
      </c>
      <c r="V27" s="32" t="n">
        <f>9439193034</f>
        <v>9.439193034E9</v>
      </c>
      <c r="W27" s="32" t="n">
        <f>50673419</f>
        <v>5.0673419E7</v>
      </c>
      <c r="X27" s="36" t="n">
        <f>20</f>
        <v>20.0</v>
      </c>
    </row>
    <row r="28">
      <c r="A28" s="27" t="s">
        <v>42</v>
      </c>
      <c r="B28" s="27" t="s">
        <v>119</v>
      </c>
      <c r="C28" s="27" t="s">
        <v>120</v>
      </c>
      <c r="D28" s="27" t="s">
        <v>121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1.0</v>
      </c>
      <c r="K28" s="33" t="n">
        <f>8841</f>
        <v>8841.0</v>
      </c>
      <c r="L28" s="34" t="s">
        <v>48</v>
      </c>
      <c r="M28" s="33" t="n">
        <f>9003</f>
        <v>9003.0</v>
      </c>
      <c r="N28" s="34" t="s">
        <v>48</v>
      </c>
      <c r="O28" s="33" t="n">
        <f>7469</f>
        <v>7469.0</v>
      </c>
      <c r="P28" s="34" t="s">
        <v>74</v>
      </c>
      <c r="Q28" s="33" t="n">
        <f>7677</f>
        <v>7677.0</v>
      </c>
      <c r="R28" s="34" t="s">
        <v>51</v>
      </c>
      <c r="S28" s="35" t="n">
        <f>8055.45</f>
        <v>8055.45</v>
      </c>
      <c r="T28" s="32" t="n">
        <f>64914034</f>
        <v>6.4914034E7</v>
      </c>
      <c r="U28" s="32" t="n">
        <f>1454286</f>
        <v>1454286.0</v>
      </c>
      <c r="V28" s="32" t="n">
        <f>523866338708</f>
        <v>5.23866338708E11</v>
      </c>
      <c r="W28" s="32" t="n">
        <f>11647066377</f>
        <v>1.1647066377E10</v>
      </c>
      <c r="X28" s="36" t="n">
        <f>20</f>
        <v>20.0</v>
      </c>
    </row>
    <row r="29">
      <c r="A29" s="27" t="s">
        <v>42</v>
      </c>
      <c r="B29" s="27" t="s">
        <v>122</v>
      </c>
      <c r="C29" s="27" t="s">
        <v>123</v>
      </c>
      <c r="D29" s="27" t="s">
        <v>124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1.0</v>
      </c>
      <c r="K29" s="33" t="n">
        <f>57640</f>
        <v>57640.0</v>
      </c>
      <c r="L29" s="34" t="s">
        <v>48</v>
      </c>
      <c r="M29" s="33" t="n">
        <f>67880</f>
        <v>67880.0</v>
      </c>
      <c r="N29" s="34" t="s">
        <v>74</v>
      </c>
      <c r="O29" s="33" t="n">
        <f>56520</f>
        <v>56520.0</v>
      </c>
      <c r="P29" s="34" t="s">
        <v>48</v>
      </c>
      <c r="Q29" s="33" t="n">
        <f>65790</f>
        <v>65790.0</v>
      </c>
      <c r="R29" s="34" t="s">
        <v>51</v>
      </c>
      <c r="S29" s="35" t="n">
        <f>63223.5</f>
        <v>63223.5</v>
      </c>
      <c r="T29" s="32" t="n">
        <f>292842</f>
        <v>292842.0</v>
      </c>
      <c r="U29" s="32" t="n">
        <f>1733</f>
        <v>1733.0</v>
      </c>
      <c r="V29" s="32" t="n">
        <f>18603130084</f>
        <v>1.8603130084E10</v>
      </c>
      <c r="W29" s="32" t="n">
        <f>109262634</f>
        <v>1.09262634E8</v>
      </c>
      <c r="X29" s="36" t="n">
        <f>20</f>
        <v>20.0</v>
      </c>
    </row>
    <row r="30">
      <c r="A30" s="27" t="s">
        <v>42</v>
      </c>
      <c r="B30" s="27" t="s">
        <v>125</v>
      </c>
      <c r="C30" s="27" t="s">
        <v>126</v>
      </c>
      <c r="D30" s="27" t="s">
        <v>127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10.0</v>
      </c>
      <c r="K30" s="33" t="n">
        <f>216.1</f>
        <v>216.1</v>
      </c>
      <c r="L30" s="34" t="s">
        <v>48</v>
      </c>
      <c r="M30" s="33" t="n">
        <f>221</f>
        <v>221.0</v>
      </c>
      <c r="N30" s="34" t="s">
        <v>48</v>
      </c>
      <c r="O30" s="33" t="n">
        <f>183.3</f>
        <v>183.3</v>
      </c>
      <c r="P30" s="34" t="s">
        <v>74</v>
      </c>
      <c r="Q30" s="33" t="n">
        <f>188.5</f>
        <v>188.5</v>
      </c>
      <c r="R30" s="34" t="s">
        <v>51</v>
      </c>
      <c r="S30" s="35" t="n">
        <f>197.77</f>
        <v>197.77</v>
      </c>
      <c r="T30" s="32" t="n">
        <f>1583464360</f>
        <v>1.58346436E9</v>
      </c>
      <c r="U30" s="32" t="n">
        <f>11979980</f>
        <v>1.197998E7</v>
      </c>
      <c r="V30" s="32" t="n">
        <f>310945485285</f>
        <v>3.10945485285E11</v>
      </c>
      <c r="W30" s="32" t="n">
        <f>2354043224</f>
        <v>2.354043224E9</v>
      </c>
      <c r="X30" s="36" t="n">
        <f>20</f>
        <v>20.0</v>
      </c>
    </row>
    <row r="31">
      <c r="A31" s="27" t="s">
        <v>42</v>
      </c>
      <c r="B31" s="27" t="s">
        <v>128</v>
      </c>
      <c r="C31" s="27" t="s">
        <v>129</v>
      </c>
      <c r="D31" s="27" t="s">
        <v>130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1.0</v>
      </c>
      <c r="K31" s="33" t="n">
        <f>2808</f>
        <v>2808.0</v>
      </c>
      <c r="L31" s="34" t="s">
        <v>48</v>
      </c>
      <c r="M31" s="33" t="n">
        <f>2934</f>
        <v>2934.0</v>
      </c>
      <c r="N31" s="34" t="s">
        <v>49</v>
      </c>
      <c r="O31" s="33" t="n">
        <f>2785</f>
        <v>2785.0</v>
      </c>
      <c r="P31" s="34" t="s">
        <v>50</v>
      </c>
      <c r="Q31" s="33" t="n">
        <f>2903</f>
        <v>2903.0</v>
      </c>
      <c r="R31" s="34" t="s">
        <v>51</v>
      </c>
      <c r="S31" s="35" t="n">
        <f>2874.55</f>
        <v>2874.55</v>
      </c>
      <c r="T31" s="32" t="n">
        <f>320651</f>
        <v>320651.0</v>
      </c>
      <c r="U31" s="32" t="n">
        <f>227181</f>
        <v>227181.0</v>
      </c>
      <c r="V31" s="32" t="n">
        <f>914517637</f>
        <v>9.14517637E8</v>
      </c>
      <c r="W31" s="32" t="n">
        <f>644308417</f>
        <v>6.44308417E8</v>
      </c>
      <c r="X31" s="36" t="n">
        <f>20</f>
        <v>20.0</v>
      </c>
    </row>
    <row r="32">
      <c r="A32" s="27" t="s">
        <v>42</v>
      </c>
      <c r="B32" s="27" t="s">
        <v>131</v>
      </c>
      <c r="C32" s="27" t="s">
        <v>132</v>
      </c>
      <c r="D32" s="27" t="s">
        <v>133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1.0</v>
      </c>
      <c r="K32" s="33" t="n">
        <f>46990</f>
        <v>46990.0</v>
      </c>
      <c r="L32" s="34" t="s">
        <v>48</v>
      </c>
      <c r="M32" s="33" t="n">
        <f>55310</f>
        <v>55310.0</v>
      </c>
      <c r="N32" s="34" t="s">
        <v>74</v>
      </c>
      <c r="O32" s="33" t="n">
        <f>46100</f>
        <v>46100.0</v>
      </c>
      <c r="P32" s="34" t="s">
        <v>48</v>
      </c>
      <c r="Q32" s="33" t="n">
        <f>53760</f>
        <v>53760.0</v>
      </c>
      <c r="R32" s="34" t="s">
        <v>51</v>
      </c>
      <c r="S32" s="35" t="n">
        <f>51548</f>
        <v>51548.0</v>
      </c>
      <c r="T32" s="32" t="n">
        <f>848866</f>
        <v>848866.0</v>
      </c>
      <c r="U32" s="32" t="n">
        <f>24497</f>
        <v>24497.0</v>
      </c>
      <c r="V32" s="32" t="n">
        <f>43574349322</f>
        <v>4.3574349322E10</v>
      </c>
      <c r="W32" s="32" t="n">
        <f>1273100312</f>
        <v>1.273100312E9</v>
      </c>
      <c r="X32" s="36" t="n">
        <f>20</f>
        <v>20.0</v>
      </c>
    </row>
    <row r="33">
      <c r="A33" s="27" t="s">
        <v>42</v>
      </c>
      <c r="B33" s="27" t="s">
        <v>134</v>
      </c>
      <c r="C33" s="27" t="s">
        <v>135</v>
      </c>
      <c r="D33" s="27" t="s">
        <v>136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1.0</v>
      </c>
      <c r="K33" s="33" t="n">
        <f>222</f>
        <v>222.0</v>
      </c>
      <c r="L33" s="34" t="s">
        <v>48</v>
      </c>
      <c r="M33" s="33" t="n">
        <f>227</f>
        <v>227.0</v>
      </c>
      <c r="N33" s="34" t="s">
        <v>48</v>
      </c>
      <c r="O33" s="33" t="n">
        <f>187</f>
        <v>187.0</v>
      </c>
      <c r="P33" s="34" t="s">
        <v>74</v>
      </c>
      <c r="Q33" s="33" t="n">
        <f>193</f>
        <v>193.0</v>
      </c>
      <c r="R33" s="34" t="s">
        <v>51</v>
      </c>
      <c r="S33" s="35" t="n">
        <f>202.6</f>
        <v>202.6</v>
      </c>
      <c r="T33" s="32" t="n">
        <f>63202933</f>
        <v>6.3202933E7</v>
      </c>
      <c r="U33" s="32" t="n">
        <f>775222</f>
        <v>775222.0</v>
      </c>
      <c r="V33" s="32" t="n">
        <f>12883211084</f>
        <v>1.2883211084E10</v>
      </c>
      <c r="W33" s="32" t="n">
        <f>152732247</f>
        <v>1.52732247E8</v>
      </c>
      <c r="X33" s="36" t="n">
        <f>20</f>
        <v>20.0</v>
      </c>
    </row>
    <row r="34">
      <c r="A34" s="27" t="s">
        <v>42</v>
      </c>
      <c r="B34" s="27" t="s">
        <v>137</v>
      </c>
      <c r="C34" s="27" t="s">
        <v>138</v>
      </c>
      <c r="D34" s="27" t="s">
        <v>139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44090</f>
        <v>44090.0</v>
      </c>
      <c r="L34" s="34" t="s">
        <v>48</v>
      </c>
      <c r="M34" s="33" t="n">
        <f>48380</f>
        <v>48380.0</v>
      </c>
      <c r="N34" s="34" t="s">
        <v>49</v>
      </c>
      <c r="O34" s="33" t="n">
        <f>43610</f>
        <v>43610.0</v>
      </c>
      <c r="P34" s="34" t="s">
        <v>50</v>
      </c>
      <c r="Q34" s="33" t="n">
        <f>47110</f>
        <v>47110.0</v>
      </c>
      <c r="R34" s="34" t="s">
        <v>51</v>
      </c>
      <c r="S34" s="35" t="n">
        <f>46354</f>
        <v>46354.0</v>
      </c>
      <c r="T34" s="32" t="n">
        <f>133706</f>
        <v>133706.0</v>
      </c>
      <c r="U34" s="32" t="n">
        <f>2948</f>
        <v>2948.0</v>
      </c>
      <c r="V34" s="32" t="n">
        <f>6203882131</f>
        <v>6.203882131E9</v>
      </c>
      <c r="W34" s="32" t="n">
        <f>137763601</f>
        <v>1.37763601E8</v>
      </c>
      <c r="X34" s="36" t="n">
        <f>20</f>
        <v>20.0</v>
      </c>
    </row>
    <row r="35">
      <c r="A35" s="27" t="s">
        <v>42</v>
      </c>
      <c r="B35" s="27" t="s">
        <v>140</v>
      </c>
      <c r="C35" s="27" t="s">
        <v>141</v>
      </c>
      <c r="D35" s="27" t="s">
        <v>142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1.0</v>
      </c>
      <c r="K35" s="33" t="n">
        <f>324</f>
        <v>324.0</v>
      </c>
      <c r="L35" s="34" t="s">
        <v>48</v>
      </c>
      <c r="M35" s="33" t="n">
        <f>327</f>
        <v>327.0</v>
      </c>
      <c r="N35" s="34" t="s">
        <v>50</v>
      </c>
      <c r="O35" s="33" t="n">
        <f>293</f>
        <v>293.0</v>
      </c>
      <c r="P35" s="34" t="s">
        <v>49</v>
      </c>
      <c r="Q35" s="33" t="n">
        <f>301</f>
        <v>301.0</v>
      </c>
      <c r="R35" s="34" t="s">
        <v>51</v>
      </c>
      <c r="S35" s="35" t="n">
        <f>306.8</f>
        <v>306.8</v>
      </c>
      <c r="T35" s="32" t="n">
        <f>3117744</f>
        <v>3117744.0</v>
      </c>
      <c r="U35" s="32" t="n">
        <f>1748</f>
        <v>1748.0</v>
      </c>
      <c r="V35" s="32" t="n">
        <f>944964483</f>
        <v>9.44964483E8</v>
      </c>
      <c r="W35" s="32" t="n">
        <f>530196</f>
        <v>530196.0</v>
      </c>
      <c r="X35" s="36" t="n">
        <f>20</f>
        <v>20.0</v>
      </c>
    </row>
    <row r="36">
      <c r="A36" s="27" t="s">
        <v>42</v>
      </c>
      <c r="B36" s="27" t="s">
        <v>143</v>
      </c>
      <c r="C36" s="27" t="s">
        <v>144</v>
      </c>
      <c r="D36" s="27" t="s">
        <v>145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42440</f>
        <v>42440.0</v>
      </c>
      <c r="L36" s="34" t="s">
        <v>48</v>
      </c>
      <c r="M36" s="33" t="n">
        <f>45940</f>
        <v>45940.0</v>
      </c>
      <c r="N36" s="34" t="s">
        <v>74</v>
      </c>
      <c r="O36" s="33" t="n">
        <f>41980</f>
        <v>41980.0</v>
      </c>
      <c r="P36" s="34" t="s">
        <v>48</v>
      </c>
      <c r="Q36" s="33" t="n">
        <f>45400</f>
        <v>45400.0</v>
      </c>
      <c r="R36" s="34" t="s">
        <v>51</v>
      </c>
      <c r="S36" s="35" t="n">
        <f>44379.5</f>
        <v>44379.5</v>
      </c>
      <c r="T36" s="32" t="n">
        <f>162202</f>
        <v>162202.0</v>
      </c>
      <c r="U36" s="32" t="n">
        <f>61141</f>
        <v>61141.0</v>
      </c>
      <c r="V36" s="32" t="n">
        <f>7165484829</f>
        <v>7.165484829E9</v>
      </c>
      <c r="W36" s="32" t="n">
        <f>2671931479</f>
        <v>2.671931479E9</v>
      </c>
      <c r="X36" s="36" t="n">
        <f>20</f>
        <v>20.0</v>
      </c>
    </row>
    <row r="37">
      <c r="A37" s="27" t="s">
        <v>42</v>
      </c>
      <c r="B37" s="27" t="s">
        <v>146</v>
      </c>
      <c r="C37" s="27" t="s">
        <v>147</v>
      </c>
      <c r="D37" s="27" t="s">
        <v>148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42760</f>
        <v>42760.0</v>
      </c>
      <c r="L37" s="34" t="s">
        <v>48</v>
      </c>
      <c r="M37" s="33" t="n">
        <f>46320</f>
        <v>46320.0</v>
      </c>
      <c r="N37" s="34" t="s">
        <v>74</v>
      </c>
      <c r="O37" s="33" t="n">
        <f>42320</f>
        <v>42320.0</v>
      </c>
      <c r="P37" s="34" t="s">
        <v>48</v>
      </c>
      <c r="Q37" s="33" t="n">
        <f>45750</f>
        <v>45750.0</v>
      </c>
      <c r="R37" s="34" t="s">
        <v>51</v>
      </c>
      <c r="S37" s="35" t="n">
        <f>44717</f>
        <v>44717.0</v>
      </c>
      <c r="T37" s="32" t="n">
        <f>103408</f>
        <v>103408.0</v>
      </c>
      <c r="U37" s="32" t="n">
        <f>62951</f>
        <v>62951.0</v>
      </c>
      <c r="V37" s="32" t="n">
        <f>4577392985</f>
        <v>4.577392985E9</v>
      </c>
      <c r="W37" s="32" t="n">
        <f>2783348055</f>
        <v>2.783348055E9</v>
      </c>
      <c r="X37" s="36" t="n">
        <f>20</f>
        <v>20.0</v>
      </c>
    </row>
    <row r="38">
      <c r="A38" s="27" t="s">
        <v>42</v>
      </c>
      <c r="B38" s="27" t="s">
        <v>149</v>
      </c>
      <c r="C38" s="27" t="s">
        <v>150</v>
      </c>
      <c r="D38" s="27" t="s">
        <v>151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10.0</v>
      </c>
      <c r="K38" s="33" t="n">
        <f>1995</f>
        <v>1995.0</v>
      </c>
      <c r="L38" s="34" t="s">
        <v>48</v>
      </c>
      <c r="M38" s="33" t="n">
        <f>2009.5</f>
        <v>2009.5</v>
      </c>
      <c r="N38" s="34" t="s">
        <v>48</v>
      </c>
      <c r="O38" s="33" t="n">
        <f>1923.5</f>
        <v>1923.5</v>
      </c>
      <c r="P38" s="34" t="s">
        <v>103</v>
      </c>
      <c r="Q38" s="33" t="n">
        <f>1971.5</f>
        <v>1971.5</v>
      </c>
      <c r="R38" s="34" t="s">
        <v>51</v>
      </c>
      <c r="S38" s="35" t="n">
        <f>1970.75</f>
        <v>1970.75</v>
      </c>
      <c r="T38" s="32" t="n">
        <f>10306170</f>
        <v>1.030617E7</v>
      </c>
      <c r="U38" s="32" t="n">
        <f>2060440</f>
        <v>2060440.0</v>
      </c>
      <c r="V38" s="32" t="n">
        <f>20319067131</f>
        <v>2.0319067131E10</v>
      </c>
      <c r="W38" s="32" t="n">
        <f>4036469506</f>
        <v>4.036469506E9</v>
      </c>
      <c r="X38" s="36" t="n">
        <f>20</f>
        <v>20.0</v>
      </c>
    </row>
    <row r="39">
      <c r="A39" s="27" t="s">
        <v>42</v>
      </c>
      <c r="B39" s="27" t="s">
        <v>152</v>
      </c>
      <c r="C39" s="27" t="s">
        <v>153</v>
      </c>
      <c r="D39" s="27" t="s">
        <v>154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1.0</v>
      </c>
      <c r="K39" s="33" t="n">
        <f>2489</f>
        <v>2489.0</v>
      </c>
      <c r="L39" s="34" t="s">
        <v>48</v>
      </c>
      <c r="M39" s="33" t="n">
        <f>2598</f>
        <v>2598.0</v>
      </c>
      <c r="N39" s="34" t="s">
        <v>155</v>
      </c>
      <c r="O39" s="33" t="n">
        <f>2486</f>
        <v>2486.0</v>
      </c>
      <c r="P39" s="34" t="s">
        <v>48</v>
      </c>
      <c r="Q39" s="33" t="n">
        <f>2536</f>
        <v>2536.0</v>
      </c>
      <c r="R39" s="34" t="s">
        <v>51</v>
      </c>
      <c r="S39" s="35" t="n">
        <f>2548.3</f>
        <v>2548.3</v>
      </c>
      <c r="T39" s="32" t="n">
        <f>15534</f>
        <v>15534.0</v>
      </c>
      <c r="U39" s="32" t="n">
        <f>80</f>
        <v>80.0</v>
      </c>
      <c r="V39" s="32" t="n">
        <f>39451963</f>
        <v>3.9451963E7</v>
      </c>
      <c r="W39" s="32" t="n">
        <f>203881</f>
        <v>203881.0</v>
      </c>
      <c r="X39" s="36" t="n">
        <f>20</f>
        <v>20.0</v>
      </c>
    </row>
    <row r="40">
      <c r="A40" s="27" t="s">
        <v>42</v>
      </c>
      <c r="B40" s="27" t="s">
        <v>156</v>
      </c>
      <c r="C40" s="27" t="s">
        <v>157</v>
      </c>
      <c r="D40" s="27" t="s">
        <v>158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1.0</v>
      </c>
      <c r="K40" s="33" t="n">
        <f>1957</f>
        <v>1957.0</v>
      </c>
      <c r="L40" s="34" t="s">
        <v>48</v>
      </c>
      <c r="M40" s="33" t="n">
        <f>1963</f>
        <v>1963.0</v>
      </c>
      <c r="N40" s="34" t="s">
        <v>50</v>
      </c>
      <c r="O40" s="33" t="n">
        <f>1937</f>
        <v>1937.0</v>
      </c>
      <c r="P40" s="34" t="s">
        <v>69</v>
      </c>
      <c r="Q40" s="33" t="n">
        <f>1955</f>
        <v>1955.0</v>
      </c>
      <c r="R40" s="34" t="s">
        <v>70</v>
      </c>
      <c r="S40" s="35" t="n">
        <f>1948.94</f>
        <v>1948.94</v>
      </c>
      <c r="T40" s="32" t="n">
        <f>534</f>
        <v>534.0</v>
      </c>
      <c r="U40" s="32" t="str">
        <f>"－"</f>
        <v>－</v>
      </c>
      <c r="V40" s="32" t="n">
        <f>1041482</f>
        <v>1041482.0</v>
      </c>
      <c r="W40" s="32" t="str">
        <f>"－"</f>
        <v>－</v>
      </c>
      <c r="X40" s="36" t="n">
        <f>17</f>
        <v>17.0</v>
      </c>
    </row>
    <row r="41">
      <c r="A41" s="27" t="s">
        <v>42</v>
      </c>
      <c r="B41" s="27" t="s">
        <v>159</v>
      </c>
      <c r="C41" s="27" t="s">
        <v>160</v>
      </c>
      <c r="D41" s="27" t="s">
        <v>161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2161</f>
        <v>2161.0</v>
      </c>
      <c r="L41" s="34" t="s">
        <v>48</v>
      </c>
      <c r="M41" s="33" t="n">
        <f>2186</f>
        <v>2186.0</v>
      </c>
      <c r="N41" s="34" t="s">
        <v>48</v>
      </c>
      <c r="O41" s="33" t="n">
        <f>1991</f>
        <v>1991.0</v>
      </c>
      <c r="P41" s="34" t="s">
        <v>74</v>
      </c>
      <c r="Q41" s="33" t="n">
        <f>2016</f>
        <v>2016.0</v>
      </c>
      <c r="R41" s="34" t="s">
        <v>51</v>
      </c>
      <c r="S41" s="35" t="n">
        <f>2066.8</f>
        <v>2066.8</v>
      </c>
      <c r="T41" s="32" t="n">
        <f>2227183</f>
        <v>2227183.0</v>
      </c>
      <c r="U41" s="32" t="n">
        <f>244071</f>
        <v>244071.0</v>
      </c>
      <c r="V41" s="32" t="n">
        <f>4592258300</f>
        <v>4.5922583E9</v>
      </c>
      <c r="W41" s="32" t="n">
        <f>504453433</f>
        <v>5.04453433E8</v>
      </c>
      <c r="X41" s="36" t="n">
        <f>20</f>
        <v>20.0</v>
      </c>
    </row>
    <row r="42">
      <c r="A42" s="27" t="s">
        <v>42</v>
      </c>
      <c r="B42" s="27" t="s">
        <v>162</v>
      </c>
      <c r="C42" s="27" t="s">
        <v>163</v>
      </c>
      <c r="D42" s="27" t="s">
        <v>164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2506</f>
        <v>2506.0</v>
      </c>
      <c r="L42" s="34" t="s">
        <v>48</v>
      </c>
      <c r="M42" s="33" t="n">
        <f>2519</f>
        <v>2519.0</v>
      </c>
      <c r="N42" s="34" t="s">
        <v>50</v>
      </c>
      <c r="O42" s="33" t="n">
        <f>2389</f>
        <v>2389.0</v>
      </c>
      <c r="P42" s="34" t="s">
        <v>49</v>
      </c>
      <c r="Q42" s="33" t="n">
        <f>2417</f>
        <v>2417.0</v>
      </c>
      <c r="R42" s="34" t="s">
        <v>51</v>
      </c>
      <c r="S42" s="35" t="n">
        <f>2441.25</f>
        <v>2441.25</v>
      </c>
      <c r="T42" s="32" t="n">
        <f>1369113</f>
        <v>1369113.0</v>
      </c>
      <c r="U42" s="32" t="n">
        <f>990241</f>
        <v>990241.0</v>
      </c>
      <c r="V42" s="32" t="n">
        <f>3314988010</f>
        <v>3.31498801E9</v>
      </c>
      <c r="W42" s="32" t="n">
        <f>2387977410</f>
        <v>2.38797741E9</v>
      </c>
      <c r="X42" s="36" t="n">
        <f>20</f>
        <v>20.0</v>
      </c>
    </row>
    <row r="43">
      <c r="A43" s="27" t="s">
        <v>42</v>
      </c>
      <c r="B43" s="27" t="s">
        <v>165</v>
      </c>
      <c r="C43" s="27" t="s">
        <v>166</v>
      </c>
      <c r="D43" s="27" t="s">
        <v>167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36220</f>
        <v>36220.0</v>
      </c>
      <c r="L43" s="34" t="s">
        <v>48</v>
      </c>
      <c r="M43" s="33" t="n">
        <f>42690</f>
        <v>42690.0</v>
      </c>
      <c r="N43" s="34" t="s">
        <v>74</v>
      </c>
      <c r="O43" s="33" t="n">
        <f>35520</f>
        <v>35520.0</v>
      </c>
      <c r="P43" s="34" t="s">
        <v>48</v>
      </c>
      <c r="Q43" s="33" t="n">
        <f>41480</f>
        <v>41480.0</v>
      </c>
      <c r="R43" s="34" t="s">
        <v>51</v>
      </c>
      <c r="S43" s="35" t="n">
        <f>39750</f>
        <v>39750.0</v>
      </c>
      <c r="T43" s="32" t="n">
        <f>5669915</f>
        <v>5669915.0</v>
      </c>
      <c r="U43" s="32" t="n">
        <f>6934</f>
        <v>6934.0</v>
      </c>
      <c r="V43" s="32" t="n">
        <f>224808170939</f>
        <v>2.24808170939E11</v>
      </c>
      <c r="W43" s="32" t="n">
        <f>269884789</f>
        <v>2.69884789E8</v>
      </c>
      <c r="X43" s="36" t="n">
        <f>20</f>
        <v>20.0</v>
      </c>
    </row>
    <row r="44">
      <c r="A44" s="27" t="s">
        <v>42</v>
      </c>
      <c r="B44" s="27" t="s">
        <v>168</v>
      </c>
      <c r="C44" s="27" t="s">
        <v>169</v>
      </c>
      <c r="D44" s="27" t="s">
        <v>170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354</f>
        <v>354.0</v>
      </c>
      <c r="L44" s="34" t="s">
        <v>48</v>
      </c>
      <c r="M44" s="33" t="n">
        <f>363</f>
        <v>363.0</v>
      </c>
      <c r="N44" s="34" t="s">
        <v>48</v>
      </c>
      <c r="O44" s="33" t="n">
        <f>301</f>
        <v>301.0</v>
      </c>
      <c r="P44" s="34" t="s">
        <v>74</v>
      </c>
      <c r="Q44" s="33" t="n">
        <f>309</f>
        <v>309.0</v>
      </c>
      <c r="R44" s="34" t="s">
        <v>51</v>
      </c>
      <c r="S44" s="35" t="n">
        <f>324.55</f>
        <v>324.55</v>
      </c>
      <c r="T44" s="32" t="n">
        <f>249354491</f>
        <v>2.49354491E8</v>
      </c>
      <c r="U44" s="32" t="n">
        <f>3779638</f>
        <v>3779638.0</v>
      </c>
      <c r="V44" s="32" t="n">
        <f>81324661224</f>
        <v>8.1324661224E10</v>
      </c>
      <c r="W44" s="32" t="n">
        <f>1217877622</f>
        <v>1.217877622E9</v>
      </c>
      <c r="X44" s="36" t="n">
        <f>20</f>
        <v>20.0</v>
      </c>
    </row>
    <row r="45">
      <c r="A45" s="27" t="s">
        <v>42</v>
      </c>
      <c r="B45" s="27" t="s">
        <v>171</v>
      </c>
      <c r="C45" s="27" t="s">
        <v>172</v>
      </c>
      <c r="D45" s="27" t="s">
        <v>173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420</f>
        <v>420.0</v>
      </c>
      <c r="L45" s="34" t="s">
        <v>48</v>
      </c>
      <c r="M45" s="33" t="n">
        <f>425</f>
        <v>425.0</v>
      </c>
      <c r="N45" s="34" t="s">
        <v>48</v>
      </c>
      <c r="O45" s="33" t="n">
        <f>384</f>
        <v>384.0</v>
      </c>
      <c r="P45" s="34" t="s">
        <v>49</v>
      </c>
      <c r="Q45" s="33" t="n">
        <f>393</f>
        <v>393.0</v>
      </c>
      <c r="R45" s="34" t="s">
        <v>51</v>
      </c>
      <c r="S45" s="35" t="n">
        <f>399.9</f>
        <v>399.9</v>
      </c>
      <c r="T45" s="32" t="n">
        <f>209956</f>
        <v>209956.0</v>
      </c>
      <c r="U45" s="32" t="str">
        <f>"－"</f>
        <v>－</v>
      </c>
      <c r="V45" s="32" t="n">
        <f>83101189</f>
        <v>8.3101189E7</v>
      </c>
      <c r="W45" s="32" t="str">
        <f>"－"</f>
        <v>－</v>
      </c>
      <c r="X45" s="36" t="n">
        <f>20</f>
        <v>20.0</v>
      </c>
    </row>
    <row r="46">
      <c r="A46" s="27" t="s">
        <v>42</v>
      </c>
      <c r="B46" s="27" t="s">
        <v>174</v>
      </c>
      <c r="C46" s="27" t="s">
        <v>175</v>
      </c>
      <c r="D46" s="27" t="s">
        <v>176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10.0</v>
      </c>
      <c r="K46" s="33" t="n">
        <f>406.9</f>
        <v>406.9</v>
      </c>
      <c r="L46" s="34" t="s">
        <v>48</v>
      </c>
      <c r="M46" s="33" t="n">
        <f>412</f>
        <v>412.0</v>
      </c>
      <c r="N46" s="34" t="s">
        <v>48</v>
      </c>
      <c r="O46" s="33" t="n">
        <f>370</f>
        <v>370.0</v>
      </c>
      <c r="P46" s="34" t="s">
        <v>49</v>
      </c>
      <c r="Q46" s="33" t="n">
        <f>376.2</f>
        <v>376.2</v>
      </c>
      <c r="R46" s="34" t="s">
        <v>51</v>
      </c>
      <c r="S46" s="35" t="n">
        <f>387.08</f>
        <v>387.08</v>
      </c>
      <c r="T46" s="32" t="n">
        <f>200420</f>
        <v>200420.0</v>
      </c>
      <c r="U46" s="32" t="n">
        <f>4040</f>
        <v>4040.0</v>
      </c>
      <c r="V46" s="32" t="n">
        <f>76997056</f>
        <v>7.6997056E7</v>
      </c>
      <c r="W46" s="32" t="n">
        <f>1532692</f>
        <v>1532692.0</v>
      </c>
      <c r="X46" s="36" t="n">
        <f>20</f>
        <v>20.0</v>
      </c>
    </row>
    <row r="47">
      <c r="A47" s="27" t="s">
        <v>42</v>
      </c>
      <c r="B47" s="27" t="s">
        <v>177</v>
      </c>
      <c r="C47" s="27" t="s">
        <v>178</v>
      </c>
      <c r="D47" s="27" t="s">
        <v>179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1.0</v>
      </c>
      <c r="K47" s="33" t="n">
        <f>166</f>
        <v>166.0</v>
      </c>
      <c r="L47" s="34" t="s">
        <v>48</v>
      </c>
      <c r="M47" s="33" t="n">
        <f>168</f>
        <v>168.0</v>
      </c>
      <c r="N47" s="34" t="s">
        <v>48</v>
      </c>
      <c r="O47" s="33" t="n">
        <f>151</f>
        <v>151.0</v>
      </c>
      <c r="P47" s="34" t="s">
        <v>49</v>
      </c>
      <c r="Q47" s="33" t="n">
        <f>155</f>
        <v>155.0</v>
      </c>
      <c r="R47" s="34" t="s">
        <v>51</v>
      </c>
      <c r="S47" s="35" t="n">
        <f>157.8</f>
        <v>157.8</v>
      </c>
      <c r="T47" s="32" t="n">
        <f>318894</f>
        <v>318894.0</v>
      </c>
      <c r="U47" s="32" t="str">
        <f>"－"</f>
        <v>－</v>
      </c>
      <c r="V47" s="32" t="n">
        <f>49914107</f>
        <v>4.9914107E7</v>
      </c>
      <c r="W47" s="32" t="str">
        <f>"－"</f>
        <v>－</v>
      </c>
      <c r="X47" s="36" t="n">
        <f>20</f>
        <v>20.0</v>
      </c>
    </row>
    <row r="48">
      <c r="A48" s="27" t="s">
        <v>42</v>
      </c>
      <c r="B48" s="27" t="s">
        <v>180</v>
      </c>
      <c r="C48" s="27" t="s">
        <v>181</v>
      </c>
      <c r="D48" s="27" t="s">
        <v>182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10.0</v>
      </c>
      <c r="K48" s="33" t="n">
        <f>3105</f>
        <v>3105.0</v>
      </c>
      <c r="L48" s="34" t="s">
        <v>48</v>
      </c>
      <c r="M48" s="33" t="n">
        <f>3255</f>
        <v>3255.0</v>
      </c>
      <c r="N48" s="34" t="s">
        <v>49</v>
      </c>
      <c r="O48" s="33" t="n">
        <f>3097</f>
        <v>3097.0</v>
      </c>
      <c r="P48" s="34" t="s">
        <v>50</v>
      </c>
      <c r="Q48" s="33" t="n">
        <f>3209</f>
        <v>3209.0</v>
      </c>
      <c r="R48" s="34" t="s">
        <v>51</v>
      </c>
      <c r="S48" s="35" t="n">
        <f>3187.6</f>
        <v>3187.6</v>
      </c>
      <c r="T48" s="32" t="n">
        <f>4793230</f>
        <v>4793230.0</v>
      </c>
      <c r="U48" s="32" t="n">
        <f>3605310</f>
        <v>3605310.0</v>
      </c>
      <c r="V48" s="32" t="n">
        <f>15365218199</f>
        <v>1.5365218199E10</v>
      </c>
      <c r="W48" s="32" t="n">
        <f>11560951259</f>
        <v>1.1560951259E10</v>
      </c>
      <c r="X48" s="36" t="n">
        <f>20</f>
        <v>20.0</v>
      </c>
    </row>
    <row r="49">
      <c r="A49" s="27" t="s">
        <v>42</v>
      </c>
      <c r="B49" s="27" t="s">
        <v>183</v>
      </c>
      <c r="C49" s="27" t="s">
        <v>184</v>
      </c>
      <c r="D49" s="27" t="s">
        <v>185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1.0</v>
      </c>
      <c r="K49" s="33" t="n">
        <f>27695</f>
        <v>27695.0</v>
      </c>
      <c r="L49" s="34" t="s">
        <v>48</v>
      </c>
      <c r="M49" s="33" t="n">
        <f>29050</f>
        <v>29050.0</v>
      </c>
      <c r="N49" s="34" t="s">
        <v>49</v>
      </c>
      <c r="O49" s="33" t="n">
        <f>27585</f>
        <v>27585.0</v>
      </c>
      <c r="P49" s="34" t="s">
        <v>50</v>
      </c>
      <c r="Q49" s="33" t="n">
        <f>28765</f>
        <v>28765.0</v>
      </c>
      <c r="R49" s="34" t="s">
        <v>51</v>
      </c>
      <c r="S49" s="35" t="n">
        <f>28467.75</f>
        <v>28467.75</v>
      </c>
      <c r="T49" s="32" t="n">
        <f>25771</f>
        <v>25771.0</v>
      </c>
      <c r="U49" s="32" t="n">
        <f>2500</f>
        <v>2500.0</v>
      </c>
      <c r="V49" s="32" t="n">
        <f>734777350</f>
        <v>7.3477735E8</v>
      </c>
      <c r="W49" s="32" t="n">
        <f>71643000</f>
        <v>7.1643E7</v>
      </c>
      <c r="X49" s="36" t="n">
        <f>20</f>
        <v>20.0</v>
      </c>
    </row>
    <row r="50">
      <c r="A50" s="27" t="s">
        <v>42</v>
      </c>
      <c r="B50" s="27" t="s">
        <v>186</v>
      </c>
      <c r="C50" s="27" t="s">
        <v>187</v>
      </c>
      <c r="D50" s="27" t="s">
        <v>188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10.0</v>
      </c>
      <c r="K50" s="33" t="n">
        <f>313.1</f>
        <v>313.1</v>
      </c>
      <c r="L50" s="34" t="s">
        <v>48</v>
      </c>
      <c r="M50" s="33" t="n">
        <f>328</f>
        <v>328.0</v>
      </c>
      <c r="N50" s="34" t="s">
        <v>49</v>
      </c>
      <c r="O50" s="33" t="n">
        <f>311.4</f>
        <v>311.4</v>
      </c>
      <c r="P50" s="34" t="s">
        <v>50</v>
      </c>
      <c r="Q50" s="33" t="n">
        <f>324</f>
        <v>324.0</v>
      </c>
      <c r="R50" s="34" t="s">
        <v>51</v>
      </c>
      <c r="S50" s="35" t="n">
        <f>321.03</f>
        <v>321.03</v>
      </c>
      <c r="T50" s="32" t="n">
        <f>79961140</f>
        <v>7.996114E7</v>
      </c>
      <c r="U50" s="32" t="n">
        <f>31461830</f>
        <v>3.146183E7</v>
      </c>
      <c r="V50" s="32" t="n">
        <f>25619264040</f>
        <v>2.561926404E10</v>
      </c>
      <c r="W50" s="32" t="n">
        <f>10022297992</f>
        <v>1.0022297992E10</v>
      </c>
      <c r="X50" s="36" t="n">
        <f>20</f>
        <v>20.0</v>
      </c>
    </row>
    <row r="51">
      <c r="A51" s="27" t="s">
        <v>42</v>
      </c>
      <c r="B51" s="27" t="s">
        <v>189</v>
      </c>
      <c r="C51" s="27" t="s">
        <v>190</v>
      </c>
      <c r="D51" s="27" t="s">
        <v>191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1.0</v>
      </c>
      <c r="K51" s="33" t="n">
        <f>1994</f>
        <v>1994.0</v>
      </c>
      <c r="L51" s="34" t="s">
        <v>48</v>
      </c>
      <c r="M51" s="33" t="n">
        <f>2024</f>
        <v>2024.0</v>
      </c>
      <c r="N51" s="34" t="s">
        <v>99</v>
      </c>
      <c r="O51" s="33" t="n">
        <f>1950</f>
        <v>1950.0</v>
      </c>
      <c r="P51" s="34" t="s">
        <v>103</v>
      </c>
      <c r="Q51" s="33" t="n">
        <f>1995</f>
        <v>1995.0</v>
      </c>
      <c r="R51" s="34" t="s">
        <v>51</v>
      </c>
      <c r="S51" s="35" t="n">
        <f>1992.15</f>
        <v>1992.15</v>
      </c>
      <c r="T51" s="32" t="n">
        <f>10682340</f>
        <v>1.068234E7</v>
      </c>
      <c r="U51" s="32" t="n">
        <f>4499635</f>
        <v>4499635.0</v>
      </c>
      <c r="V51" s="32" t="n">
        <f>21318273417</f>
        <v>2.1318273417E10</v>
      </c>
      <c r="W51" s="32" t="n">
        <f>8983457426</f>
        <v>8.983457426E9</v>
      </c>
      <c r="X51" s="36" t="n">
        <f>20</f>
        <v>20.0</v>
      </c>
    </row>
    <row r="52">
      <c r="A52" s="27" t="s">
        <v>42</v>
      </c>
      <c r="B52" s="27" t="s">
        <v>192</v>
      </c>
      <c r="C52" s="27" t="s">
        <v>193</v>
      </c>
      <c r="D52" s="27" t="s">
        <v>194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1.0</v>
      </c>
      <c r="K52" s="33" t="n">
        <f>2771</f>
        <v>2771.0</v>
      </c>
      <c r="L52" s="34" t="s">
        <v>48</v>
      </c>
      <c r="M52" s="33" t="n">
        <f>2868</f>
        <v>2868.0</v>
      </c>
      <c r="N52" s="34" t="s">
        <v>195</v>
      </c>
      <c r="O52" s="33" t="n">
        <f>2765</f>
        <v>2765.0</v>
      </c>
      <c r="P52" s="34" t="s">
        <v>48</v>
      </c>
      <c r="Q52" s="33" t="n">
        <f>2806</f>
        <v>2806.0</v>
      </c>
      <c r="R52" s="34" t="s">
        <v>51</v>
      </c>
      <c r="S52" s="35" t="n">
        <f>2823.4</f>
        <v>2823.4</v>
      </c>
      <c r="T52" s="32" t="n">
        <f>26828</f>
        <v>26828.0</v>
      </c>
      <c r="U52" s="32" t="n">
        <f>7464</f>
        <v>7464.0</v>
      </c>
      <c r="V52" s="32" t="n">
        <f>75240226</f>
        <v>7.5240226E7</v>
      </c>
      <c r="W52" s="32" t="n">
        <f>20929209</f>
        <v>2.0929209E7</v>
      </c>
      <c r="X52" s="36" t="n">
        <f>20</f>
        <v>20.0</v>
      </c>
    </row>
    <row r="53">
      <c r="A53" s="27" t="s">
        <v>42</v>
      </c>
      <c r="B53" s="27" t="s">
        <v>196</v>
      </c>
      <c r="C53" s="27" t="s">
        <v>197</v>
      </c>
      <c r="D53" s="27" t="s">
        <v>198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1.0</v>
      </c>
      <c r="K53" s="33" t="n">
        <f>4124</f>
        <v>4124.0</v>
      </c>
      <c r="L53" s="34" t="s">
        <v>48</v>
      </c>
      <c r="M53" s="33" t="n">
        <f>4275</f>
        <v>4275.0</v>
      </c>
      <c r="N53" s="34" t="s">
        <v>199</v>
      </c>
      <c r="O53" s="33" t="n">
        <f>4097</f>
        <v>4097.0</v>
      </c>
      <c r="P53" s="34" t="s">
        <v>48</v>
      </c>
      <c r="Q53" s="33" t="n">
        <f>4182</f>
        <v>4182.0</v>
      </c>
      <c r="R53" s="34" t="s">
        <v>51</v>
      </c>
      <c r="S53" s="35" t="n">
        <f>4202.25</f>
        <v>4202.25</v>
      </c>
      <c r="T53" s="32" t="n">
        <f>1012402</f>
        <v>1012402.0</v>
      </c>
      <c r="U53" s="32" t="n">
        <f>74390</f>
        <v>74390.0</v>
      </c>
      <c r="V53" s="32" t="n">
        <f>4265150991</f>
        <v>4.265150991E9</v>
      </c>
      <c r="W53" s="32" t="n">
        <f>312707237</f>
        <v>3.12707237E8</v>
      </c>
      <c r="X53" s="36" t="n">
        <f>20</f>
        <v>20.0</v>
      </c>
    </row>
    <row r="54">
      <c r="A54" s="27" t="s">
        <v>42</v>
      </c>
      <c r="B54" s="27" t="s">
        <v>200</v>
      </c>
      <c r="C54" s="27" t="s">
        <v>201</v>
      </c>
      <c r="D54" s="27" t="s">
        <v>202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1.0</v>
      </c>
      <c r="K54" s="33" t="n">
        <f>38100</f>
        <v>38100.0</v>
      </c>
      <c r="L54" s="34" t="s">
        <v>48</v>
      </c>
      <c r="M54" s="33" t="n">
        <f>40470</f>
        <v>40470.0</v>
      </c>
      <c r="N54" s="34" t="s">
        <v>195</v>
      </c>
      <c r="O54" s="33" t="n">
        <f>37400</f>
        <v>37400.0</v>
      </c>
      <c r="P54" s="34" t="s">
        <v>203</v>
      </c>
      <c r="Q54" s="33" t="n">
        <f>39390</f>
        <v>39390.0</v>
      </c>
      <c r="R54" s="34" t="s">
        <v>51</v>
      </c>
      <c r="S54" s="35" t="n">
        <f>39335.45</f>
        <v>39335.45</v>
      </c>
      <c r="T54" s="32" t="n">
        <f>111</f>
        <v>111.0</v>
      </c>
      <c r="U54" s="32" t="str">
        <f>"－"</f>
        <v>－</v>
      </c>
      <c r="V54" s="32" t="n">
        <f>4391210</f>
        <v>4391210.0</v>
      </c>
      <c r="W54" s="32" t="str">
        <f>"－"</f>
        <v>－</v>
      </c>
      <c r="X54" s="36" t="n">
        <f>11</f>
        <v>11.0</v>
      </c>
    </row>
    <row r="55">
      <c r="A55" s="27" t="s">
        <v>42</v>
      </c>
      <c r="B55" s="27" t="s">
        <v>204</v>
      </c>
      <c r="C55" s="27" t="s">
        <v>205</v>
      </c>
      <c r="D55" s="27" t="s">
        <v>206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30200</f>
        <v>30200.0</v>
      </c>
      <c r="L55" s="34" t="s">
        <v>207</v>
      </c>
      <c r="M55" s="33" t="n">
        <f>37730</f>
        <v>37730.0</v>
      </c>
      <c r="N55" s="34" t="s">
        <v>70</v>
      </c>
      <c r="O55" s="33" t="n">
        <f>29000</f>
        <v>29000.0</v>
      </c>
      <c r="P55" s="34" t="s">
        <v>50</v>
      </c>
      <c r="Q55" s="33" t="n">
        <f>30320</f>
        <v>30320.0</v>
      </c>
      <c r="R55" s="34" t="s">
        <v>51</v>
      </c>
      <c r="S55" s="35" t="n">
        <f>30314</f>
        <v>30314.0</v>
      </c>
      <c r="T55" s="32" t="n">
        <f>284</f>
        <v>284.0</v>
      </c>
      <c r="U55" s="32" t="str">
        <f>"－"</f>
        <v>－</v>
      </c>
      <c r="V55" s="32" t="n">
        <f>8621470</f>
        <v>8621470.0</v>
      </c>
      <c r="W55" s="32" t="str">
        <f>"－"</f>
        <v>－</v>
      </c>
      <c r="X55" s="36" t="n">
        <f>10</f>
        <v>10.0</v>
      </c>
    </row>
    <row r="56">
      <c r="A56" s="27" t="s">
        <v>42</v>
      </c>
      <c r="B56" s="27" t="s">
        <v>208</v>
      </c>
      <c r="C56" s="27" t="s">
        <v>209</v>
      </c>
      <c r="D56" s="27" t="s">
        <v>210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3046</f>
        <v>3046.0</v>
      </c>
      <c r="L56" s="34" t="s">
        <v>48</v>
      </c>
      <c r="M56" s="33" t="n">
        <f>3160</f>
        <v>3160.0</v>
      </c>
      <c r="N56" s="34" t="s">
        <v>199</v>
      </c>
      <c r="O56" s="33" t="n">
        <f>3046</f>
        <v>3046.0</v>
      </c>
      <c r="P56" s="34" t="s">
        <v>48</v>
      </c>
      <c r="Q56" s="33" t="n">
        <f>3087</f>
        <v>3087.0</v>
      </c>
      <c r="R56" s="34" t="s">
        <v>51</v>
      </c>
      <c r="S56" s="35" t="n">
        <f>3112.11</f>
        <v>3112.11</v>
      </c>
      <c r="T56" s="32" t="n">
        <f>353</f>
        <v>353.0</v>
      </c>
      <c r="U56" s="32" t="n">
        <f>5</f>
        <v>5.0</v>
      </c>
      <c r="V56" s="32" t="n">
        <f>1094736</f>
        <v>1094736.0</v>
      </c>
      <c r="W56" s="32" t="n">
        <f>15535</f>
        <v>15535.0</v>
      </c>
      <c r="X56" s="36" t="n">
        <f>18</f>
        <v>18.0</v>
      </c>
    </row>
    <row r="57">
      <c r="A57" s="27" t="s">
        <v>42</v>
      </c>
      <c r="B57" s="27" t="s">
        <v>211</v>
      </c>
      <c r="C57" s="27" t="s">
        <v>212</v>
      </c>
      <c r="D57" s="27" t="s">
        <v>213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1652</f>
        <v>1652.0</v>
      </c>
      <c r="L57" s="34" t="s">
        <v>48</v>
      </c>
      <c r="M57" s="33" t="n">
        <f>1672</f>
        <v>1672.0</v>
      </c>
      <c r="N57" s="34" t="s">
        <v>214</v>
      </c>
      <c r="O57" s="33" t="n">
        <f>1641</f>
        <v>1641.0</v>
      </c>
      <c r="P57" s="34" t="s">
        <v>50</v>
      </c>
      <c r="Q57" s="33" t="n">
        <f>1658</f>
        <v>1658.0</v>
      </c>
      <c r="R57" s="34" t="s">
        <v>51</v>
      </c>
      <c r="S57" s="35" t="n">
        <f>1659.5</f>
        <v>1659.5</v>
      </c>
      <c r="T57" s="32" t="n">
        <f>5609671</f>
        <v>5609671.0</v>
      </c>
      <c r="U57" s="32" t="n">
        <f>4056308</f>
        <v>4056308.0</v>
      </c>
      <c r="V57" s="32" t="n">
        <f>9310332187</f>
        <v>9.310332187E9</v>
      </c>
      <c r="W57" s="32" t="n">
        <f>6729350208</f>
        <v>6.729350208E9</v>
      </c>
      <c r="X57" s="36" t="n">
        <f>20</f>
        <v>20.0</v>
      </c>
    </row>
    <row r="58">
      <c r="A58" s="27" t="s">
        <v>42</v>
      </c>
      <c r="B58" s="27" t="s">
        <v>215</v>
      </c>
      <c r="C58" s="27" t="s">
        <v>216</v>
      </c>
      <c r="D58" s="27" t="s">
        <v>217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3058</f>
        <v>3058.0</v>
      </c>
      <c r="L58" s="34" t="s">
        <v>207</v>
      </c>
      <c r="M58" s="33" t="n">
        <f>3122</f>
        <v>3122.0</v>
      </c>
      <c r="N58" s="34" t="s">
        <v>203</v>
      </c>
      <c r="O58" s="33" t="n">
        <f>3046</f>
        <v>3046.0</v>
      </c>
      <c r="P58" s="34" t="s">
        <v>50</v>
      </c>
      <c r="Q58" s="33" t="n">
        <f>3047</f>
        <v>3047.0</v>
      </c>
      <c r="R58" s="34" t="s">
        <v>51</v>
      </c>
      <c r="S58" s="35" t="n">
        <f>3087.27</f>
        <v>3087.27</v>
      </c>
      <c r="T58" s="32" t="n">
        <f>284</f>
        <v>284.0</v>
      </c>
      <c r="U58" s="32" t="str">
        <f>"－"</f>
        <v>－</v>
      </c>
      <c r="V58" s="32" t="n">
        <f>882803</f>
        <v>882803.0</v>
      </c>
      <c r="W58" s="32" t="str">
        <f>"－"</f>
        <v>－</v>
      </c>
      <c r="X58" s="36" t="n">
        <f>15</f>
        <v>15.0</v>
      </c>
    </row>
    <row r="59">
      <c r="A59" s="27" t="s">
        <v>42</v>
      </c>
      <c r="B59" s="27" t="s">
        <v>218</v>
      </c>
      <c r="C59" s="27" t="s">
        <v>219</v>
      </c>
      <c r="D59" s="27" t="s">
        <v>220</v>
      </c>
      <c r="E59" s="28" t="s">
        <v>46</v>
      </c>
      <c r="F59" s="29" t="s">
        <v>46</v>
      </c>
      <c r="G59" s="30" t="s">
        <v>46</v>
      </c>
      <c r="H59" s="31"/>
      <c r="I59" s="31" t="s">
        <v>47</v>
      </c>
      <c r="J59" s="32" t="n">
        <v>10.0</v>
      </c>
      <c r="K59" s="33" t="n">
        <f>3026</f>
        <v>3026.0</v>
      </c>
      <c r="L59" s="34" t="s">
        <v>48</v>
      </c>
      <c r="M59" s="33" t="n">
        <f>3114</f>
        <v>3114.0</v>
      </c>
      <c r="N59" s="34" t="s">
        <v>203</v>
      </c>
      <c r="O59" s="33" t="n">
        <f>3023</f>
        <v>3023.0</v>
      </c>
      <c r="P59" s="34" t="s">
        <v>50</v>
      </c>
      <c r="Q59" s="33" t="n">
        <f>3050</f>
        <v>3050.0</v>
      </c>
      <c r="R59" s="34" t="s">
        <v>51</v>
      </c>
      <c r="S59" s="35" t="n">
        <f>3073.65</f>
        <v>3073.65</v>
      </c>
      <c r="T59" s="32" t="n">
        <f>3030</f>
        <v>3030.0</v>
      </c>
      <c r="U59" s="32" t="str">
        <f>"－"</f>
        <v>－</v>
      </c>
      <c r="V59" s="32" t="n">
        <f>9302260</f>
        <v>9302260.0</v>
      </c>
      <c r="W59" s="32" t="str">
        <f>"－"</f>
        <v>－</v>
      </c>
      <c r="X59" s="36" t="n">
        <f>20</f>
        <v>20.0</v>
      </c>
    </row>
    <row r="60">
      <c r="A60" s="27" t="s">
        <v>42</v>
      </c>
      <c r="B60" s="27" t="s">
        <v>221</v>
      </c>
      <c r="C60" s="27" t="s">
        <v>222</v>
      </c>
      <c r="D60" s="27" t="s">
        <v>223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1.0</v>
      </c>
      <c r="K60" s="33" t="n">
        <f>46160</f>
        <v>46160.0</v>
      </c>
      <c r="L60" s="34" t="s">
        <v>48</v>
      </c>
      <c r="M60" s="33" t="n">
        <f>46160</f>
        <v>46160.0</v>
      </c>
      <c r="N60" s="34" t="s">
        <v>48</v>
      </c>
      <c r="O60" s="33" t="n">
        <f>42480</f>
        <v>42480.0</v>
      </c>
      <c r="P60" s="34" t="s">
        <v>155</v>
      </c>
      <c r="Q60" s="33" t="n">
        <f>44220</f>
        <v>44220.0</v>
      </c>
      <c r="R60" s="34" t="s">
        <v>155</v>
      </c>
      <c r="S60" s="35" t="n">
        <f>43396.67</f>
        <v>43396.67</v>
      </c>
      <c r="T60" s="32" t="n">
        <f>12</f>
        <v>12.0</v>
      </c>
      <c r="U60" s="32" t="str">
        <f>"－"</f>
        <v>－</v>
      </c>
      <c r="V60" s="32" t="n">
        <f>524940</f>
        <v>524940.0</v>
      </c>
      <c r="W60" s="32" t="str">
        <f>"－"</f>
        <v>－</v>
      </c>
      <c r="X60" s="36" t="n">
        <f>3</f>
        <v>3.0</v>
      </c>
    </row>
    <row r="61">
      <c r="A61" s="27" t="s">
        <v>42</v>
      </c>
      <c r="B61" s="27" t="s">
        <v>224</v>
      </c>
      <c r="C61" s="27" t="s">
        <v>225</v>
      </c>
      <c r="D61" s="27" t="s">
        <v>226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1.0</v>
      </c>
      <c r="K61" s="33" t="n">
        <f>22950</f>
        <v>22950.0</v>
      </c>
      <c r="L61" s="34" t="s">
        <v>48</v>
      </c>
      <c r="M61" s="33" t="n">
        <f>23505</f>
        <v>23505.0</v>
      </c>
      <c r="N61" s="34" t="s">
        <v>49</v>
      </c>
      <c r="O61" s="33" t="n">
        <f>22870</f>
        <v>22870.0</v>
      </c>
      <c r="P61" s="34" t="s">
        <v>48</v>
      </c>
      <c r="Q61" s="33" t="n">
        <f>23290</f>
        <v>23290.0</v>
      </c>
      <c r="R61" s="34" t="s">
        <v>51</v>
      </c>
      <c r="S61" s="35" t="n">
        <f>23247.75</f>
        <v>23247.75</v>
      </c>
      <c r="T61" s="32" t="n">
        <f>198713</f>
        <v>198713.0</v>
      </c>
      <c r="U61" s="32" t="n">
        <f>183367</f>
        <v>183367.0</v>
      </c>
      <c r="V61" s="32" t="n">
        <f>4633330429</f>
        <v>4.633330429E9</v>
      </c>
      <c r="W61" s="32" t="n">
        <f>4276093569</f>
        <v>4.276093569E9</v>
      </c>
      <c r="X61" s="36" t="n">
        <f>20</f>
        <v>20.0</v>
      </c>
    </row>
    <row r="62">
      <c r="A62" s="27" t="s">
        <v>42</v>
      </c>
      <c r="B62" s="27" t="s">
        <v>227</v>
      </c>
      <c r="C62" s="27" t="s">
        <v>228</v>
      </c>
      <c r="D62" s="27" t="s">
        <v>229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1.0</v>
      </c>
      <c r="K62" s="33" t="n">
        <f>12645</f>
        <v>12645.0</v>
      </c>
      <c r="L62" s="34" t="s">
        <v>48</v>
      </c>
      <c r="M62" s="33" t="n">
        <f>12830</f>
        <v>12830.0</v>
      </c>
      <c r="N62" s="34" t="s">
        <v>99</v>
      </c>
      <c r="O62" s="33" t="n">
        <f>12600</f>
        <v>12600.0</v>
      </c>
      <c r="P62" s="34" t="s">
        <v>50</v>
      </c>
      <c r="Q62" s="33" t="n">
        <f>12715</f>
        <v>12715.0</v>
      </c>
      <c r="R62" s="34" t="s">
        <v>51</v>
      </c>
      <c r="S62" s="35" t="n">
        <f>12729</f>
        <v>12729.0</v>
      </c>
      <c r="T62" s="32" t="n">
        <f>1007169</f>
        <v>1007169.0</v>
      </c>
      <c r="U62" s="32" t="n">
        <f>990615</f>
        <v>990615.0</v>
      </c>
      <c r="V62" s="32" t="n">
        <f>12794611808</f>
        <v>1.2794611808E10</v>
      </c>
      <c r="W62" s="32" t="n">
        <f>12584053118</f>
        <v>1.2584053118E10</v>
      </c>
      <c r="X62" s="36" t="n">
        <f>20</f>
        <v>20.0</v>
      </c>
    </row>
    <row r="63">
      <c r="A63" s="27" t="s">
        <v>42</v>
      </c>
      <c r="B63" s="27" t="s">
        <v>230</v>
      </c>
      <c r="C63" s="27" t="s">
        <v>231</v>
      </c>
      <c r="D63" s="27" t="s">
        <v>232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1.0</v>
      </c>
      <c r="K63" s="33" t="n">
        <f>2009</f>
        <v>2009.0</v>
      </c>
      <c r="L63" s="34" t="s">
        <v>48</v>
      </c>
      <c r="M63" s="33" t="n">
        <f>2025</f>
        <v>2025.0</v>
      </c>
      <c r="N63" s="34" t="s">
        <v>48</v>
      </c>
      <c r="O63" s="33" t="n">
        <f>1938</f>
        <v>1938.0</v>
      </c>
      <c r="P63" s="34" t="s">
        <v>103</v>
      </c>
      <c r="Q63" s="33" t="n">
        <f>1988</f>
        <v>1988.0</v>
      </c>
      <c r="R63" s="34" t="s">
        <v>51</v>
      </c>
      <c r="S63" s="35" t="n">
        <f>1983.8</f>
        <v>1983.8</v>
      </c>
      <c r="T63" s="32" t="n">
        <f>9124562</f>
        <v>9124562.0</v>
      </c>
      <c r="U63" s="32" t="n">
        <f>1518150</f>
        <v>1518150.0</v>
      </c>
      <c r="V63" s="32" t="n">
        <f>18104905444</f>
        <v>1.8104905444E10</v>
      </c>
      <c r="W63" s="32" t="n">
        <f>3001520595</f>
        <v>3.001520595E9</v>
      </c>
      <c r="X63" s="36" t="n">
        <f>20</f>
        <v>20.0</v>
      </c>
    </row>
    <row r="64">
      <c r="A64" s="27" t="s">
        <v>42</v>
      </c>
      <c r="B64" s="27" t="s">
        <v>233</v>
      </c>
      <c r="C64" s="27" t="s">
        <v>234</v>
      </c>
      <c r="D64" s="27" t="s">
        <v>235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1.0</v>
      </c>
      <c r="K64" s="33" t="n">
        <f>2514</f>
        <v>2514.0</v>
      </c>
      <c r="L64" s="34" t="s">
        <v>48</v>
      </c>
      <c r="M64" s="33" t="n">
        <f>2627</f>
        <v>2627.0</v>
      </c>
      <c r="N64" s="34" t="s">
        <v>199</v>
      </c>
      <c r="O64" s="33" t="n">
        <f>2509</f>
        <v>2509.0</v>
      </c>
      <c r="P64" s="34" t="s">
        <v>48</v>
      </c>
      <c r="Q64" s="33" t="n">
        <f>2586</f>
        <v>2586.0</v>
      </c>
      <c r="R64" s="34" t="s">
        <v>51</v>
      </c>
      <c r="S64" s="35" t="n">
        <f>2582.75</f>
        <v>2582.75</v>
      </c>
      <c r="T64" s="32" t="n">
        <f>9617482</f>
        <v>9617482.0</v>
      </c>
      <c r="U64" s="32" t="n">
        <f>1225023</f>
        <v>1225023.0</v>
      </c>
      <c r="V64" s="32" t="n">
        <f>24840299180</f>
        <v>2.484029918E10</v>
      </c>
      <c r="W64" s="32" t="n">
        <f>3149547255</f>
        <v>3.149547255E9</v>
      </c>
      <c r="X64" s="36" t="n">
        <f>20</f>
        <v>20.0</v>
      </c>
    </row>
    <row r="65">
      <c r="A65" s="27" t="s">
        <v>42</v>
      </c>
      <c r="B65" s="27" t="s">
        <v>236</v>
      </c>
      <c r="C65" s="27" t="s">
        <v>237</v>
      </c>
      <c r="D65" s="27" t="s">
        <v>238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1.0</v>
      </c>
      <c r="K65" s="33" t="n">
        <f>8050</f>
        <v>8050.0</v>
      </c>
      <c r="L65" s="34" t="s">
        <v>99</v>
      </c>
      <c r="M65" s="33" t="n">
        <f>8870</f>
        <v>8870.0</v>
      </c>
      <c r="N65" s="34" t="s">
        <v>70</v>
      </c>
      <c r="O65" s="33" t="n">
        <f>7370</f>
        <v>7370.0</v>
      </c>
      <c r="P65" s="34" t="s">
        <v>49</v>
      </c>
      <c r="Q65" s="33" t="n">
        <f>8800</f>
        <v>8800.0</v>
      </c>
      <c r="R65" s="34" t="s">
        <v>51</v>
      </c>
      <c r="S65" s="35" t="n">
        <f>8129.57</f>
        <v>8129.57</v>
      </c>
      <c r="T65" s="32" t="n">
        <f>197</f>
        <v>197.0</v>
      </c>
      <c r="U65" s="32" t="n">
        <f>1</f>
        <v>1.0</v>
      </c>
      <c r="V65" s="32" t="n">
        <f>1647504</f>
        <v>1647504.0</v>
      </c>
      <c r="W65" s="32" t="n">
        <f>8800</f>
        <v>8800.0</v>
      </c>
      <c r="X65" s="36" t="n">
        <f>7</f>
        <v>7.0</v>
      </c>
    </row>
    <row r="66">
      <c r="A66" s="27" t="s">
        <v>42</v>
      </c>
      <c r="B66" s="27" t="s">
        <v>239</v>
      </c>
      <c r="C66" s="27" t="s">
        <v>240</v>
      </c>
      <c r="D66" s="27" t="s">
        <v>241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1.0</v>
      </c>
      <c r="K66" s="33" t="n">
        <f>21155</f>
        <v>21155.0</v>
      </c>
      <c r="L66" s="34" t="s">
        <v>48</v>
      </c>
      <c r="M66" s="33" t="n">
        <f>21870</f>
        <v>21870.0</v>
      </c>
      <c r="N66" s="34" t="s">
        <v>74</v>
      </c>
      <c r="O66" s="33" t="n">
        <f>20940</f>
        <v>20940.0</v>
      </c>
      <c r="P66" s="34" t="s">
        <v>50</v>
      </c>
      <c r="Q66" s="33" t="n">
        <f>21605</f>
        <v>21605.0</v>
      </c>
      <c r="R66" s="34" t="s">
        <v>51</v>
      </c>
      <c r="S66" s="35" t="n">
        <f>21437.25</f>
        <v>21437.25</v>
      </c>
      <c r="T66" s="32" t="n">
        <f>3912</f>
        <v>3912.0</v>
      </c>
      <c r="U66" s="32" t="str">
        <f>"－"</f>
        <v>－</v>
      </c>
      <c r="V66" s="32" t="n">
        <f>83566900</f>
        <v>8.35669E7</v>
      </c>
      <c r="W66" s="32" t="str">
        <f>"－"</f>
        <v>－</v>
      </c>
      <c r="X66" s="36" t="n">
        <f>20</f>
        <v>20.0</v>
      </c>
    </row>
    <row r="67">
      <c r="A67" s="27" t="s">
        <v>42</v>
      </c>
      <c r="B67" s="27" t="s">
        <v>242</v>
      </c>
      <c r="C67" s="27" t="s">
        <v>243</v>
      </c>
      <c r="D67" s="27" t="s">
        <v>244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35490</f>
        <v>35490.0</v>
      </c>
      <c r="L67" s="34" t="s">
        <v>48</v>
      </c>
      <c r="M67" s="33" t="n">
        <f>36820</f>
        <v>36820.0</v>
      </c>
      <c r="N67" s="34" t="s">
        <v>214</v>
      </c>
      <c r="O67" s="33" t="n">
        <f>35380</f>
        <v>35380.0</v>
      </c>
      <c r="P67" s="34" t="s">
        <v>48</v>
      </c>
      <c r="Q67" s="33" t="n">
        <f>36340</f>
        <v>36340.0</v>
      </c>
      <c r="R67" s="34" t="s">
        <v>51</v>
      </c>
      <c r="S67" s="35" t="n">
        <f>36203</f>
        <v>36203.0</v>
      </c>
      <c r="T67" s="32" t="n">
        <f>83676</f>
        <v>83676.0</v>
      </c>
      <c r="U67" s="32" t="n">
        <f>27065</f>
        <v>27065.0</v>
      </c>
      <c r="V67" s="32" t="n">
        <f>3037009340</f>
        <v>3.03700934E9</v>
      </c>
      <c r="W67" s="32" t="n">
        <f>981379420</f>
        <v>9.8137942E8</v>
      </c>
      <c r="X67" s="36" t="n">
        <f>20</f>
        <v>20.0</v>
      </c>
    </row>
    <row r="68">
      <c r="A68" s="27" t="s">
        <v>42</v>
      </c>
      <c r="B68" s="27" t="s">
        <v>245</v>
      </c>
      <c r="C68" s="27" t="s">
        <v>246</v>
      </c>
      <c r="D68" s="27" t="s">
        <v>247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1.0</v>
      </c>
      <c r="K68" s="33" t="n">
        <f>10810</f>
        <v>10810.0</v>
      </c>
      <c r="L68" s="34" t="s">
        <v>48</v>
      </c>
      <c r="M68" s="33" t="n">
        <f>11300</f>
        <v>11300.0</v>
      </c>
      <c r="N68" s="34" t="s">
        <v>74</v>
      </c>
      <c r="O68" s="33" t="n">
        <f>10750</f>
        <v>10750.0</v>
      </c>
      <c r="P68" s="34" t="s">
        <v>48</v>
      </c>
      <c r="Q68" s="33" t="n">
        <f>11000</f>
        <v>11000.0</v>
      </c>
      <c r="R68" s="34" t="s">
        <v>51</v>
      </c>
      <c r="S68" s="35" t="n">
        <f>11060</f>
        <v>11060.0</v>
      </c>
      <c r="T68" s="32" t="n">
        <f>5117</f>
        <v>5117.0</v>
      </c>
      <c r="U68" s="32" t="n">
        <f>9</f>
        <v>9.0</v>
      </c>
      <c r="V68" s="32" t="n">
        <f>56471485</f>
        <v>5.6471485E7</v>
      </c>
      <c r="W68" s="32" t="n">
        <f>97700</f>
        <v>97700.0</v>
      </c>
      <c r="X68" s="36" t="n">
        <f>20</f>
        <v>20.0</v>
      </c>
    </row>
    <row r="69">
      <c r="A69" s="27" t="s">
        <v>42</v>
      </c>
      <c r="B69" s="27" t="s">
        <v>248</v>
      </c>
      <c r="C69" s="27" t="s">
        <v>249</v>
      </c>
      <c r="D69" s="27" t="s">
        <v>250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1.0</v>
      </c>
      <c r="K69" s="33" t="n">
        <f>1748</f>
        <v>1748.0</v>
      </c>
      <c r="L69" s="34" t="s">
        <v>48</v>
      </c>
      <c r="M69" s="33" t="n">
        <f>1794</f>
        <v>1794.0</v>
      </c>
      <c r="N69" s="34" t="s">
        <v>203</v>
      </c>
      <c r="O69" s="33" t="n">
        <f>1739</f>
        <v>1739.0</v>
      </c>
      <c r="P69" s="34" t="s">
        <v>50</v>
      </c>
      <c r="Q69" s="33" t="n">
        <f>1775</f>
        <v>1775.0</v>
      </c>
      <c r="R69" s="34" t="s">
        <v>51</v>
      </c>
      <c r="S69" s="35" t="n">
        <f>1771</f>
        <v>1771.0</v>
      </c>
      <c r="T69" s="32" t="n">
        <f>873285</f>
        <v>873285.0</v>
      </c>
      <c r="U69" s="32" t="n">
        <f>639585</f>
        <v>639585.0</v>
      </c>
      <c r="V69" s="32" t="n">
        <f>1549130234</f>
        <v>1.549130234E9</v>
      </c>
      <c r="W69" s="32" t="n">
        <f>1134381001</f>
        <v>1.134381001E9</v>
      </c>
      <c r="X69" s="36" t="n">
        <f>20</f>
        <v>20.0</v>
      </c>
    </row>
    <row r="70">
      <c r="A70" s="27" t="s">
        <v>42</v>
      </c>
      <c r="B70" s="27" t="s">
        <v>251</v>
      </c>
      <c r="C70" s="27" t="s">
        <v>252</v>
      </c>
      <c r="D70" s="27" t="s">
        <v>253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1.0</v>
      </c>
      <c r="K70" s="33" t="n">
        <f>1827</f>
        <v>1827.0</v>
      </c>
      <c r="L70" s="34" t="s">
        <v>48</v>
      </c>
      <c r="M70" s="33" t="n">
        <f>1841</f>
        <v>1841.0</v>
      </c>
      <c r="N70" s="34" t="s">
        <v>203</v>
      </c>
      <c r="O70" s="33" t="n">
        <f>1822</f>
        <v>1822.0</v>
      </c>
      <c r="P70" s="34" t="s">
        <v>207</v>
      </c>
      <c r="Q70" s="33" t="n">
        <f>1838</f>
        <v>1838.0</v>
      </c>
      <c r="R70" s="34" t="s">
        <v>51</v>
      </c>
      <c r="S70" s="35" t="n">
        <f>1833.6</f>
        <v>1833.6</v>
      </c>
      <c r="T70" s="32" t="n">
        <f>310196</f>
        <v>310196.0</v>
      </c>
      <c r="U70" s="32" t="n">
        <f>9077</f>
        <v>9077.0</v>
      </c>
      <c r="V70" s="32" t="n">
        <f>568572342</f>
        <v>5.68572342E8</v>
      </c>
      <c r="W70" s="32" t="n">
        <f>16653236</f>
        <v>1.6653236E7</v>
      </c>
      <c r="X70" s="36" t="n">
        <f>20</f>
        <v>20.0</v>
      </c>
    </row>
    <row r="71">
      <c r="A71" s="27" t="s">
        <v>42</v>
      </c>
      <c r="B71" s="27" t="s">
        <v>254</v>
      </c>
      <c r="C71" s="27" t="s">
        <v>255</v>
      </c>
      <c r="D71" s="27" t="s">
        <v>256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24065</f>
        <v>24065.0</v>
      </c>
      <c r="L71" s="34" t="s">
        <v>48</v>
      </c>
      <c r="M71" s="33" t="n">
        <f>25275</f>
        <v>25275.0</v>
      </c>
      <c r="N71" s="34" t="s">
        <v>49</v>
      </c>
      <c r="O71" s="33" t="n">
        <f>23940</f>
        <v>23940.0</v>
      </c>
      <c r="P71" s="34" t="s">
        <v>50</v>
      </c>
      <c r="Q71" s="33" t="n">
        <f>25135</f>
        <v>25135.0</v>
      </c>
      <c r="R71" s="34" t="s">
        <v>51</v>
      </c>
      <c r="S71" s="35" t="n">
        <f>24765.25</f>
        <v>24765.25</v>
      </c>
      <c r="T71" s="32" t="n">
        <f>15532</f>
        <v>15532.0</v>
      </c>
      <c r="U71" s="32" t="n">
        <f>12000</f>
        <v>12000.0</v>
      </c>
      <c r="V71" s="32" t="n">
        <f>385546955</f>
        <v>3.85546955E8</v>
      </c>
      <c r="W71" s="32" t="n">
        <f>298820400</f>
        <v>2.988204E8</v>
      </c>
      <c r="X71" s="36" t="n">
        <f>20</f>
        <v>20.0</v>
      </c>
    </row>
    <row r="72">
      <c r="A72" s="27" t="s">
        <v>42</v>
      </c>
      <c r="B72" s="27" t="s">
        <v>257</v>
      </c>
      <c r="C72" s="27" t="s">
        <v>258</v>
      </c>
      <c r="D72" s="27" t="s">
        <v>259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9145</f>
        <v>9145.0</v>
      </c>
      <c r="L72" s="34" t="s">
        <v>48</v>
      </c>
      <c r="M72" s="33" t="n">
        <f>9244</f>
        <v>9244.0</v>
      </c>
      <c r="N72" s="34" t="s">
        <v>199</v>
      </c>
      <c r="O72" s="33" t="n">
        <f>9033</f>
        <v>9033.0</v>
      </c>
      <c r="P72" s="34" t="s">
        <v>51</v>
      </c>
      <c r="Q72" s="33" t="n">
        <f>9099</f>
        <v>9099.0</v>
      </c>
      <c r="R72" s="34" t="s">
        <v>51</v>
      </c>
      <c r="S72" s="35" t="n">
        <f>9152.3</f>
        <v>9152.3</v>
      </c>
      <c r="T72" s="32" t="n">
        <f>4275</f>
        <v>4275.0</v>
      </c>
      <c r="U72" s="32" t="str">
        <f>"－"</f>
        <v>－</v>
      </c>
      <c r="V72" s="32" t="n">
        <f>39009228</f>
        <v>3.9009228E7</v>
      </c>
      <c r="W72" s="32" t="str">
        <f>"－"</f>
        <v>－</v>
      </c>
      <c r="X72" s="36" t="n">
        <f>20</f>
        <v>20.0</v>
      </c>
    </row>
    <row r="73">
      <c r="A73" s="27" t="s">
        <v>42</v>
      </c>
      <c r="B73" s="27" t="s">
        <v>260</v>
      </c>
      <c r="C73" s="27" t="s">
        <v>261</v>
      </c>
      <c r="D73" s="27" t="s">
        <v>262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15305</f>
        <v>15305.0</v>
      </c>
      <c r="L73" s="34" t="s">
        <v>48</v>
      </c>
      <c r="M73" s="33" t="n">
        <f>19000</f>
        <v>19000.0</v>
      </c>
      <c r="N73" s="34" t="s">
        <v>51</v>
      </c>
      <c r="O73" s="33" t="n">
        <f>15300</f>
        <v>15300.0</v>
      </c>
      <c r="P73" s="34" t="s">
        <v>48</v>
      </c>
      <c r="Q73" s="33" t="n">
        <f>19000</f>
        <v>19000.0</v>
      </c>
      <c r="R73" s="34" t="s">
        <v>51</v>
      </c>
      <c r="S73" s="35" t="n">
        <f>16765</f>
        <v>16765.0</v>
      </c>
      <c r="T73" s="32" t="n">
        <f>15005195</f>
        <v>1.5005195E7</v>
      </c>
      <c r="U73" s="32" t="n">
        <f>2046070</f>
        <v>2046070.0</v>
      </c>
      <c r="V73" s="32" t="n">
        <f>256253932332</f>
        <v>2.56253932332E11</v>
      </c>
      <c r="W73" s="32" t="n">
        <f>36091789247</f>
        <v>3.6091789247E10</v>
      </c>
      <c r="X73" s="36" t="n">
        <f>20</f>
        <v>20.0</v>
      </c>
    </row>
    <row r="74">
      <c r="A74" s="27" t="s">
        <v>42</v>
      </c>
      <c r="B74" s="27" t="s">
        <v>263</v>
      </c>
      <c r="C74" s="27" t="s">
        <v>264</v>
      </c>
      <c r="D74" s="27" t="s">
        <v>265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1.0</v>
      </c>
      <c r="K74" s="33" t="n">
        <f>5944</f>
        <v>5944.0</v>
      </c>
      <c r="L74" s="34" t="s">
        <v>48</v>
      </c>
      <c r="M74" s="33" t="n">
        <f>9245</f>
        <v>9245.0</v>
      </c>
      <c r="N74" s="34" t="s">
        <v>70</v>
      </c>
      <c r="O74" s="33" t="n">
        <f>5942</f>
        <v>5942.0</v>
      </c>
      <c r="P74" s="34" t="s">
        <v>48</v>
      </c>
      <c r="Q74" s="33" t="n">
        <f>8427</f>
        <v>8427.0</v>
      </c>
      <c r="R74" s="34" t="s">
        <v>51</v>
      </c>
      <c r="S74" s="35" t="n">
        <f>6580.7</f>
        <v>6580.7</v>
      </c>
      <c r="T74" s="32" t="n">
        <f>2893243</f>
        <v>2893243.0</v>
      </c>
      <c r="U74" s="32" t="n">
        <f>5721</f>
        <v>5721.0</v>
      </c>
      <c r="V74" s="32" t="n">
        <f>21445082257</f>
        <v>2.1445082257E10</v>
      </c>
      <c r="W74" s="32" t="n">
        <f>39533612</f>
        <v>3.9533612E7</v>
      </c>
      <c r="X74" s="36" t="n">
        <f>20</f>
        <v>20.0</v>
      </c>
    </row>
    <row r="75">
      <c r="A75" s="27" t="s">
        <v>42</v>
      </c>
      <c r="B75" s="27" t="s">
        <v>266</v>
      </c>
      <c r="C75" s="27" t="s">
        <v>267</v>
      </c>
      <c r="D75" s="27" t="s">
        <v>268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1.0</v>
      </c>
      <c r="K75" s="33" t="n">
        <f>17295</f>
        <v>17295.0</v>
      </c>
      <c r="L75" s="34" t="s">
        <v>48</v>
      </c>
      <c r="M75" s="33" t="n">
        <f>23740</f>
        <v>23740.0</v>
      </c>
      <c r="N75" s="34" t="s">
        <v>51</v>
      </c>
      <c r="O75" s="33" t="n">
        <f>17295</f>
        <v>17295.0</v>
      </c>
      <c r="P75" s="34" t="s">
        <v>48</v>
      </c>
      <c r="Q75" s="33" t="n">
        <f>22800</f>
        <v>22800.0</v>
      </c>
      <c r="R75" s="34" t="s">
        <v>51</v>
      </c>
      <c r="S75" s="35" t="n">
        <f>19154.75</f>
        <v>19154.75</v>
      </c>
      <c r="T75" s="32" t="n">
        <f>1800882</f>
        <v>1800882.0</v>
      </c>
      <c r="U75" s="32" t="n">
        <f>15823</f>
        <v>15823.0</v>
      </c>
      <c r="V75" s="32" t="n">
        <f>35557979371</f>
        <v>3.5557979371E10</v>
      </c>
      <c r="W75" s="32" t="n">
        <f>303782481</f>
        <v>3.03782481E8</v>
      </c>
      <c r="X75" s="36" t="n">
        <f>20</f>
        <v>20.0</v>
      </c>
    </row>
    <row r="76">
      <c r="A76" s="27" t="s">
        <v>42</v>
      </c>
      <c r="B76" s="27" t="s">
        <v>269</v>
      </c>
      <c r="C76" s="27" t="s">
        <v>270</v>
      </c>
      <c r="D76" s="27" t="s">
        <v>271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1.0</v>
      </c>
      <c r="K76" s="33" t="n">
        <f>46650</f>
        <v>46650.0</v>
      </c>
      <c r="L76" s="34" t="s">
        <v>48</v>
      </c>
      <c r="M76" s="33" t="n">
        <f>60030</f>
        <v>60030.0</v>
      </c>
      <c r="N76" s="34" t="s">
        <v>70</v>
      </c>
      <c r="O76" s="33" t="n">
        <f>46380</f>
        <v>46380.0</v>
      </c>
      <c r="P76" s="34" t="s">
        <v>48</v>
      </c>
      <c r="Q76" s="33" t="n">
        <f>55910</f>
        <v>55910.0</v>
      </c>
      <c r="R76" s="34" t="s">
        <v>51</v>
      </c>
      <c r="S76" s="35" t="n">
        <f>50640.5</f>
        <v>50640.5</v>
      </c>
      <c r="T76" s="32" t="n">
        <f>42178</f>
        <v>42178.0</v>
      </c>
      <c r="U76" s="32" t="n">
        <f>908</f>
        <v>908.0</v>
      </c>
      <c r="V76" s="32" t="n">
        <f>2246409179</f>
        <v>2.246409179E9</v>
      </c>
      <c r="W76" s="32" t="n">
        <f>48582189</f>
        <v>4.8582189E7</v>
      </c>
      <c r="X76" s="36" t="n">
        <f>20</f>
        <v>20.0</v>
      </c>
    </row>
    <row r="77">
      <c r="A77" s="27" t="s">
        <v>42</v>
      </c>
      <c r="B77" s="27" t="s">
        <v>272</v>
      </c>
      <c r="C77" s="27" t="s">
        <v>273</v>
      </c>
      <c r="D77" s="27" t="s">
        <v>274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1.0</v>
      </c>
      <c r="K77" s="33" t="n">
        <f>34850</f>
        <v>34850.0</v>
      </c>
      <c r="L77" s="34" t="s">
        <v>48</v>
      </c>
      <c r="M77" s="33" t="n">
        <f>37020</f>
        <v>37020.0</v>
      </c>
      <c r="N77" s="34" t="s">
        <v>70</v>
      </c>
      <c r="O77" s="33" t="n">
        <f>34540</f>
        <v>34540.0</v>
      </c>
      <c r="P77" s="34" t="s">
        <v>48</v>
      </c>
      <c r="Q77" s="33" t="n">
        <f>36840</f>
        <v>36840.0</v>
      </c>
      <c r="R77" s="34" t="s">
        <v>51</v>
      </c>
      <c r="S77" s="35" t="n">
        <f>35895</f>
        <v>35895.0</v>
      </c>
      <c r="T77" s="32" t="n">
        <f>709366</f>
        <v>709366.0</v>
      </c>
      <c r="U77" s="32" t="n">
        <f>50983</f>
        <v>50983.0</v>
      </c>
      <c r="V77" s="32" t="n">
        <f>25615345577</f>
        <v>2.5615345577E10</v>
      </c>
      <c r="W77" s="32" t="n">
        <f>1846814857</f>
        <v>1.846814857E9</v>
      </c>
      <c r="X77" s="36" t="n">
        <f>20</f>
        <v>20.0</v>
      </c>
    </row>
    <row r="78">
      <c r="A78" s="27" t="s">
        <v>42</v>
      </c>
      <c r="B78" s="27" t="s">
        <v>275</v>
      </c>
      <c r="C78" s="27" t="s">
        <v>276</v>
      </c>
      <c r="D78" s="27" t="s">
        <v>277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1.0</v>
      </c>
      <c r="K78" s="33" t="n">
        <f>65160</f>
        <v>65160.0</v>
      </c>
      <c r="L78" s="34" t="s">
        <v>48</v>
      </c>
      <c r="M78" s="33" t="n">
        <f>67170</f>
        <v>67170.0</v>
      </c>
      <c r="N78" s="34" t="s">
        <v>70</v>
      </c>
      <c r="O78" s="33" t="n">
        <f>64750</f>
        <v>64750.0</v>
      </c>
      <c r="P78" s="34" t="s">
        <v>199</v>
      </c>
      <c r="Q78" s="33" t="n">
        <f>66700</f>
        <v>66700.0</v>
      </c>
      <c r="R78" s="34" t="s">
        <v>51</v>
      </c>
      <c r="S78" s="35" t="n">
        <f>65761</f>
        <v>65761.0</v>
      </c>
      <c r="T78" s="32" t="n">
        <f>26139</f>
        <v>26139.0</v>
      </c>
      <c r="U78" s="32" t="n">
        <f>867</f>
        <v>867.0</v>
      </c>
      <c r="V78" s="32" t="n">
        <f>1717830965</f>
        <v>1.717830965E9</v>
      </c>
      <c r="W78" s="32" t="n">
        <f>57200985</f>
        <v>5.7200985E7</v>
      </c>
      <c r="X78" s="36" t="n">
        <f>20</f>
        <v>20.0</v>
      </c>
    </row>
    <row r="79">
      <c r="A79" s="27" t="s">
        <v>42</v>
      </c>
      <c r="B79" s="27" t="s">
        <v>278</v>
      </c>
      <c r="C79" s="27" t="s">
        <v>279</v>
      </c>
      <c r="D79" s="27" t="s">
        <v>280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1.0</v>
      </c>
      <c r="K79" s="33" t="n">
        <f>10385</f>
        <v>10385.0</v>
      </c>
      <c r="L79" s="34" t="s">
        <v>48</v>
      </c>
      <c r="M79" s="33" t="n">
        <f>10840</f>
        <v>10840.0</v>
      </c>
      <c r="N79" s="34" t="s">
        <v>70</v>
      </c>
      <c r="O79" s="33" t="n">
        <f>10310</f>
        <v>10310.0</v>
      </c>
      <c r="P79" s="34" t="s">
        <v>48</v>
      </c>
      <c r="Q79" s="33" t="n">
        <f>10760</f>
        <v>10760.0</v>
      </c>
      <c r="R79" s="34" t="s">
        <v>51</v>
      </c>
      <c r="S79" s="35" t="n">
        <f>10572.75</f>
        <v>10572.75</v>
      </c>
      <c r="T79" s="32" t="n">
        <f>631319</f>
        <v>631319.0</v>
      </c>
      <c r="U79" s="32" t="n">
        <f>123194</f>
        <v>123194.0</v>
      </c>
      <c r="V79" s="32" t="n">
        <f>6696118003</f>
        <v>6.696118003E9</v>
      </c>
      <c r="W79" s="32" t="n">
        <f>1318462028</f>
        <v>1.318462028E9</v>
      </c>
      <c r="X79" s="36" t="n">
        <f>20</f>
        <v>20.0</v>
      </c>
    </row>
    <row r="80">
      <c r="A80" s="27" t="s">
        <v>42</v>
      </c>
      <c r="B80" s="27" t="s">
        <v>281</v>
      </c>
      <c r="C80" s="27" t="s">
        <v>282</v>
      </c>
      <c r="D80" s="27" t="s">
        <v>283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1.0</v>
      </c>
      <c r="K80" s="33" t="n">
        <f>6389</f>
        <v>6389.0</v>
      </c>
      <c r="L80" s="34" t="s">
        <v>48</v>
      </c>
      <c r="M80" s="33" t="n">
        <f>6665</f>
        <v>6665.0</v>
      </c>
      <c r="N80" s="34" t="s">
        <v>70</v>
      </c>
      <c r="O80" s="33" t="n">
        <f>6369</f>
        <v>6369.0</v>
      </c>
      <c r="P80" s="34" t="s">
        <v>48</v>
      </c>
      <c r="Q80" s="33" t="n">
        <f>6614</f>
        <v>6614.0</v>
      </c>
      <c r="R80" s="34" t="s">
        <v>51</v>
      </c>
      <c r="S80" s="35" t="n">
        <f>6518.1</f>
        <v>6518.1</v>
      </c>
      <c r="T80" s="32" t="n">
        <f>148331</f>
        <v>148331.0</v>
      </c>
      <c r="U80" s="32" t="n">
        <f>10070</f>
        <v>10070.0</v>
      </c>
      <c r="V80" s="32" t="n">
        <f>965294173</f>
        <v>9.65294173E8</v>
      </c>
      <c r="W80" s="32" t="n">
        <f>65857044</f>
        <v>6.5857044E7</v>
      </c>
      <c r="X80" s="36" t="n">
        <f>20</f>
        <v>20.0</v>
      </c>
    </row>
    <row r="81">
      <c r="A81" s="27" t="s">
        <v>42</v>
      </c>
      <c r="B81" s="27" t="s">
        <v>284</v>
      </c>
      <c r="C81" s="27" t="s">
        <v>285</v>
      </c>
      <c r="D81" s="27" t="s">
        <v>286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10.0</v>
      </c>
      <c r="K81" s="33" t="n">
        <f>6050</f>
        <v>6050.0</v>
      </c>
      <c r="L81" s="34" t="s">
        <v>48</v>
      </c>
      <c r="M81" s="33" t="n">
        <f>6258</f>
        <v>6258.0</v>
      </c>
      <c r="N81" s="34" t="s">
        <v>70</v>
      </c>
      <c r="O81" s="33" t="n">
        <f>5982</f>
        <v>5982.0</v>
      </c>
      <c r="P81" s="34" t="s">
        <v>48</v>
      </c>
      <c r="Q81" s="33" t="n">
        <f>6101</f>
        <v>6101.0</v>
      </c>
      <c r="R81" s="34" t="s">
        <v>51</v>
      </c>
      <c r="S81" s="35" t="n">
        <f>6142.15</f>
        <v>6142.15</v>
      </c>
      <c r="T81" s="32" t="n">
        <f>4240</f>
        <v>4240.0</v>
      </c>
      <c r="U81" s="32" t="str">
        <f>"－"</f>
        <v>－</v>
      </c>
      <c r="V81" s="32" t="n">
        <f>26089050</f>
        <v>2.608905E7</v>
      </c>
      <c r="W81" s="32" t="str">
        <f>"－"</f>
        <v>－</v>
      </c>
      <c r="X81" s="36" t="n">
        <f>20</f>
        <v>20.0</v>
      </c>
    </row>
    <row r="82">
      <c r="A82" s="27" t="s">
        <v>42</v>
      </c>
      <c r="B82" s="27" t="s">
        <v>287</v>
      </c>
      <c r="C82" s="27" t="s">
        <v>288</v>
      </c>
      <c r="D82" s="27" t="s">
        <v>289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1.0</v>
      </c>
      <c r="K82" s="33" t="n">
        <f>5296</f>
        <v>5296.0</v>
      </c>
      <c r="L82" s="34" t="s">
        <v>48</v>
      </c>
      <c r="M82" s="33" t="n">
        <f>5510</f>
        <v>5510.0</v>
      </c>
      <c r="N82" s="34" t="s">
        <v>70</v>
      </c>
      <c r="O82" s="33" t="n">
        <f>5261</f>
        <v>5261.0</v>
      </c>
      <c r="P82" s="34" t="s">
        <v>48</v>
      </c>
      <c r="Q82" s="33" t="n">
        <f>5485</f>
        <v>5485.0</v>
      </c>
      <c r="R82" s="34" t="s">
        <v>51</v>
      </c>
      <c r="S82" s="35" t="n">
        <f>5394.25</f>
        <v>5394.25</v>
      </c>
      <c r="T82" s="32" t="n">
        <f>143030</f>
        <v>143030.0</v>
      </c>
      <c r="U82" s="32" t="n">
        <f>91700</f>
        <v>91700.0</v>
      </c>
      <c r="V82" s="32" t="n">
        <f>773124147</f>
        <v>7.73124147E8</v>
      </c>
      <c r="W82" s="32" t="n">
        <f>496193113</f>
        <v>4.96193113E8</v>
      </c>
      <c r="X82" s="36" t="n">
        <f>20</f>
        <v>20.0</v>
      </c>
    </row>
    <row r="83">
      <c r="A83" s="27" t="s">
        <v>42</v>
      </c>
      <c r="B83" s="27" t="s">
        <v>290</v>
      </c>
      <c r="C83" s="27" t="s">
        <v>291</v>
      </c>
      <c r="D83" s="27" t="s">
        <v>292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1.0</v>
      </c>
      <c r="K83" s="33" t="n">
        <f>2457</f>
        <v>2457.0</v>
      </c>
      <c r="L83" s="34" t="s">
        <v>48</v>
      </c>
      <c r="M83" s="33" t="n">
        <f>2517</f>
        <v>2517.0</v>
      </c>
      <c r="N83" s="34" t="s">
        <v>214</v>
      </c>
      <c r="O83" s="33" t="n">
        <f>2374</f>
        <v>2374.0</v>
      </c>
      <c r="P83" s="34" t="s">
        <v>62</v>
      </c>
      <c r="Q83" s="33" t="n">
        <f>2436</f>
        <v>2436.0</v>
      </c>
      <c r="R83" s="34" t="s">
        <v>51</v>
      </c>
      <c r="S83" s="35" t="n">
        <f>2444.6</f>
        <v>2444.6</v>
      </c>
      <c r="T83" s="32" t="n">
        <f>97113</f>
        <v>97113.0</v>
      </c>
      <c r="U83" s="32" t="n">
        <f>1010</f>
        <v>1010.0</v>
      </c>
      <c r="V83" s="32" t="n">
        <f>238343802</f>
        <v>2.38343802E8</v>
      </c>
      <c r="W83" s="32" t="n">
        <f>2490819</f>
        <v>2490819.0</v>
      </c>
      <c r="X83" s="36" t="n">
        <f>20</f>
        <v>20.0</v>
      </c>
    </row>
    <row r="84">
      <c r="A84" s="27" t="s">
        <v>42</v>
      </c>
      <c r="B84" s="27" t="s">
        <v>293</v>
      </c>
      <c r="C84" s="27" t="s">
        <v>294</v>
      </c>
      <c r="D84" s="27" t="s">
        <v>295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1.0</v>
      </c>
      <c r="K84" s="33" t="n">
        <f>95080</f>
        <v>95080.0</v>
      </c>
      <c r="L84" s="34" t="s">
        <v>48</v>
      </c>
      <c r="M84" s="33" t="n">
        <f>99030</f>
        <v>99030.0</v>
      </c>
      <c r="N84" s="34" t="s">
        <v>70</v>
      </c>
      <c r="O84" s="33" t="n">
        <f>94570</f>
        <v>94570.0</v>
      </c>
      <c r="P84" s="34" t="s">
        <v>48</v>
      </c>
      <c r="Q84" s="33" t="n">
        <f>98400</f>
        <v>98400.0</v>
      </c>
      <c r="R84" s="34" t="s">
        <v>51</v>
      </c>
      <c r="S84" s="35" t="n">
        <f>96911</f>
        <v>96911.0</v>
      </c>
      <c r="T84" s="32" t="n">
        <f>46645</f>
        <v>46645.0</v>
      </c>
      <c r="U84" s="32" t="n">
        <f>87</f>
        <v>87.0</v>
      </c>
      <c r="V84" s="32" t="n">
        <f>4522583393</f>
        <v>4.522583393E9</v>
      </c>
      <c r="W84" s="32" t="n">
        <f>8482413</f>
        <v>8482413.0</v>
      </c>
      <c r="X84" s="36" t="n">
        <f>20</f>
        <v>20.0</v>
      </c>
    </row>
    <row r="85">
      <c r="A85" s="27" t="s">
        <v>42</v>
      </c>
      <c r="B85" s="27" t="s">
        <v>296</v>
      </c>
      <c r="C85" s="27" t="s">
        <v>297</v>
      </c>
      <c r="D85" s="27" t="s">
        <v>298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1.0</v>
      </c>
      <c r="K85" s="33" t="n">
        <f>3393</f>
        <v>3393.0</v>
      </c>
      <c r="L85" s="34" t="s">
        <v>48</v>
      </c>
      <c r="M85" s="33" t="n">
        <f>3583</f>
        <v>3583.0</v>
      </c>
      <c r="N85" s="34" t="s">
        <v>49</v>
      </c>
      <c r="O85" s="33" t="n">
        <f>3355</f>
        <v>3355.0</v>
      </c>
      <c r="P85" s="34" t="s">
        <v>50</v>
      </c>
      <c r="Q85" s="33" t="n">
        <f>3519</f>
        <v>3519.0</v>
      </c>
      <c r="R85" s="34" t="s">
        <v>51</v>
      </c>
      <c r="S85" s="35" t="n">
        <f>3481.45</f>
        <v>3481.45</v>
      </c>
      <c r="T85" s="32" t="n">
        <f>11183</f>
        <v>11183.0</v>
      </c>
      <c r="U85" s="32" t="str">
        <f>"－"</f>
        <v>－</v>
      </c>
      <c r="V85" s="32" t="n">
        <f>38910835</f>
        <v>3.8910835E7</v>
      </c>
      <c r="W85" s="32" t="str">
        <f>"－"</f>
        <v>－</v>
      </c>
      <c r="X85" s="36" t="n">
        <f>20</f>
        <v>20.0</v>
      </c>
    </row>
    <row r="86">
      <c r="A86" s="27" t="s">
        <v>42</v>
      </c>
      <c r="B86" s="27" t="s">
        <v>299</v>
      </c>
      <c r="C86" s="27" t="s">
        <v>300</v>
      </c>
      <c r="D86" s="27" t="s">
        <v>301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1.0</v>
      </c>
      <c r="K86" s="33" t="n">
        <f>5220</f>
        <v>5220.0</v>
      </c>
      <c r="L86" s="34" t="s">
        <v>48</v>
      </c>
      <c r="M86" s="33" t="n">
        <f>5500</f>
        <v>5500.0</v>
      </c>
      <c r="N86" s="34" t="s">
        <v>51</v>
      </c>
      <c r="O86" s="33" t="n">
        <f>5150</f>
        <v>5150.0</v>
      </c>
      <c r="P86" s="34" t="s">
        <v>207</v>
      </c>
      <c r="Q86" s="33" t="n">
        <f>5500</f>
        <v>5500.0</v>
      </c>
      <c r="R86" s="34" t="s">
        <v>51</v>
      </c>
      <c r="S86" s="35" t="n">
        <f>5296.55</f>
        <v>5296.55</v>
      </c>
      <c r="T86" s="32" t="n">
        <f>6618</f>
        <v>6618.0</v>
      </c>
      <c r="U86" s="32" t="str">
        <f>"－"</f>
        <v>－</v>
      </c>
      <c r="V86" s="32" t="n">
        <f>34869053</f>
        <v>3.4869053E7</v>
      </c>
      <c r="W86" s="32" t="str">
        <f>"－"</f>
        <v>－</v>
      </c>
      <c r="X86" s="36" t="n">
        <f>20</f>
        <v>20.0</v>
      </c>
    </row>
    <row r="87">
      <c r="A87" s="27" t="s">
        <v>42</v>
      </c>
      <c r="B87" s="27" t="s">
        <v>302</v>
      </c>
      <c r="C87" s="27" t="s">
        <v>303</v>
      </c>
      <c r="D87" s="27" t="s">
        <v>304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2464</f>
        <v>2464.0</v>
      </c>
      <c r="L87" s="34" t="s">
        <v>48</v>
      </c>
      <c r="M87" s="33" t="n">
        <f>2495</f>
        <v>2495.0</v>
      </c>
      <c r="N87" s="34" t="s">
        <v>48</v>
      </c>
      <c r="O87" s="33" t="n">
        <f>2291</f>
        <v>2291.0</v>
      </c>
      <c r="P87" s="34" t="s">
        <v>51</v>
      </c>
      <c r="Q87" s="33" t="n">
        <f>2311</f>
        <v>2311.0</v>
      </c>
      <c r="R87" s="34" t="s">
        <v>51</v>
      </c>
      <c r="S87" s="35" t="n">
        <f>2391.9</f>
        <v>2391.9</v>
      </c>
      <c r="T87" s="32" t="n">
        <f>381879</f>
        <v>381879.0</v>
      </c>
      <c r="U87" s="32" t="str">
        <f>"－"</f>
        <v>－</v>
      </c>
      <c r="V87" s="32" t="n">
        <f>911825528</f>
        <v>9.11825528E8</v>
      </c>
      <c r="W87" s="32" t="str">
        <f>"－"</f>
        <v>－</v>
      </c>
      <c r="X87" s="36" t="n">
        <f>20</f>
        <v>20.0</v>
      </c>
    </row>
    <row r="88">
      <c r="A88" s="27" t="s">
        <v>42</v>
      </c>
      <c r="B88" s="27" t="s">
        <v>305</v>
      </c>
      <c r="C88" s="27" t="s">
        <v>306</v>
      </c>
      <c r="D88" s="27" t="s">
        <v>307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50740</f>
        <v>50740.0</v>
      </c>
      <c r="L88" s="34" t="s">
        <v>48</v>
      </c>
      <c r="M88" s="33" t="n">
        <f>51390</f>
        <v>51390.0</v>
      </c>
      <c r="N88" s="34" t="s">
        <v>49</v>
      </c>
      <c r="O88" s="33" t="n">
        <f>50500</f>
        <v>50500.0</v>
      </c>
      <c r="P88" s="34" t="s">
        <v>199</v>
      </c>
      <c r="Q88" s="33" t="n">
        <f>50990</f>
        <v>50990.0</v>
      </c>
      <c r="R88" s="34" t="s">
        <v>51</v>
      </c>
      <c r="S88" s="35" t="n">
        <f>50837</f>
        <v>50837.0</v>
      </c>
      <c r="T88" s="32" t="n">
        <f>9855</f>
        <v>9855.0</v>
      </c>
      <c r="U88" s="32" t="n">
        <f>36</f>
        <v>36.0</v>
      </c>
      <c r="V88" s="32" t="n">
        <f>501647704</f>
        <v>5.01647704E8</v>
      </c>
      <c r="W88" s="32" t="n">
        <f>1825974</f>
        <v>1825974.0</v>
      </c>
      <c r="X88" s="36" t="n">
        <f>20</f>
        <v>20.0</v>
      </c>
    </row>
    <row r="89">
      <c r="A89" s="27" t="s">
        <v>42</v>
      </c>
      <c r="B89" s="27" t="s">
        <v>308</v>
      </c>
      <c r="C89" s="27" t="s">
        <v>309</v>
      </c>
      <c r="D89" s="27" t="s">
        <v>310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10.0</v>
      </c>
      <c r="K89" s="33" t="n">
        <f>572.3</f>
        <v>572.3</v>
      </c>
      <c r="L89" s="34" t="s">
        <v>48</v>
      </c>
      <c r="M89" s="33" t="n">
        <f>627.5</f>
        <v>627.5</v>
      </c>
      <c r="N89" s="34" t="s">
        <v>49</v>
      </c>
      <c r="O89" s="33" t="n">
        <f>565.5</f>
        <v>565.5</v>
      </c>
      <c r="P89" s="34" t="s">
        <v>50</v>
      </c>
      <c r="Q89" s="33" t="n">
        <f>611.7</f>
        <v>611.7</v>
      </c>
      <c r="R89" s="34" t="s">
        <v>51</v>
      </c>
      <c r="S89" s="35" t="n">
        <f>601.3</f>
        <v>601.3</v>
      </c>
      <c r="T89" s="32" t="n">
        <f>82577740</f>
        <v>8.257774E7</v>
      </c>
      <c r="U89" s="32" t="n">
        <f>38490</f>
        <v>38490.0</v>
      </c>
      <c r="V89" s="32" t="n">
        <f>49861959481</f>
        <v>4.9861959481E10</v>
      </c>
      <c r="W89" s="32" t="n">
        <f>23009557</f>
        <v>2.3009557E7</v>
      </c>
      <c r="X89" s="36" t="n">
        <f>20</f>
        <v>20.0</v>
      </c>
    </row>
    <row r="90">
      <c r="A90" s="27" t="s">
        <v>42</v>
      </c>
      <c r="B90" s="27" t="s">
        <v>311</v>
      </c>
      <c r="C90" s="27" t="s">
        <v>312</v>
      </c>
      <c r="D90" s="27" t="s">
        <v>313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10.0</v>
      </c>
      <c r="K90" s="33" t="n">
        <f>1050</f>
        <v>1050.0</v>
      </c>
      <c r="L90" s="34" t="s">
        <v>48</v>
      </c>
      <c r="M90" s="33" t="n">
        <f>1054</f>
        <v>1054.0</v>
      </c>
      <c r="N90" s="34" t="s">
        <v>50</v>
      </c>
      <c r="O90" s="33" t="n">
        <f>999.7</f>
        <v>999.7</v>
      </c>
      <c r="P90" s="34" t="s">
        <v>49</v>
      </c>
      <c r="Q90" s="33" t="n">
        <f>1013.5</f>
        <v>1013.5</v>
      </c>
      <c r="R90" s="34" t="s">
        <v>51</v>
      </c>
      <c r="S90" s="35" t="n">
        <f>1022.45</f>
        <v>1022.45</v>
      </c>
      <c r="T90" s="32" t="n">
        <f>2103460</f>
        <v>2103460.0</v>
      </c>
      <c r="U90" s="32" t="n">
        <f>751880</f>
        <v>751880.0</v>
      </c>
      <c r="V90" s="32" t="n">
        <f>2147064511</f>
        <v>2.147064511E9</v>
      </c>
      <c r="W90" s="32" t="n">
        <f>763783789</f>
        <v>7.63783789E8</v>
      </c>
      <c r="X90" s="36" t="n">
        <f>20</f>
        <v>20.0</v>
      </c>
    </row>
    <row r="91">
      <c r="A91" s="27" t="s">
        <v>42</v>
      </c>
      <c r="B91" s="27" t="s">
        <v>314</v>
      </c>
      <c r="C91" s="27" t="s">
        <v>315</v>
      </c>
      <c r="D91" s="27" t="s">
        <v>316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1.0</v>
      </c>
      <c r="K91" s="33" t="n">
        <f>30680</f>
        <v>30680.0</v>
      </c>
      <c r="L91" s="34" t="s">
        <v>48</v>
      </c>
      <c r="M91" s="33" t="n">
        <f>36000</f>
        <v>36000.0</v>
      </c>
      <c r="N91" s="34" t="s">
        <v>74</v>
      </c>
      <c r="O91" s="33" t="n">
        <f>29980</f>
        <v>29980.0</v>
      </c>
      <c r="P91" s="34" t="s">
        <v>48</v>
      </c>
      <c r="Q91" s="33" t="n">
        <f>34970</f>
        <v>34970.0</v>
      </c>
      <c r="R91" s="34" t="s">
        <v>51</v>
      </c>
      <c r="S91" s="35" t="n">
        <f>33519</f>
        <v>33519.0</v>
      </c>
      <c r="T91" s="32" t="n">
        <f>76427213</f>
        <v>7.6427213E7</v>
      </c>
      <c r="U91" s="32" t="n">
        <f>822338</f>
        <v>822338.0</v>
      </c>
      <c r="V91" s="32" t="n">
        <f>2567835382391</f>
        <v>2.567835382391E12</v>
      </c>
      <c r="W91" s="32" t="n">
        <f>27538814566</f>
        <v>2.7538814566E10</v>
      </c>
      <c r="X91" s="36" t="n">
        <f>20</f>
        <v>20.0</v>
      </c>
    </row>
    <row r="92">
      <c r="A92" s="27" t="s">
        <v>42</v>
      </c>
      <c r="B92" s="27" t="s">
        <v>317</v>
      </c>
      <c r="C92" s="27" t="s">
        <v>318</v>
      </c>
      <c r="D92" s="27" t="s">
        <v>319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1.0</v>
      </c>
      <c r="K92" s="33" t="n">
        <f>508</f>
        <v>508.0</v>
      </c>
      <c r="L92" s="34" t="s">
        <v>48</v>
      </c>
      <c r="M92" s="33" t="n">
        <f>513</f>
        <v>513.0</v>
      </c>
      <c r="N92" s="34" t="s">
        <v>48</v>
      </c>
      <c r="O92" s="33" t="n">
        <f>467</f>
        <v>467.0</v>
      </c>
      <c r="P92" s="34" t="s">
        <v>74</v>
      </c>
      <c r="Q92" s="33" t="n">
        <f>475</f>
        <v>475.0</v>
      </c>
      <c r="R92" s="34" t="s">
        <v>51</v>
      </c>
      <c r="S92" s="35" t="n">
        <f>485.3</f>
        <v>485.3</v>
      </c>
      <c r="T92" s="32" t="n">
        <f>48823782</f>
        <v>4.8823782E7</v>
      </c>
      <c r="U92" s="32" t="n">
        <f>16727514</f>
        <v>1.6727514E7</v>
      </c>
      <c r="V92" s="32" t="n">
        <f>23508425641</f>
        <v>2.3508425641E10</v>
      </c>
      <c r="W92" s="32" t="n">
        <f>8040057209</f>
        <v>8.040057209E9</v>
      </c>
      <c r="X92" s="36" t="n">
        <f>20</f>
        <v>20.0</v>
      </c>
    </row>
    <row r="93">
      <c r="A93" s="27" t="s">
        <v>42</v>
      </c>
      <c r="B93" s="27" t="s">
        <v>320</v>
      </c>
      <c r="C93" s="27" t="s">
        <v>321</v>
      </c>
      <c r="D93" s="27" t="s">
        <v>322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10.0</v>
      </c>
      <c r="K93" s="33" t="n">
        <f>7623</f>
        <v>7623.0</v>
      </c>
      <c r="L93" s="34" t="s">
        <v>48</v>
      </c>
      <c r="M93" s="33" t="n">
        <f>8790</f>
        <v>8790.0</v>
      </c>
      <c r="N93" s="34" t="s">
        <v>69</v>
      </c>
      <c r="O93" s="33" t="n">
        <f>7497</f>
        <v>7497.0</v>
      </c>
      <c r="P93" s="34" t="s">
        <v>62</v>
      </c>
      <c r="Q93" s="33" t="n">
        <f>8501</f>
        <v>8501.0</v>
      </c>
      <c r="R93" s="34" t="s">
        <v>51</v>
      </c>
      <c r="S93" s="35" t="n">
        <f>8179.95</f>
        <v>8179.95</v>
      </c>
      <c r="T93" s="32" t="n">
        <f>304120</f>
        <v>304120.0</v>
      </c>
      <c r="U93" s="32" t="str">
        <f>"－"</f>
        <v>－</v>
      </c>
      <c r="V93" s="32" t="n">
        <f>2484410310</f>
        <v>2.48441031E9</v>
      </c>
      <c r="W93" s="32" t="str">
        <f>"－"</f>
        <v>－</v>
      </c>
      <c r="X93" s="36" t="n">
        <f>20</f>
        <v>20.0</v>
      </c>
    </row>
    <row r="94">
      <c r="A94" s="27" t="s">
        <v>42</v>
      </c>
      <c r="B94" s="27" t="s">
        <v>323</v>
      </c>
      <c r="C94" s="27" t="s">
        <v>324</v>
      </c>
      <c r="D94" s="27" t="s">
        <v>325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10.0</v>
      </c>
      <c r="K94" s="33" t="n">
        <f>7577</f>
        <v>7577.0</v>
      </c>
      <c r="L94" s="34" t="s">
        <v>48</v>
      </c>
      <c r="M94" s="33" t="n">
        <f>7664</f>
        <v>7664.0</v>
      </c>
      <c r="N94" s="34" t="s">
        <v>62</v>
      </c>
      <c r="O94" s="33" t="n">
        <f>6970</f>
        <v>6970.0</v>
      </c>
      <c r="P94" s="34" t="s">
        <v>69</v>
      </c>
      <c r="Q94" s="33" t="n">
        <f>7230</f>
        <v>7230.0</v>
      </c>
      <c r="R94" s="34" t="s">
        <v>51</v>
      </c>
      <c r="S94" s="35" t="n">
        <f>7304.85</f>
        <v>7304.85</v>
      </c>
      <c r="T94" s="32" t="n">
        <f>36670</f>
        <v>36670.0</v>
      </c>
      <c r="U94" s="32" t="str">
        <f>"－"</f>
        <v>－</v>
      </c>
      <c r="V94" s="32" t="n">
        <f>268519430</f>
        <v>2.6851943E8</v>
      </c>
      <c r="W94" s="32" t="str">
        <f>"－"</f>
        <v>－</v>
      </c>
      <c r="X94" s="36" t="n">
        <f>20</f>
        <v>20.0</v>
      </c>
    </row>
    <row r="95">
      <c r="A95" s="27" t="s">
        <v>42</v>
      </c>
      <c r="B95" s="27" t="s">
        <v>326</v>
      </c>
      <c r="C95" s="27" t="s">
        <v>327</v>
      </c>
      <c r="D95" s="27" t="s">
        <v>328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1.0</v>
      </c>
      <c r="K95" s="33" t="n">
        <f>43320</f>
        <v>43320.0</v>
      </c>
      <c r="L95" s="34" t="s">
        <v>48</v>
      </c>
      <c r="M95" s="33" t="n">
        <f>45100</f>
        <v>45100.0</v>
      </c>
      <c r="N95" s="34" t="s">
        <v>49</v>
      </c>
      <c r="O95" s="33" t="n">
        <f>43210</f>
        <v>43210.0</v>
      </c>
      <c r="P95" s="34" t="s">
        <v>48</v>
      </c>
      <c r="Q95" s="33" t="n">
        <f>44300</f>
        <v>44300.0</v>
      </c>
      <c r="R95" s="34" t="s">
        <v>51</v>
      </c>
      <c r="S95" s="35" t="n">
        <f>44328</f>
        <v>44328.0</v>
      </c>
      <c r="T95" s="32" t="n">
        <f>155799</f>
        <v>155799.0</v>
      </c>
      <c r="U95" s="32" t="n">
        <f>80972</f>
        <v>80972.0</v>
      </c>
      <c r="V95" s="32" t="n">
        <f>6918781004</f>
        <v>6.918781004E9</v>
      </c>
      <c r="W95" s="32" t="n">
        <f>3595375534</f>
        <v>3.595375534E9</v>
      </c>
      <c r="X95" s="36" t="n">
        <f>20</f>
        <v>20.0</v>
      </c>
    </row>
    <row r="96">
      <c r="A96" s="27" t="s">
        <v>42</v>
      </c>
      <c r="B96" s="27" t="s">
        <v>329</v>
      </c>
      <c r="C96" s="27" t="s">
        <v>330</v>
      </c>
      <c r="D96" s="27" t="s">
        <v>331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1.0</v>
      </c>
      <c r="K96" s="33" t="n">
        <f>3374</f>
        <v>3374.0</v>
      </c>
      <c r="L96" s="34" t="s">
        <v>48</v>
      </c>
      <c r="M96" s="33" t="n">
        <f>3656</f>
        <v>3656.0</v>
      </c>
      <c r="N96" s="34" t="s">
        <v>74</v>
      </c>
      <c r="O96" s="33" t="n">
        <f>3337</f>
        <v>3337.0</v>
      </c>
      <c r="P96" s="34" t="s">
        <v>48</v>
      </c>
      <c r="Q96" s="33" t="n">
        <f>3608</f>
        <v>3608.0</v>
      </c>
      <c r="R96" s="34" t="s">
        <v>51</v>
      </c>
      <c r="S96" s="35" t="n">
        <f>3526.9</f>
        <v>3526.9</v>
      </c>
      <c r="T96" s="32" t="n">
        <f>343614</f>
        <v>343614.0</v>
      </c>
      <c r="U96" s="32" t="n">
        <f>5743</f>
        <v>5743.0</v>
      </c>
      <c r="V96" s="32" t="n">
        <f>1201803633</f>
        <v>1.201803633E9</v>
      </c>
      <c r="W96" s="32" t="n">
        <f>20795894</f>
        <v>2.0795894E7</v>
      </c>
      <c r="X96" s="36" t="n">
        <f>20</f>
        <v>20.0</v>
      </c>
    </row>
    <row r="97">
      <c r="A97" s="27" t="s">
        <v>42</v>
      </c>
      <c r="B97" s="27" t="s">
        <v>332</v>
      </c>
      <c r="C97" s="27" t="s">
        <v>333</v>
      </c>
      <c r="D97" s="27" t="s">
        <v>334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10.0</v>
      </c>
      <c r="K97" s="33" t="n">
        <f>330.5</f>
        <v>330.5</v>
      </c>
      <c r="L97" s="34" t="s">
        <v>48</v>
      </c>
      <c r="M97" s="33" t="n">
        <f>387.8</f>
        <v>387.8</v>
      </c>
      <c r="N97" s="34" t="s">
        <v>74</v>
      </c>
      <c r="O97" s="33" t="n">
        <f>322.6</f>
        <v>322.6</v>
      </c>
      <c r="P97" s="34" t="s">
        <v>48</v>
      </c>
      <c r="Q97" s="33" t="n">
        <f>376.1</f>
        <v>376.1</v>
      </c>
      <c r="R97" s="34" t="s">
        <v>51</v>
      </c>
      <c r="S97" s="35" t="n">
        <f>360.94</f>
        <v>360.94</v>
      </c>
      <c r="T97" s="32" t="n">
        <f>545716630</f>
        <v>5.4571663E8</v>
      </c>
      <c r="U97" s="32" t="n">
        <f>10275670</f>
        <v>1.027567E7</v>
      </c>
      <c r="V97" s="32" t="n">
        <f>195844658684</f>
        <v>1.95844658684E11</v>
      </c>
      <c r="W97" s="32" t="n">
        <f>3694825905</f>
        <v>3.694825905E9</v>
      </c>
      <c r="X97" s="36" t="n">
        <f>20</f>
        <v>20.0</v>
      </c>
    </row>
    <row r="98">
      <c r="A98" s="27" t="s">
        <v>42</v>
      </c>
      <c r="B98" s="27" t="s">
        <v>335</v>
      </c>
      <c r="C98" s="27" t="s">
        <v>336</v>
      </c>
      <c r="D98" s="27" t="s">
        <v>337</v>
      </c>
      <c r="E98" s="28" t="s">
        <v>46</v>
      </c>
      <c r="F98" s="29" t="s">
        <v>46</v>
      </c>
      <c r="G98" s="30" t="s">
        <v>46</v>
      </c>
      <c r="H98" s="31"/>
      <c r="I98" s="31" t="s">
        <v>47</v>
      </c>
      <c r="J98" s="32" t="n">
        <v>10.0</v>
      </c>
      <c r="K98" s="33" t="n">
        <f>1348</f>
        <v>1348.0</v>
      </c>
      <c r="L98" s="34" t="s">
        <v>48</v>
      </c>
      <c r="M98" s="33" t="n">
        <f>1362.5</f>
        <v>1362.5</v>
      </c>
      <c r="N98" s="34" t="s">
        <v>48</v>
      </c>
      <c r="O98" s="33" t="n">
        <f>1242</f>
        <v>1242.0</v>
      </c>
      <c r="P98" s="34" t="s">
        <v>74</v>
      </c>
      <c r="Q98" s="33" t="n">
        <f>1258</f>
        <v>1258.0</v>
      </c>
      <c r="R98" s="34" t="s">
        <v>51</v>
      </c>
      <c r="S98" s="35" t="n">
        <f>1288.83</f>
        <v>1288.83</v>
      </c>
      <c r="T98" s="32" t="n">
        <f>11791280</f>
        <v>1.179128E7</v>
      </c>
      <c r="U98" s="32" t="n">
        <f>1639410</f>
        <v>1639410.0</v>
      </c>
      <c r="V98" s="32" t="n">
        <f>15195611469</f>
        <v>1.5195611469E10</v>
      </c>
      <c r="W98" s="32" t="n">
        <f>2122200014</f>
        <v>2.122200014E9</v>
      </c>
      <c r="X98" s="36" t="n">
        <f>20</f>
        <v>20.0</v>
      </c>
    </row>
    <row r="99">
      <c r="A99" s="27" t="s">
        <v>42</v>
      </c>
      <c r="B99" s="27" t="s">
        <v>338</v>
      </c>
      <c r="C99" s="27" t="s">
        <v>339</v>
      </c>
      <c r="D99" s="27" t="s">
        <v>340</v>
      </c>
      <c r="E99" s="28" t="s">
        <v>46</v>
      </c>
      <c r="F99" s="29" t="s">
        <v>46</v>
      </c>
      <c r="G99" s="30" t="s">
        <v>46</v>
      </c>
      <c r="H99" s="31"/>
      <c r="I99" s="31" t="s">
        <v>47</v>
      </c>
      <c r="J99" s="32" t="n">
        <v>10.0</v>
      </c>
      <c r="K99" s="33" t="n">
        <f>2063</f>
        <v>2063.0</v>
      </c>
      <c r="L99" s="34" t="s">
        <v>48</v>
      </c>
      <c r="M99" s="33" t="n">
        <f>2210</f>
        <v>2210.0</v>
      </c>
      <c r="N99" s="34" t="s">
        <v>214</v>
      </c>
      <c r="O99" s="33" t="n">
        <f>2052.5</f>
        <v>2052.5</v>
      </c>
      <c r="P99" s="34" t="s">
        <v>50</v>
      </c>
      <c r="Q99" s="33" t="n">
        <f>2132</f>
        <v>2132.0</v>
      </c>
      <c r="R99" s="34" t="s">
        <v>51</v>
      </c>
      <c r="S99" s="35" t="n">
        <f>2107.33</f>
        <v>2107.33</v>
      </c>
      <c r="T99" s="32" t="n">
        <f>5390</f>
        <v>5390.0</v>
      </c>
      <c r="U99" s="32" t="n">
        <f>20</f>
        <v>20.0</v>
      </c>
      <c r="V99" s="32" t="n">
        <f>11503802</f>
        <v>1.1503802E7</v>
      </c>
      <c r="W99" s="32" t="n">
        <f>42602</f>
        <v>42602.0</v>
      </c>
      <c r="X99" s="36" t="n">
        <f>15</f>
        <v>15.0</v>
      </c>
    </row>
    <row r="100">
      <c r="A100" s="27" t="s">
        <v>42</v>
      </c>
      <c r="B100" s="27" t="s">
        <v>341</v>
      </c>
      <c r="C100" s="27" t="s">
        <v>342</v>
      </c>
      <c r="D100" s="27" t="s">
        <v>343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1.0</v>
      </c>
      <c r="K100" s="33" t="n">
        <f>2437</f>
        <v>2437.0</v>
      </c>
      <c r="L100" s="34" t="s">
        <v>48</v>
      </c>
      <c r="M100" s="33" t="n">
        <f>2542</f>
        <v>2542.0</v>
      </c>
      <c r="N100" s="34" t="s">
        <v>74</v>
      </c>
      <c r="O100" s="33" t="n">
        <f>2385</f>
        <v>2385.0</v>
      </c>
      <c r="P100" s="34" t="s">
        <v>48</v>
      </c>
      <c r="Q100" s="33" t="n">
        <f>2480</f>
        <v>2480.0</v>
      </c>
      <c r="R100" s="34" t="s">
        <v>51</v>
      </c>
      <c r="S100" s="35" t="n">
        <f>2460.25</f>
        <v>2460.25</v>
      </c>
      <c r="T100" s="32" t="n">
        <f>4617</f>
        <v>4617.0</v>
      </c>
      <c r="U100" s="32" t="str">
        <f>"－"</f>
        <v>－</v>
      </c>
      <c r="V100" s="32" t="n">
        <f>11429349</f>
        <v>1.1429349E7</v>
      </c>
      <c r="W100" s="32" t="str">
        <f>"－"</f>
        <v>－</v>
      </c>
      <c r="X100" s="36" t="n">
        <f>20</f>
        <v>20.0</v>
      </c>
    </row>
    <row r="101">
      <c r="A101" s="27" t="s">
        <v>42</v>
      </c>
      <c r="B101" s="27" t="s">
        <v>344</v>
      </c>
      <c r="C101" s="27" t="s">
        <v>345</v>
      </c>
      <c r="D101" s="27" t="s">
        <v>346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1.0</v>
      </c>
      <c r="K101" s="33" t="n">
        <f>27540</f>
        <v>27540.0</v>
      </c>
      <c r="L101" s="34" t="s">
        <v>48</v>
      </c>
      <c r="M101" s="33" t="n">
        <f>28900</f>
        <v>28900.0</v>
      </c>
      <c r="N101" s="34" t="s">
        <v>49</v>
      </c>
      <c r="O101" s="33" t="n">
        <f>27405</f>
        <v>27405.0</v>
      </c>
      <c r="P101" s="34" t="s">
        <v>48</v>
      </c>
      <c r="Q101" s="33" t="n">
        <f>28570</f>
        <v>28570.0</v>
      </c>
      <c r="R101" s="34" t="s">
        <v>51</v>
      </c>
      <c r="S101" s="35" t="n">
        <f>28259.25</f>
        <v>28259.25</v>
      </c>
      <c r="T101" s="32" t="n">
        <f>139485</f>
        <v>139485.0</v>
      </c>
      <c r="U101" s="32" t="n">
        <f>95756</f>
        <v>95756.0</v>
      </c>
      <c r="V101" s="32" t="n">
        <f>3957883676</f>
        <v>3.957883676E9</v>
      </c>
      <c r="W101" s="32" t="n">
        <f>2716366996</f>
        <v>2.716366996E9</v>
      </c>
      <c r="X101" s="36" t="n">
        <f>20</f>
        <v>20.0</v>
      </c>
    </row>
    <row r="102">
      <c r="A102" s="27" t="s">
        <v>42</v>
      </c>
      <c r="B102" s="27" t="s">
        <v>347</v>
      </c>
      <c r="C102" s="27" t="s">
        <v>348</v>
      </c>
      <c r="D102" s="27" t="s">
        <v>349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1.0</v>
      </c>
      <c r="K102" s="33" t="n">
        <f>2521</f>
        <v>2521.0</v>
      </c>
      <c r="L102" s="34" t="s">
        <v>48</v>
      </c>
      <c r="M102" s="33" t="n">
        <f>2640</f>
        <v>2640.0</v>
      </c>
      <c r="N102" s="34" t="s">
        <v>49</v>
      </c>
      <c r="O102" s="33" t="n">
        <f>2504</f>
        <v>2504.0</v>
      </c>
      <c r="P102" s="34" t="s">
        <v>48</v>
      </c>
      <c r="Q102" s="33" t="n">
        <f>2608</f>
        <v>2608.0</v>
      </c>
      <c r="R102" s="34" t="s">
        <v>51</v>
      </c>
      <c r="S102" s="35" t="n">
        <f>2583.5</f>
        <v>2583.5</v>
      </c>
      <c r="T102" s="32" t="n">
        <f>444868</f>
        <v>444868.0</v>
      </c>
      <c r="U102" s="32" t="str">
        <f>"－"</f>
        <v>－</v>
      </c>
      <c r="V102" s="32" t="n">
        <f>1128093304</f>
        <v>1.128093304E9</v>
      </c>
      <c r="W102" s="32" t="str">
        <f>"－"</f>
        <v>－</v>
      </c>
      <c r="X102" s="36" t="n">
        <f>20</f>
        <v>20.0</v>
      </c>
    </row>
    <row r="103">
      <c r="A103" s="27" t="s">
        <v>42</v>
      </c>
      <c r="B103" s="27" t="s">
        <v>350</v>
      </c>
      <c r="C103" s="27" t="s">
        <v>351</v>
      </c>
      <c r="D103" s="27" t="s">
        <v>352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1.0</v>
      </c>
      <c r="K103" s="33" t="n">
        <f>28160</f>
        <v>28160.0</v>
      </c>
      <c r="L103" s="34" t="s">
        <v>48</v>
      </c>
      <c r="M103" s="33" t="n">
        <f>29515</f>
        <v>29515.0</v>
      </c>
      <c r="N103" s="34" t="s">
        <v>49</v>
      </c>
      <c r="O103" s="33" t="n">
        <f>28020</f>
        <v>28020.0</v>
      </c>
      <c r="P103" s="34" t="s">
        <v>48</v>
      </c>
      <c r="Q103" s="33" t="n">
        <f>29180</f>
        <v>29180.0</v>
      </c>
      <c r="R103" s="34" t="s">
        <v>51</v>
      </c>
      <c r="S103" s="35" t="n">
        <f>28902</f>
        <v>28902.0</v>
      </c>
      <c r="T103" s="32" t="n">
        <f>77912</f>
        <v>77912.0</v>
      </c>
      <c r="U103" s="32" t="n">
        <f>44646</f>
        <v>44646.0</v>
      </c>
      <c r="V103" s="32" t="n">
        <f>2265349655</f>
        <v>2.265349655E9</v>
      </c>
      <c r="W103" s="32" t="n">
        <f>1300593315</f>
        <v>1.300593315E9</v>
      </c>
      <c r="X103" s="36" t="n">
        <f>20</f>
        <v>20.0</v>
      </c>
    </row>
    <row r="104">
      <c r="A104" s="27" t="s">
        <v>42</v>
      </c>
      <c r="B104" s="27" t="s">
        <v>353</v>
      </c>
      <c r="C104" s="27" t="s">
        <v>354</v>
      </c>
      <c r="D104" s="27" t="s">
        <v>355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10.0</v>
      </c>
      <c r="K104" s="33" t="n">
        <f>1977</f>
        <v>1977.0</v>
      </c>
      <c r="L104" s="34" t="s">
        <v>48</v>
      </c>
      <c r="M104" s="33" t="n">
        <f>2008</f>
        <v>2008.0</v>
      </c>
      <c r="N104" s="34" t="s">
        <v>99</v>
      </c>
      <c r="O104" s="33" t="n">
        <f>1935</f>
        <v>1935.0</v>
      </c>
      <c r="P104" s="34" t="s">
        <v>103</v>
      </c>
      <c r="Q104" s="33" t="n">
        <f>1984</f>
        <v>1984.0</v>
      </c>
      <c r="R104" s="34" t="s">
        <v>51</v>
      </c>
      <c r="S104" s="35" t="n">
        <f>1976.83</f>
        <v>1976.83</v>
      </c>
      <c r="T104" s="32" t="n">
        <f>2062120</f>
        <v>2062120.0</v>
      </c>
      <c r="U104" s="32" t="n">
        <f>684660</f>
        <v>684660.0</v>
      </c>
      <c r="V104" s="32" t="n">
        <f>4069066415</f>
        <v>4.069066415E9</v>
      </c>
      <c r="W104" s="32" t="n">
        <f>1340873775</f>
        <v>1.340873775E9</v>
      </c>
      <c r="X104" s="36" t="n">
        <f>20</f>
        <v>20.0</v>
      </c>
    </row>
    <row r="105">
      <c r="A105" s="27" t="s">
        <v>42</v>
      </c>
      <c r="B105" s="27" t="s">
        <v>356</v>
      </c>
      <c r="C105" s="27" t="s">
        <v>357</v>
      </c>
      <c r="D105" s="27" t="s">
        <v>358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10.0</v>
      </c>
      <c r="K105" s="33" t="n">
        <f>2253.5</f>
        <v>2253.5</v>
      </c>
      <c r="L105" s="34" t="s">
        <v>48</v>
      </c>
      <c r="M105" s="33" t="n">
        <f>2484.5</f>
        <v>2484.5</v>
      </c>
      <c r="N105" s="34" t="s">
        <v>99</v>
      </c>
      <c r="O105" s="33" t="n">
        <f>2253.5</f>
        <v>2253.5</v>
      </c>
      <c r="P105" s="34" t="s">
        <v>48</v>
      </c>
      <c r="Q105" s="33" t="n">
        <f>2450</f>
        <v>2450.0</v>
      </c>
      <c r="R105" s="34" t="s">
        <v>51</v>
      </c>
      <c r="S105" s="35" t="n">
        <f>2383.73</f>
        <v>2383.73</v>
      </c>
      <c r="T105" s="32" t="n">
        <f>690</f>
        <v>690.0</v>
      </c>
      <c r="U105" s="32" t="str">
        <f>"－"</f>
        <v>－</v>
      </c>
      <c r="V105" s="32" t="n">
        <f>1632285</f>
        <v>1632285.0</v>
      </c>
      <c r="W105" s="32" t="str">
        <f>"－"</f>
        <v>－</v>
      </c>
      <c r="X105" s="36" t="n">
        <f>11</f>
        <v>11.0</v>
      </c>
    </row>
    <row r="106">
      <c r="A106" s="27" t="s">
        <v>42</v>
      </c>
      <c r="B106" s="27" t="s">
        <v>359</v>
      </c>
      <c r="C106" s="27" t="s">
        <v>360</v>
      </c>
      <c r="D106" s="27" t="s">
        <v>361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1.0</v>
      </c>
      <c r="K106" s="33" t="n">
        <f>2000</f>
        <v>2000.0</v>
      </c>
      <c r="L106" s="34" t="s">
        <v>48</v>
      </c>
      <c r="M106" s="33" t="n">
        <f>2012</f>
        <v>2012.0</v>
      </c>
      <c r="N106" s="34" t="s">
        <v>48</v>
      </c>
      <c r="O106" s="33" t="n">
        <f>1929.5</f>
        <v>1929.5</v>
      </c>
      <c r="P106" s="34" t="s">
        <v>103</v>
      </c>
      <c r="Q106" s="33" t="n">
        <f>1973</f>
        <v>1973.0</v>
      </c>
      <c r="R106" s="34" t="s">
        <v>51</v>
      </c>
      <c r="S106" s="35" t="n">
        <f>1975.3</f>
        <v>1975.3</v>
      </c>
      <c r="T106" s="32" t="n">
        <f>6694187</f>
        <v>6694187.0</v>
      </c>
      <c r="U106" s="32" t="n">
        <f>3030163</f>
        <v>3030163.0</v>
      </c>
      <c r="V106" s="32" t="n">
        <f>13209491134</f>
        <v>1.3209491134E10</v>
      </c>
      <c r="W106" s="32" t="n">
        <f>5953485953</f>
        <v>5.953485953E9</v>
      </c>
      <c r="X106" s="36" t="n">
        <f>20</f>
        <v>20.0</v>
      </c>
    </row>
    <row r="107">
      <c r="A107" s="27" t="s">
        <v>42</v>
      </c>
      <c r="B107" s="27" t="s">
        <v>362</v>
      </c>
      <c r="C107" s="27" t="s">
        <v>363</v>
      </c>
      <c r="D107" s="27" t="s">
        <v>364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1.0</v>
      </c>
      <c r="K107" s="33" t="n">
        <f>27820</f>
        <v>27820.0</v>
      </c>
      <c r="L107" s="34" t="s">
        <v>48</v>
      </c>
      <c r="M107" s="33" t="n">
        <f>29205</f>
        <v>29205.0</v>
      </c>
      <c r="N107" s="34" t="s">
        <v>49</v>
      </c>
      <c r="O107" s="33" t="n">
        <f>27775</f>
        <v>27775.0</v>
      </c>
      <c r="P107" s="34" t="s">
        <v>50</v>
      </c>
      <c r="Q107" s="33" t="n">
        <f>28885</f>
        <v>28885.0</v>
      </c>
      <c r="R107" s="34" t="s">
        <v>51</v>
      </c>
      <c r="S107" s="35" t="n">
        <f>28612.5</f>
        <v>28612.5</v>
      </c>
      <c r="T107" s="32" t="n">
        <f>9304</f>
        <v>9304.0</v>
      </c>
      <c r="U107" s="32" t="n">
        <f>4904</f>
        <v>4904.0</v>
      </c>
      <c r="V107" s="32" t="n">
        <f>268046837</f>
        <v>2.68046837E8</v>
      </c>
      <c r="W107" s="32" t="n">
        <f>141255837</f>
        <v>1.41255837E8</v>
      </c>
      <c r="X107" s="36" t="n">
        <f>20</f>
        <v>20.0</v>
      </c>
    </row>
    <row r="108">
      <c r="A108" s="27" t="s">
        <v>42</v>
      </c>
      <c r="B108" s="27" t="s">
        <v>365</v>
      </c>
      <c r="C108" s="27" t="s">
        <v>366</v>
      </c>
      <c r="D108" s="27" t="s">
        <v>367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10.0</v>
      </c>
      <c r="K108" s="33" t="n">
        <f>567.6</f>
        <v>567.6</v>
      </c>
      <c r="L108" s="34" t="s">
        <v>48</v>
      </c>
      <c r="M108" s="33" t="n">
        <f>594.4</f>
        <v>594.4</v>
      </c>
      <c r="N108" s="34" t="s">
        <v>49</v>
      </c>
      <c r="O108" s="33" t="n">
        <f>560.9</f>
        <v>560.9</v>
      </c>
      <c r="P108" s="34" t="s">
        <v>50</v>
      </c>
      <c r="Q108" s="33" t="n">
        <f>590.5</f>
        <v>590.5</v>
      </c>
      <c r="R108" s="34" t="s">
        <v>51</v>
      </c>
      <c r="S108" s="35" t="n">
        <f>580.94</f>
        <v>580.94</v>
      </c>
      <c r="T108" s="32" t="n">
        <f>2134020</f>
        <v>2134020.0</v>
      </c>
      <c r="U108" s="32" t="n">
        <f>1070020</f>
        <v>1070020.0</v>
      </c>
      <c r="V108" s="32" t="n">
        <f>1246954343</f>
        <v>1.246954343E9</v>
      </c>
      <c r="W108" s="32" t="n">
        <f>625809480</f>
        <v>6.2580948E8</v>
      </c>
      <c r="X108" s="36" t="n">
        <f>20</f>
        <v>20.0</v>
      </c>
    </row>
    <row r="109">
      <c r="A109" s="27" t="s">
        <v>42</v>
      </c>
      <c r="B109" s="27" t="s">
        <v>368</v>
      </c>
      <c r="C109" s="27" t="s">
        <v>369</v>
      </c>
      <c r="D109" s="27" t="s">
        <v>370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10.0</v>
      </c>
      <c r="K109" s="33" t="n">
        <f>448.7</f>
        <v>448.7</v>
      </c>
      <c r="L109" s="34" t="s">
        <v>48</v>
      </c>
      <c r="M109" s="33" t="n">
        <f>475.3</f>
        <v>475.3</v>
      </c>
      <c r="N109" s="34" t="s">
        <v>51</v>
      </c>
      <c r="O109" s="33" t="n">
        <f>435.6</f>
        <v>435.6</v>
      </c>
      <c r="P109" s="34" t="s">
        <v>50</v>
      </c>
      <c r="Q109" s="33" t="n">
        <f>472.3</f>
        <v>472.3</v>
      </c>
      <c r="R109" s="34" t="s">
        <v>51</v>
      </c>
      <c r="S109" s="35" t="n">
        <f>455.33</f>
        <v>455.33</v>
      </c>
      <c r="T109" s="32" t="n">
        <f>49682620</f>
        <v>4.968262E7</v>
      </c>
      <c r="U109" s="32" t="n">
        <f>5936850</f>
        <v>5936850.0</v>
      </c>
      <c r="V109" s="32" t="n">
        <f>22602828934</f>
        <v>2.2602828934E10</v>
      </c>
      <c r="W109" s="32" t="n">
        <f>2707372661</f>
        <v>2.707372661E9</v>
      </c>
      <c r="X109" s="36" t="n">
        <f>20</f>
        <v>20.0</v>
      </c>
    </row>
    <row r="110">
      <c r="A110" s="27" t="s">
        <v>42</v>
      </c>
      <c r="B110" s="27" t="s">
        <v>371</v>
      </c>
      <c r="C110" s="27" t="s">
        <v>372</v>
      </c>
      <c r="D110" s="27" t="s">
        <v>373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1.0</v>
      </c>
      <c r="K110" s="33" t="n">
        <f>39250</f>
        <v>39250.0</v>
      </c>
      <c r="L110" s="34" t="s">
        <v>48</v>
      </c>
      <c r="M110" s="33" t="n">
        <f>40900</f>
        <v>40900.0</v>
      </c>
      <c r="N110" s="34" t="s">
        <v>70</v>
      </c>
      <c r="O110" s="33" t="n">
        <f>39200</f>
        <v>39200.0</v>
      </c>
      <c r="P110" s="34" t="s">
        <v>48</v>
      </c>
      <c r="Q110" s="33" t="n">
        <f>40160</f>
        <v>40160.0</v>
      </c>
      <c r="R110" s="34" t="s">
        <v>51</v>
      </c>
      <c r="S110" s="35" t="n">
        <f>40165.5</f>
        <v>40165.5</v>
      </c>
      <c r="T110" s="32" t="n">
        <f>2973</f>
        <v>2973.0</v>
      </c>
      <c r="U110" s="32" t="n">
        <f>16</f>
        <v>16.0</v>
      </c>
      <c r="V110" s="32" t="n">
        <f>119854100</f>
        <v>1.198541E8</v>
      </c>
      <c r="W110" s="32" t="n">
        <f>640830</f>
        <v>640830.0</v>
      </c>
      <c r="X110" s="36" t="n">
        <f>20</f>
        <v>20.0</v>
      </c>
    </row>
    <row r="111">
      <c r="A111" s="27" t="s">
        <v>42</v>
      </c>
      <c r="B111" s="27" t="s">
        <v>374</v>
      </c>
      <c r="C111" s="27" t="s">
        <v>375</v>
      </c>
      <c r="D111" s="27" t="s">
        <v>376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1.0</v>
      </c>
      <c r="K111" s="33" t="n">
        <f>23710</f>
        <v>23710.0</v>
      </c>
      <c r="L111" s="34" t="s">
        <v>48</v>
      </c>
      <c r="M111" s="33" t="n">
        <f>26025</f>
        <v>26025.0</v>
      </c>
      <c r="N111" s="34" t="s">
        <v>49</v>
      </c>
      <c r="O111" s="33" t="n">
        <f>23635</f>
        <v>23635.0</v>
      </c>
      <c r="P111" s="34" t="s">
        <v>48</v>
      </c>
      <c r="Q111" s="33" t="n">
        <f>25300</f>
        <v>25300.0</v>
      </c>
      <c r="R111" s="34" t="s">
        <v>51</v>
      </c>
      <c r="S111" s="35" t="n">
        <f>24613.5</f>
        <v>24613.5</v>
      </c>
      <c r="T111" s="32" t="n">
        <f>14774</f>
        <v>14774.0</v>
      </c>
      <c r="U111" s="32" t="n">
        <f>101</f>
        <v>101.0</v>
      </c>
      <c r="V111" s="32" t="n">
        <f>364212337</f>
        <v>3.64212337E8</v>
      </c>
      <c r="W111" s="32" t="n">
        <f>2468457</f>
        <v>2468457.0</v>
      </c>
      <c r="X111" s="36" t="n">
        <f>20</f>
        <v>20.0</v>
      </c>
    </row>
    <row r="112">
      <c r="A112" s="27" t="s">
        <v>42</v>
      </c>
      <c r="B112" s="27" t="s">
        <v>377</v>
      </c>
      <c r="C112" s="27" t="s">
        <v>378</v>
      </c>
      <c r="D112" s="27" t="s">
        <v>379</v>
      </c>
      <c r="E112" s="28" t="s">
        <v>46</v>
      </c>
      <c r="F112" s="29" t="s">
        <v>46</v>
      </c>
      <c r="G112" s="30" t="s">
        <v>46</v>
      </c>
      <c r="H112" s="31"/>
      <c r="I112" s="31" t="s">
        <v>47</v>
      </c>
      <c r="J112" s="32" t="n">
        <v>1.0</v>
      </c>
      <c r="K112" s="33" t="n">
        <f>36400</f>
        <v>36400.0</v>
      </c>
      <c r="L112" s="34" t="s">
        <v>48</v>
      </c>
      <c r="M112" s="33" t="n">
        <f>38060</f>
        <v>38060.0</v>
      </c>
      <c r="N112" s="34" t="s">
        <v>199</v>
      </c>
      <c r="O112" s="33" t="n">
        <f>36290</f>
        <v>36290.0</v>
      </c>
      <c r="P112" s="34" t="s">
        <v>48</v>
      </c>
      <c r="Q112" s="33" t="n">
        <f>37390</f>
        <v>37390.0</v>
      </c>
      <c r="R112" s="34" t="s">
        <v>51</v>
      </c>
      <c r="S112" s="35" t="n">
        <f>37435</f>
        <v>37435.0</v>
      </c>
      <c r="T112" s="32" t="n">
        <f>10556</f>
        <v>10556.0</v>
      </c>
      <c r="U112" s="32" t="n">
        <f>5</f>
        <v>5.0</v>
      </c>
      <c r="V112" s="32" t="n">
        <f>395452244</f>
        <v>3.95452244E8</v>
      </c>
      <c r="W112" s="32" t="n">
        <f>187534</f>
        <v>187534.0</v>
      </c>
      <c r="X112" s="36" t="n">
        <f>20</f>
        <v>20.0</v>
      </c>
    </row>
    <row r="113">
      <c r="A113" s="27" t="s">
        <v>42</v>
      </c>
      <c r="B113" s="27" t="s">
        <v>380</v>
      </c>
      <c r="C113" s="27" t="s">
        <v>381</v>
      </c>
      <c r="D113" s="27" t="s">
        <v>382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1.0</v>
      </c>
      <c r="K113" s="33" t="n">
        <f>29575</f>
        <v>29575.0</v>
      </c>
      <c r="L113" s="34" t="s">
        <v>48</v>
      </c>
      <c r="M113" s="33" t="n">
        <f>30530</f>
        <v>30530.0</v>
      </c>
      <c r="N113" s="34" t="s">
        <v>49</v>
      </c>
      <c r="O113" s="33" t="n">
        <f>29360</f>
        <v>29360.0</v>
      </c>
      <c r="P113" s="34" t="s">
        <v>48</v>
      </c>
      <c r="Q113" s="33" t="n">
        <f>30350</f>
        <v>30350.0</v>
      </c>
      <c r="R113" s="34" t="s">
        <v>51</v>
      </c>
      <c r="S113" s="35" t="n">
        <f>29949</f>
        <v>29949.0</v>
      </c>
      <c r="T113" s="32" t="n">
        <f>4690</f>
        <v>4690.0</v>
      </c>
      <c r="U113" s="32" t="n">
        <f>42</f>
        <v>42.0</v>
      </c>
      <c r="V113" s="32" t="n">
        <f>140468725</f>
        <v>1.40468725E8</v>
      </c>
      <c r="W113" s="32" t="n">
        <f>1258105</f>
        <v>1258105.0</v>
      </c>
      <c r="X113" s="36" t="n">
        <f>20</f>
        <v>20.0</v>
      </c>
    </row>
    <row r="114">
      <c r="A114" s="27" t="s">
        <v>42</v>
      </c>
      <c r="B114" s="27" t="s">
        <v>383</v>
      </c>
      <c r="C114" s="27" t="s">
        <v>384</v>
      </c>
      <c r="D114" s="27" t="s">
        <v>385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1.0</v>
      </c>
      <c r="K114" s="33" t="n">
        <f>26195</f>
        <v>26195.0</v>
      </c>
      <c r="L114" s="34" t="s">
        <v>48</v>
      </c>
      <c r="M114" s="33" t="n">
        <f>27750</f>
        <v>27750.0</v>
      </c>
      <c r="N114" s="34" t="s">
        <v>199</v>
      </c>
      <c r="O114" s="33" t="n">
        <f>25890</f>
        <v>25890.0</v>
      </c>
      <c r="P114" s="34" t="s">
        <v>70</v>
      </c>
      <c r="Q114" s="33" t="n">
        <f>26085</f>
        <v>26085.0</v>
      </c>
      <c r="R114" s="34" t="s">
        <v>51</v>
      </c>
      <c r="S114" s="35" t="n">
        <f>26734</f>
        <v>26734.0</v>
      </c>
      <c r="T114" s="32" t="n">
        <f>31225</f>
        <v>31225.0</v>
      </c>
      <c r="U114" s="32" t="n">
        <f>18637</f>
        <v>18637.0</v>
      </c>
      <c r="V114" s="32" t="n">
        <f>838117193</f>
        <v>8.38117193E8</v>
      </c>
      <c r="W114" s="32" t="n">
        <f>502133503</f>
        <v>5.02133503E8</v>
      </c>
      <c r="X114" s="36" t="n">
        <f>20</f>
        <v>20.0</v>
      </c>
    </row>
    <row r="115">
      <c r="A115" s="27" t="s">
        <v>42</v>
      </c>
      <c r="B115" s="27" t="s">
        <v>386</v>
      </c>
      <c r="C115" s="27" t="s">
        <v>387</v>
      </c>
      <c r="D115" s="27" t="s">
        <v>388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1.0</v>
      </c>
      <c r="K115" s="33" t="n">
        <f>31850</f>
        <v>31850.0</v>
      </c>
      <c r="L115" s="34" t="s">
        <v>48</v>
      </c>
      <c r="M115" s="33" t="n">
        <f>33490</f>
        <v>33490.0</v>
      </c>
      <c r="N115" s="34" t="s">
        <v>49</v>
      </c>
      <c r="O115" s="33" t="n">
        <f>31750</f>
        <v>31750.0</v>
      </c>
      <c r="P115" s="34" t="s">
        <v>48</v>
      </c>
      <c r="Q115" s="33" t="n">
        <f>32400</f>
        <v>32400.0</v>
      </c>
      <c r="R115" s="34" t="s">
        <v>51</v>
      </c>
      <c r="S115" s="35" t="n">
        <f>32690</f>
        <v>32690.0</v>
      </c>
      <c r="T115" s="32" t="n">
        <f>13129</f>
        <v>13129.0</v>
      </c>
      <c r="U115" s="32" t="n">
        <f>116</f>
        <v>116.0</v>
      </c>
      <c r="V115" s="32" t="n">
        <f>430275356</f>
        <v>4.30275356E8</v>
      </c>
      <c r="W115" s="32" t="n">
        <f>3799226</f>
        <v>3799226.0</v>
      </c>
      <c r="X115" s="36" t="n">
        <f>20</f>
        <v>20.0</v>
      </c>
    </row>
    <row r="116">
      <c r="A116" s="27" t="s">
        <v>42</v>
      </c>
      <c r="B116" s="27" t="s">
        <v>389</v>
      </c>
      <c r="C116" s="27" t="s">
        <v>390</v>
      </c>
      <c r="D116" s="27" t="s">
        <v>391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1.0</v>
      </c>
      <c r="K116" s="33" t="n">
        <f>34480</f>
        <v>34480.0</v>
      </c>
      <c r="L116" s="34" t="s">
        <v>48</v>
      </c>
      <c r="M116" s="33" t="n">
        <f>37160</f>
        <v>37160.0</v>
      </c>
      <c r="N116" s="34" t="s">
        <v>70</v>
      </c>
      <c r="O116" s="33" t="n">
        <f>34030</f>
        <v>34030.0</v>
      </c>
      <c r="P116" s="34" t="s">
        <v>48</v>
      </c>
      <c r="Q116" s="33" t="n">
        <f>36850</f>
        <v>36850.0</v>
      </c>
      <c r="R116" s="34" t="s">
        <v>51</v>
      </c>
      <c r="S116" s="35" t="n">
        <f>35962</f>
        <v>35962.0</v>
      </c>
      <c r="T116" s="32" t="n">
        <f>10802</f>
        <v>10802.0</v>
      </c>
      <c r="U116" s="32" t="n">
        <f>109</f>
        <v>109.0</v>
      </c>
      <c r="V116" s="32" t="n">
        <f>387385706</f>
        <v>3.87385706E8</v>
      </c>
      <c r="W116" s="32" t="n">
        <f>3952186</f>
        <v>3952186.0</v>
      </c>
      <c r="X116" s="36" t="n">
        <f>20</f>
        <v>20.0</v>
      </c>
    </row>
    <row r="117">
      <c r="A117" s="27" t="s">
        <v>42</v>
      </c>
      <c r="B117" s="27" t="s">
        <v>392</v>
      </c>
      <c r="C117" s="27" t="s">
        <v>393</v>
      </c>
      <c r="D117" s="27" t="s">
        <v>394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1.0</v>
      </c>
      <c r="K117" s="33" t="n">
        <f>66670</f>
        <v>66670.0</v>
      </c>
      <c r="L117" s="34" t="s">
        <v>48</v>
      </c>
      <c r="M117" s="33" t="n">
        <f>69750</f>
        <v>69750.0</v>
      </c>
      <c r="N117" s="34" t="s">
        <v>51</v>
      </c>
      <c r="O117" s="33" t="n">
        <f>64560</f>
        <v>64560.0</v>
      </c>
      <c r="P117" s="34" t="s">
        <v>50</v>
      </c>
      <c r="Q117" s="33" t="n">
        <f>69670</f>
        <v>69670.0</v>
      </c>
      <c r="R117" s="34" t="s">
        <v>51</v>
      </c>
      <c r="S117" s="35" t="n">
        <f>67546</f>
        <v>67546.0</v>
      </c>
      <c r="T117" s="32" t="n">
        <f>7247</f>
        <v>7247.0</v>
      </c>
      <c r="U117" s="32" t="n">
        <f>2588</f>
        <v>2588.0</v>
      </c>
      <c r="V117" s="32" t="n">
        <f>483064143</f>
        <v>4.83064143E8</v>
      </c>
      <c r="W117" s="32" t="n">
        <f>168546323</f>
        <v>1.68546323E8</v>
      </c>
      <c r="X117" s="36" t="n">
        <f>20</f>
        <v>20.0</v>
      </c>
    </row>
    <row r="118">
      <c r="A118" s="27" t="s">
        <v>42</v>
      </c>
      <c r="B118" s="27" t="s">
        <v>395</v>
      </c>
      <c r="C118" s="27" t="s">
        <v>396</v>
      </c>
      <c r="D118" s="27" t="s">
        <v>397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1.0</v>
      </c>
      <c r="K118" s="33" t="n">
        <f>40150</f>
        <v>40150.0</v>
      </c>
      <c r="L118" s="34" t="s">
        <v>48</v>
      </c>
      <c r="M118" s="33" t="n">
        <f>43600</f>
        <v>43600.0</v>
      </c>
      <c r="N118" s="34" t="s">
        <v>398</v>
      </c>
      <c r="O118" s="33" t="n">
        <f>39480</f>
        <v>39480.0</v>
      </c>
      <c r="P118" s="34" t="s">
        <v>50</v>
      </c>
      <c r="Q118" s="33" t="n">
        <f>43010</f>
        <v>43010.0</v>
      </c>
      <c r="R118" s="34" t="s">
        <v>51</v>
      </c>
      <c r="S118" s="35" t="n">
        <f>41672</f>
        <v>41672.0</v>
      </c>
      <c r="T118" s="32" t="n">
        <f>33194</f>
        <v>33194.0</v>
      </c>
      <c r="U118" s="32" t="n">
        <f>26006</f>
        <v>26006.0</v>
      </c>
      <c r="V118" s="32" t="n">
        <f>1367895782</f>
        <v>1.367895782E9</v>
      </c>
      <c r="W118" s="32" t="n">
        <f>1065546762</f>
        <v>1.065546762E9</v>
      </c>
      <c r="X118" s="36" t="n">
        <f>20</f>
        <v>20.0</v>
      </c>
    </row>
    <row r="119">
      <c r="A119" s="27" t="s">
        <v>42</v>
      </c>
      <c r="B119" s="27" t="s">
        <v>399</v>
      </c>
      <c r="C119" s="27" t="s">
        <v>400</v>
      </c>
      <c r="D119" s="27" t="s">
        <v>401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1.0</v>
      </c>
      <c r="K119" s="33" t="n">
        <f>42790</f>
        <v>42790.0</v>
      </c>
      <c r="L119" s="34" t="s">
        <v>48</v>
      </c>
      <c r="M119" s="33" t="n">
        <f>44550</f>
        <v>44550.0</v>
      </c>
      <c r="N119" s="34" t="s">
        <v>203</v>
      </c>
      <c r="O119" s="33" t="n">
        <f>42170</f>
        <v>42170.0</v>
      </c>
      <c r="P119" s="34" t="s">
        <v>50</v>
      </c>
      <c r="Q119" s="33" t="n">
        <f>43200</f>
        <v>43200.0</v>
      </c>
      <c r="R119" s="34" t="s">
        <v>51</v>
      </c>
      <c r="S119" s="35" t="n">
        <f>43419.5</f>
        <v>43419.5</v>
      </c>
      <c r="T119" s="32" t="n">
        <f>3187</f>
        <v>3187.0</v>
      </c>
      <c r="U119" s="32" t="n">
        <f>43</f>
        <v>43.0</v>
      </c>
      <c r="V119" s="32" t="n">
        <f>138594531</f>
        <v>1.38594531E8</v>
      </c>
      <c r="W119" s="32" t="n">
        <f>1866071</f>
        <v>1866071.0</v>
      </c>
      <c r="X119" s="36" t="n">
        <f>20</f>
        <v>20.0</v>
      </c>
    </row>
    <row r="120">
      <c r="A120" s="27" t="s">
        <v>42</v>
      </c>
      <c r="B120" s="27" t="s">
        <v>402</v>
      </c>
      <c r="C120" s="27" t="s">
        <v>403</v>
      </c>
      <c r="D120" s="27" t="s">
        <v>404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1.0</v>
      </c>
      <c r="K120" s="33" t="n">
        <f>10105</f>
        <v>10105.0</v>
      </c>
      <c r="L120" s="34" t="s">
        <v>48</v>
      </c>
      <c r="M120" s="33" t="n">
        <f>10625</f>
        <v>10625.0</v>
      </c>
      <c r="N120" s="34" t="s">
        <v>155</v>
      </c>
      <c r="O120" s="33" t="n">
        <f>9910</f>
        <v>9910.0</v>
      </c>
      <c r="P120" s="34" t="s">
        <v>74</v>
      </c>
      <c r="Q120" s="33" t="n">
        <f>10005</f>
        <v>10005.0</v>
      </c>
      <c r="R120" s="34" t="s">
        <v>51</v>
      </c>
      <c r="S120" s="35" t="n">
        <f>10213.95</f>
        <v>10213.95</v>
      </c>
      <c r="T120" s="32" t="n">
        <f>101029</f>
        <v>101029.0</v>
      </c>
      <c r="U120" s="32" t="n">
        <f>32495</f>
        <v>32495.0</v>
      </c>
      <c r="V120" s="32" t="n">
        <f>1041087731</f>
        <v>1.041087731E9</v>
      </c>
      <c r="W120" s="32" t="n">
        <f>340583572</f>
        <v>3.40583572E8</v>
      </c>
      <c r="X120" s="36" t="n">
        <f>20</f>
        <v>20.0</v>
      </c>
    </row>
    <row r="121">
      <c r="A121" s="27" t="s">
        <v>42</v>
      </c>
      <c r="B121" s="27" t="s">
        <v>405</v>
      </c>
      <c r="C121" s="27" t="s">
        <v>406</v>
      </c>
      <c r="D121" s="27" t="s">
        <v>407</v>
      </c>
      <c r="E121" s="28" t="s">
        <v>46</v>
      </c>
      <c r="F121" s="29" t="s">
        <v>46</v>
      </c>
      <c r="G121" s="30" t="s">
        <v>46</v>
      </c>
      <c r="H121" s="31"/>
      <c r="I121" s="31" t="s">
        <v>47</v>
      </c>
      <c r="J121" s="32" t="n">
        <v>1.0</v>
      </c>
      <c r="K121" s="33" t="n">
        <f>20520</f>
        <v>20520.0</v>
      </c>
      <c r="L121" s="34" t="s">
        <v>48</v>
      </c>
      <c r="M121" s="33" t="n">
        <f>21390</f>
        <v>21390.0</v>
      </c>
      <c r="N121" s="34" t="s">
        <v>199</v>
      </c>
      <c r="O121" s="33" t="n">
        <f>20505</f>
        <v>20505.0</v>
      </c>
      <c r="P121" s="34" t="s">
        <v>48</v>
      </c>
      <c r="Q121" s="33" t="n">
        <f>20645</f>
        <v>20645.0</v>
      </c>
      <c r="R121" s="34" t="s">
        <v>51</v>
      </c>
      <c r="S121" s="35" t="n">
        <f>20967.25</f>
        <v>20967.25</v>
      </c>
      <c r="T121" s="32" t="n">
        <f>9074</f>
        <v>9074.0</v>
      </c>
      <c r="U121" s="32" t="n">
        <f>4</f>
        <v>4.0</v>
      </c>
      <c r="V121" s="32" t="n">
        <f>188451231</f>
        <v>1.88451231E8</v>
      </c>
      <c r="W121" s="32" t="n">
        <f>83761</f>
        <v>83761.0</v>
      </c>
      <c r="X121" s="36" t="n">
        <f>20</f>
        <v>20.0</v>
      </c>
    </row>
    <row r="122">
      <c r="A122" s="27" t="s">
        <v>42</v>
      </c>
      <c r="B122" s="27" t="s">
        <v>408</v>
      </c>
      <c r="C122" s="27" t="s">
        <v>409</v>
      </c>
      <c r="D122" s="27" t="s">
        <v>410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1.0</v>
      </c>
      <c r="K122" s="33" t="n">
        <f>95540</f>
        <v>95540.0</v>
      </c>
      <c r="L122" s="34" t="s">
        <v>48</v>
      </c>
      <c r="M122" s="33" t="n">
        <f>103350</f>
        <v>103350.0</v>
      </c>
      <c r="N122" s="34" t="s">
        <v>49</v>
      </c>
      <c r="O122" s="33" t="n">
        <f>94680</f>
        <v>94680.0</v>
      </c>
      <c r="P122" s="34" t="s">
        <v>48</v>
      </c>
      <c r="Q122" s="33" t="n">
        <f>100550</f>
        <v>100550.0</v>
      </c>
      <c r="R122" s="34" t="s">
        <v>51</v>
      </c>
      <c r="S122" s="35" t="n">
        <f>99554.5</f>
        <v>99554.5</v>
      </c>
      <c r="T122" s="32" t="n">
        <f>34921</f>
        <v>34921.0</v>
      </c>
      <c r="U122" s="32" t="n">
        <f>1532</f>
        <v>1532.0</v>
      </c>
      <c r="V122" s="32" t="n">
        <f>3478507950</f>
        <v>3.47850795E9</v>
      </c>
      <c r="W122" s="32" t="n">
        <f>151543190</f>
        <v>1.5154319E8</v>
      </c>
      <c r="X122" s="36" t="n">
        <f>20</f>
        <v>20.0</v>
      </c>
    </row>
    <row r="123">
      <c r="A123" s="27" t="s">
        <v>42</v>
      </c>
      <c r="B123" s="27" t="s">
        <v>411</v>
      </c>
      <c r="C123" s="27" t="s">
        <v>412</v>
      </c>
      <c r="D123" s="27" t="s">
        <v>413</v>
      </c>
      <c r="E123" s="28" t="s">
        <v>46</v>
      </c>
      <c r="F123" s="29" t="s">
        <v>46</v>
      </c>
      <c r="G123" s="30" t="s">
        <v>46</v>
      </c>
      <c r="H123" s="31"/>
      <c r="I123" s="31" t="s">
        <v>414</v>
      </c>
      <c r="J123" s="32" t="n">
        <v>1.0</v>
      </c>
      <c r="K123" s="33" t="n">
        <f>11045</f>
        <v>11045.0</v>
      </c>
      <c r="L123" s="34" t="s">
        <v>48</v>
      </c>
      <c r="M123" s="33" t="n">
        <f>11815</f>
        <v>11815.0</v>
      </c>
      <c r="N123" s="34" t="s">
        <v>49</v>
      </c>
      <c r="O123" s="33" t="n">
        <f>10880</f>
        <v>10880.0</v>
      </c>
      <c r="P123" s="34" t="s">
        <v>48</v>
      </c>
      <c r="Q123" s="33" t="n">
        <f>11675</f>
        <v>11675.0</v>
      </c>
      <c r="R123" s="34" t="s">
        <v>51</v>
      </c>
      <c r="S123" s="35" t="n">
        <f>11418.42</f>
        <v>11418.42</v>
      </c>
      <c r="T123" s="32" t="n">
        <f>8713</f>
        <v>8713.0</v>
      </c>
      <c r="U123" s="32" t="str">
        <f>"－"</f>
        <v>－</v>
      </c>
      <c r="V123" s="32" t="n">
        <f>100164175</f>
        <v>1.00164175E8</v>
      </c>
      <c r="W123" s="32" t="str">
        <f>"－"</f>
        <v>－</v>
      </c>
      <c r="X123" s="36" t="n">
        <f>19</f>
        <v>19.0</v>
      </c>
    </row>
    <row r="124">
      <c r="A124" s="27" t="s">
        <v>42</v>
      </c>
      <c r="B124" s="27" t="s">
        <v>415</v>
      </c>
      <c r="C124" s="27" t="s">
        <v>416</v>
      </c>
      <c r="D124" s="27" t="s">
        <v>417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1.0</v>
      </c>
      <c r="K124" s="33" t="n">
        <f>34000</f>
        <v>34000.0</v>
      </c>
      <c r="L124" s="34" t="s">
        <v>48</v>
      </c>
      <c r="M124" s="33" t="n">
        <f>35380</f>
        <v>35380.0</v>
      </c>
      <c r="N124" s="34" t="s">
        <v>199</v>
      </c>
      <c r="O124" s="33" t="n">
        <f>33940</f>
        <v>33940.0</v>
      </c>
      <c r="P124" s="34" t="s">
        <v>48</v>
      </c>
      <c r="Q124" s="33" t="n">
        <f>34100</f>
        <v>34100.0</v>
      </c>
      <c r="R124" s="34" t="s">
        <v>51</v>
      </c>
      <c r="S124" s="35" t="n">
        <f>34663</f>
        <v>34663.0</v>
      </c>
      <c r="T124" s="32" t="n">
        <f>2211</f>
        <v>2211.0</v>
      </c>
      <c r="U124" s="32" t="n">
        <f>11</f>
        <v>11.0</v>
      </c>
      <c r="V124" s="32" t="n">
        <f>76826703</f>
        <v>7.6826703E7</v>
      </c>
      <c r="W124" s="32" t="n">
        <f>380723</f>
        <v>380723.0</v>
      </c>
      <c r="X124" s="36" t="n">
        <f>20</f>
        <v>20.0</v>
      </c>
    </row>
    <row r="125">
      <c r="A125" s="27" t="s">
        <v>42</v>
      </c>
      <c r="B125" s="27" t="s">
        <v>418</v>
      </c>
      <c r="C125" s="27" t="s">
        <v>419</v>
      </c>
      <c r="D125" s="27" t="s">
        <v>420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1.0</v>
      </c>
      <c r="K125" s="33" t="n">
        <f>24110</f>
        <v>24110.0</v>
      </c>
      <c r="L125" s="34" t="s">
        <v>48</v>
      </c>
      <c r="M125" s="33" t="n">
        <f>25600</f>
        <v>25600.0</v>
      </c>
      <c r="N125" s="34" t="s">
        <v>70</v>
      </c>
      <c r="O125" s="33" t="n">
        <f>23400</f>
        <v>23400.0</v>
      </c>
      <c r="P125" s="34" t="s">
        <v>50</v>
      </c>
      <c r="Q125" s="33" t="n">
        <f>25185</f>
        <v>25185.0</v>
      </c>
      <c r="R125" s="34" t="s">
        <v>51</v>
      </c>
      <c r="S125" s="35" t="n">
        <f>24409.25</f>
        <v>24409.25</v>
      </c>
      <c r="T125" s="32" t="n">
        <f>120589</f>
        <v>120589.0</v>
      </c>
      <c r="U125" s="32" t="n">
        <f>45392</f>
        <v>45392.0</v>
      </c>
      <c r="V125" s="32" t="n">
        <f>2927814041</f>
        <v>2.927814041E9</v>
      </c>
      <c r="W125" s="32" t="n">
        <f>1095137426</f>
        <v>1.095137426E9</v>
      </c>
      <c r="X125" s="36" t="n">
        <f>20</f>
        <v>20.0</v>
      </c>
    </row>
    <row r="126">
      <c r="A126" s="27" t="s">
        <v>42</v>
      </c>
      <c r="B126" s="27" t="s">
        <v>421</v>
      </c>
      <c r="C126" s="27" t="s">
        <v>422</v>
      </c>
      <c r="D126" s="27" t="s">
        <v>423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1.0</v>
      </c>
      <c r="K126" s="33" t="n">
        <f>31860</f>
        <v>31860.0</v>
      </c>
      <c r="L126" s="34" t="s">
        <v>48</v>
      </c>
      <c r="M126" s="33" t="n">
        <f>32870</f>
        <v>32870.0</v>
      </c>
      <c r="N126" s="34" t="s">
        <v>424</v>
      </c>
      <c r="O126" s="33" t="n">
        <f>31030</f>
        <v>31030.0</v>
      </c>
      <c r="P126" s="34" t="s">
        <v>70</v>
      </c>
      <c r="Q126" s="33" t="n">
        <f>32000</f>
        <v>32000.0</v>
      </c>
      <c r="R126" s="34" t="s">
        <v>51</v>
      </c>
      <c r="S126" s="35" t="n">
        <f>32106</f>
        <v>32106.0</v>
      </c>
      <c r="T126" s="32" t="n">
        <f>32717</f>
        <v>32717.0</v>
      </c>
      <c r="U126" s="32" t="n">
        <f>22698</f>
        <v>22698.0</v>
      </c>
      <c r="V126" s="32" t="n">
        <f>1052354918</f>
        <v>1.052354918E9</v>
      </c>
      <c r="W126" s="32" t="n">
        <f>731264048</f>
        <v>7.31264048E8</v>
      </c>
      <c r="X126" s="36" t="n">
        <f>20</f>
        <v>20.0</v>
      </c>
    </row>
    <row r="127">
      <c r="A127" s="27" t="s">
        <v>42</v>
      </c>
      <c r="B127" s="27" t="s">
        <v>425</v>
      </c>
      <c r="C127" s="27" t="s">
        <v>426</v>
      </c>
      <c r="D127" s="27" t="s">
        <v>427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1.0</v>
      </c>
      <c r="K127" s="33" t="n">
        <f>45940</f>
        <v>45940.0</v>
      </c>
      <c r="L127" s="34" t="s">
        <v>48</v>
      </c>
      <c r="M127" s="33" t="n">
        <f>49060</f>
        <v>49060.0</v>
      </c>
      <c r="N127" s="34" t="s">
        <v>70</v>
      </c>
      <c r="O127" s="33" t="n">
        <f>45600</f>
        <v>45600.0</v>
      </c>
      <c r="P127" s="34" t="s">
        <v>48</v>
      </c>
      <c r="Q127" s="33" t="n">
        <f>47780</f>
        <v>47780.0</v>
      </c>
      <c r="R127" s="34" t="s">
        <v>51</v>
      </c>
      <c r="S127" s="35" t="n">
        <f>47379</f>
        <v>47379.0</v>
      </c>
      <c r="T127" s="32" t="n">
        <f>4125</f>
        <v>4125.0</v>
      </c>
      <c r="U127" s="32" t="n">
        <f>29</f>
        <v>29.0</v>
      </c>
      <c r="V127" s="32" t="n">
        <f>196311633</f>
        <v>1.96311633E8</v>
      </c>
      <c r="W127" s="32" t="n">
        <f>1381813</f>
        <v>1381813.0</v>
      </c>
      <c r="X127" s="36" t="n">
        <f>20</f>
        <v>20.0</v>
      </c>
    </row>
    <row r="128">
      <c r="A128" s="27" t="s">
        <v>42</v>
      </c>
      <c r="B128" s="27" t="s">
        <v>428</v>
      </c>
      <c r="C128" s="27" t="s">
        <v>429</v>
      </c>
      <c r="D128" s="27" t="s">
        <v>430</v>
      </c>
      <c r="E128" s="28" t="s">
        <v>46</v>
      </c>
      <c r="F128" s="29" t="s">
        <v>46</v>
      </c>
      <c r="G128" s="30" t="s">
        <v>46</v>
      </c>
      <c r="H128" s="31"/>
      <c r="I128" s="31" t="s">
        <v>414</v>
      </c>
      <c r="J128" s="32" t="n">
        <v>1.0</v>
      </c>
      <c r="K128" s="33" t="n">
        <f>8879</f>
        <v>8879.0</v>
      </c>
      <c r="L128" s="34" t="s">
        <v>48</v>
      </c>
      <c r="M128" s="33" t="n">
        <f>10700</f>
        <v>10700.0</v>
      </c>
      <c r="N128" s="34" t="s">
        <v>398</v>
      </c>
      <c r="O128" s="33" t="n">
        <f>8599</f>
        <v>8599.0</v>
      </c>
      <c r="P128" s="34" t="s">
        <v>50</v>
      </c>
      <c r="Q128" s="33" t="n">
        <f>10345</f>
        <v>10345.0</v>
      </c>
      <c r="R128" s="34" t="s">
        <v>51</v>
      </c>
      <c r="S128" s="35" t="n">
        <f>9633</f>
        <v>9633.0</v>
      </c>
      <c r="T128" s="32" t="n">
        <f>172191</f>
        <v>172191.0</v>
      </c>
      <c r="U128" s="32" t="str">
        <f>"－"</f>
        <v>－</v>
      </c>
      <c r="V128" s="32" t="n">
        <f>1707002459</f>
        <v>1.707002459E9</v>
      </c>
      <c r="W128" s="32" t="str">
        <f>"－"</f>
        <v>－</v>
      </c>
      <c r="X128" s="36" t="n">
        <f>20</f>
        <v>20.0</v>
      </c>
    </row>
    <row r="129">
      <c r="A129" s="27" t="s">
        <v>42</v>
      </c>
      <c r="B129" s="27" t="s">
        <v>431</v>
      </c>
      <c r="C129" s="27" t="s">
        <v>432</v>
      </c>
      <c r="D129" s="27" t="s">
        <v>433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1.0</v>
      </c>
      <c r="K129" s="33" t="n">
        <f>2351</f>
        <v>2351.0</v>
      </c>
      <c r="L129" s="34" t="s">
        <v>48</v>
      </c>
      <c r="M129" s="33" t="n">
        <f>2448</f>
        <v>2448.0</v>
      </c>
      <c r="N129" s="34" t="s">
        <v>70</v>
      </c>
      <c r="O129" s="33" t="n">
        <f>2339</f>
        <v>2339.0</v>
      </c>
      <c r="P129" s="34" t="s">
        <v>48</v>
      </c>
      <c r="Q129" s="33" t="n">
        <f>2412</f>
        <v>2412.0</v>
      </c>
      <c r="R129" s="34" t="s">
        <v>51</v>
      </c>
      <c r="S129" s="35" t="n">
        <f>2398.25</f>
        <v>2398.25</v>
      </c>
      <c r="T129" s="32" t="n">
        <f>2438655</f>
        <v>2438655.0</v>
      </c>
      <c r="U129" s="32" t="n">
        <f>2154267</f>
        <v>2154267.0</v>
      </c>
      <c r="V129" s="32" t="n">
        <f>5817822879</f>
        <v>5.817822879E9</v>
      </c>
      <c r="W129" s="32" t="n">
        <f>5135995557</f>
        <v>5.135995557E9</v>
      </c>
      <c r="X129" s="36" t="n">
        <f>20</f>
        <v>20.0</v>
      </c>
    </row>
    <row r="130">
      <c r="A130" s="27" t="s">
        <v>42</v>
      </c>
      <c r="B130" s="27" t="s">
        <v>434</v>
      </c>
      <c r="C130" s="27" t="s">
        <v>435</v>
      </c>
      <c r="D130" s="27" t="s">
        <v>436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10.0</v>
      </c>
      <c r="K130" s="33" t="n">
        <f>3614</f>
        <v>3614.0</v>
      </c>
      <c r="L130" s="34" t="s">
        <v>48</v>
      </c>
      <c r="M130" s="33" t="n">
        <f>3773</f>
        <v>3773.0</v>
      </c>
      <c r="N130" s="34" t="s">
        <v>398</v>
      </c>
      <c r="O130" s="33" t="n">
        <f>3614</f>
        <v>3614.0</v>
      </c>
      <c r="P130" s="34" t="s">
        <v>48</v>
      </c>
      <c r="Q130" s="33" t="n">
        <f>3768</f>
        <v>3768.0</v>
      </c>
      <c r="R130" s="34" t="s">
        <v>398</v>
      </c>
      <c r="S130" s="35" t="n">
        <f>3708.58</f>
        <v>3708.58</v>
      </c>
      <c r="T130" s="32" t="n">
        <f>18070</f>
        <v>18070.0</v>
      </c>
      <c r="U130" s="32" t="str">
        <f>"－"</f>
        <v>－</v>
      </c>
      <c r="V130" s="32" t="n">
        <f>66053510</f>
        <v>6.605351E7</v>
      </c>
      <c r="W130" s="32" t="str">
        <f>"－"</f>
        <v>－</v>
      </c>
      <c r="X130" s="36" t="n">
        <f>12</f>
        <v>12.0</v>
      </c>
    </row>
    <row r="131">
      <c r="A131" s="27" t="s">
        <v>42</v>
      </c>
      <c r="B131" s="27" t="s">
        <v>437</v>
      </c>
      <c r="C131" s="27" t="s">
        <v>438</v>
      </c>
      <c r="D131" s="27" t="s">
        <v>439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10.0</v>
      </c>
      <c r="K131" s="33" t="n">
        <f>3918</f>
        <v>3918.0</v>
      </c>
      <c r="L131" s="34" t="s">
        <v>50</v>
      </c>
      <c r="M131" s="33" t="n">
        <f>4103</f>
        <v>4103.0</v>
      </c>
      <c r="N131" s="34" t="s">
        <v>74</v>
      </c>
      <c r="O131" s="33" t="n">
        <f>3885</f>
        <v>3885.0</v>
      </c>
      <c r="P131" s="34" t="s">
        <v>50</v>
      </c>
      <c r="Q131" s="33" t="n">
        <f>4076</f>
        <v>4076.0</v>
      </c>
      <c r="R131" s="34" t="s">
        <v>51</v>
      </c>
      <c r="S131" s="35" t="n">
        <f>4032.59</f>
        <v>4032.59</v>
      </c>
      <c r="T131" s="32" t="n">
        <f>43260</f>
        <v>43260.0</v>
      </c>
      <c r="U131" s="32" t="str">
        <f>"－"</f>
        <v>－</v>
      </c>
      <c r="V131" s="32" t="n">
        <f>174198240</f>
        <v>1.7419824E8</v>
      </c>
      <c r="W131" s="32" t="str">
        <f>"－"</f>
        <v>－</v>
      </c>
      <c r="X131" s="36" t="n">
        <f>17</f>
        <v>17.0</v>
      </c>
    </row>
    <row r="132">
      <c r="A132" s="27" t="s">
        <v>42</v>
      </c>
      <c r="B132" s="27" t="s">
        <v>440</v>
      </c>
      <c r="C132" s="27" t="s">
        <v>441</v>
      </c>
      <c r="D132" s="27" t="s">
        <v>442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10.0</v>
      </c>
      <c r="K132" s="33" t="n">
        <f>2452</f>
        <v>2452.0</v>
      </c>
      <c r="L132" s="34" t="s">
        <v>62</v>
      </c>
      <c r="M132" s="33" t="n">
        <f>2599</f>
        <v>2599.0</v>
      </c>
      <c r="N132" s="34" t="s">
        <v>74</v>
      </c>
      <c r="O132" s="33" t="n">
        <f>2452</f>
        <v>2452.0</v>
      </c>
      <c r="P132" s="34" t="s">
        <v>62</v>
      </c>
      <c r="Q132" s="33" t="n">
        <f>2531</f>
        <v>2531.0</v>
      </c>
      <c r="R132" s="34" t="s">
        <v>51</v>
      </c>
      <c r="S132" s="35" t="n">
        <f>2522.38</f>
        <v>2522.38</v>
      </c>
      <c r="T132" s="32" t="n">
        <f>11860</f>
        <v>11860.0</v>
      </c>
      <c r="U132" s="32" t="str">
        <f>"－"</f>
        <v>－</v>
      </c>
      <c r="V132" s="32" t="n">
        <f>29449120</f>
        <v>2.944912E7</v>
      </c>
      <c r="W132" s="32" t="str">
        <f>"－"</f>
        <v>－</v>
      </c>
      <c r="X132" s="36" t="n">
        <f>8</f>
        <v>8.0</v>
      </c>
    </row>
    <row r="133">
      <c r="A133" s="27" t="s">
        <v>42</v>
      </c>
      <c r="B133" s="27" t="s">
        <v>443</v>
      </c>
      <c r="C133" s="27" t="s">
        <v>444</v>
      </c>
      <c r="D133" s="27" t="s">
        <v>445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10.0</v>
      </c>
      <c r="K133" s="33" t="n">
        <f>686</f>
        <v>686.0</v>
      </c>
      <c r="L133" s="34" t="s">
        <v>48</v>
      </c>
      <c r="M133" s="33" t="n">
        <f>716</f>
        <v>716.0</v>
      </c>
      <c r="N133" s="34" t="s">
        <v>70</v>
      </c>
      <c r="O133" s="33" t="n">
        <f>681.9</f>
        <v>681.9</v>
      </c>
      <c r="P133" s="34" t="s">
        <v>48</v>
      </c>
      <c r="Q133" s="33" t="n">
        <f>711.3</f>
        <v>711.3</v>
      </c>
      <c r="R133" s="34" t="s">
        <v>51</v>
      </c>
      <c r="S133" s="35" t="n">
        <f>699.59</f>
        <v>699.59</v>
      </c>
      <c r="T133" s="32" t="n">
        <f>27029890</f>
        <v>2.702989E7</v>
      </c>
      <c r="U133" s="32" t="n">
        <f>2223460</f>
        <v>2223460.0</v>
      </c>
      <c r="V133" s="32" t="n">
        <f>18909931020</f>
        <v>1.890993102E10</v>
      </c>
      <c r="W133" s="32" t="n">
        <f>1552779122</f>
        <v>1.552779122E9</v>
      </c>
      <c r="X133" s="36" t="n">
        <f>20</f>
        <v>20.0</v>
      </c>
    </row>
    <row r="134">
      <c r="A134" s="27" t="s">
        <v>42</v>
      </c>
      <c r="B134" s="27" t="s">
        <v>446</v>
      </c>
      <c r="C134" s="27" t="s">
        <v>447</v>
      </c>
      <c r="D134" s="27" t="s">
        <v>448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10.0</v>
      </c>
      <c r="K134" s="33" t="n">
        <f>297</f>
        <v>297.0</v>
      </c>
      <c r="L134" s="34" t="s">
        <v>48</v>
      </c>
      <c r="M134" s="33" t="n">
        <f>303.1</f>
        <v>303.1</v>
      </c>
      <c r="N134" s="34" t="s">
        <v>49</v>
      </c>
      <c r="O134" s="33" t="n">
        <f>294.6</f>
        <v>294.6</v>
      </c>
      <c r="P134" s="34" t="s">
        <v>48</v>
      </c>
      <c r="Q134" s="33" t="n">
        <f>300</f>
        <v>300.0</v>
      </c>
      <c r="R134" s="34" t="s">
        <v>51</v>
      </c>
      <c r="S134" s="35" t="n">
        <f>299.62</f>
        <v>299.62</v>
      </c>
      <c r="T134" s="32" t="n">
        <f>9261110</f>
        <v>9261110.0</v>
      </c>
      <c r="U134" s="32" t="n">
        <f>6719130</f>
        <v>6719130.0</v>
      </c>
      <c r="V134" s="32" t="n">
        <f>2782704602</f>
        <v>2.782704602E9</v>
      </c>
      <c r="W134" s="32" t="n">
        <f>2020119383</f>
        <v>2.020119383E9</v>
      </c>
      <c r="X134" s="36" t="n">
        <f>20</f>
        <v>20.0</v>
      </c>
    </row>
    <row r="135">
      <c r="A135" s="27" t="s">
        <v>42</v>
      </c>
      <c r="B135" s="27" t="s">
        <v>449</v>
      </c>
      <c r="C135" s="27" t="s">
        <v>450</v>
      </c>
      <c r="D135" s="27" t="s">
        <v>451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1.0</v>
      </c>
      <c r="K135" s="33" t="n">
        <f>5724</f>
        <v>5724.0</v>
      </c>
      <c r="L135" s="34" t="s">
        <v>48</v>
      </c>
      <c r="M135" s="33" t="n">
        <f>5949</f>
        <v>5949.0</v>
      </c>
      <c r="N135" s="34" t="s">
        <v>70</v>
      </c>
      <c r="O135" s="33" t="n">
        <f>5681</f>
        <v>5681.0</v>
      </c>
      <c r="P135" s="34" t="s">
        <v>48</v>
      </c>
      <c r="Q135" s="33" t="n">
        <f>5914</f>
        <v>5914.0</v>
      </c>
      <c r="R135" s="34" t="s">
        <v>51</v>
      </c>
      <c r="S135" s="35" t="n">
        <f>5820.2</f>
        <v>5820.2</v>
      </c>
      <c r="T135" s="32" t="n">
        <f>778339</f>
        <v>778339.0</v>
      </c>
      <c r="U135" s="32" t="n">
        <f>748687</f>
        <v>748687.0</v>
      </c>
      <c r="V135" s="32" t="n">
        <f>4491476586</f>
        <v>4.491476586E9</v>
      </c>
      <c r="W135" s="32" t="n">
        <f>4318711048</f>
        <v>4.318711048E9</v>
      </c>
      <c r="X135" s="36" t="n">
        <f>20</f>
        <v>20.0</v>
      </c>
    </row>
    <row r="136">
      <c r="A136" s="27" t="s">
        <v>42</v>
      </c>
      <c r="B136" s="27" t="s">
        <v>452</v>
      </c>
      <c r="C136" s="27" t="s">
        <v>453</v>
      </c>
      <c r="D136" s="27" t="s">
        <v>454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3064</f>
        <v>3064.0</v>
      </c>
      <c r="L136" s="34" t="s">
        <v>48</v>
      </c>
      <c r="M136" s="33" t="n">
        <f>3415</f>
        <v>3415.0</v>
      </c>
      <c r="N136" s="34" t="s">
        <v>69</v>
      </c>
      <c r="O136" s="33" t="n">
        <f>3053</f>
        <v>3053.0</v>
      </c>
      <c r="P136" s="34" t="s">
        <v>48</v>
      </c>
      <c r="Q136" s="33" t="n">
        <f>3270</f>
        <v>3270.0</v>
      </c>
      <c r="R136" s="34" t="s">
        <v>51</v>
      </c>
      <c r="S136" s="35" t="n">
        <f>3190.2</f>
        <v>3190.2</v>
      </c>
      <c r="T136" s="32" t="n">
        <f>85643</f>
        <v>85643.0</v>
      </c>
      <c r="U136" s="32" t="n">
        <f>2490</f>
        <v>2490.0</v>
      </c>
      <c r="V136" s="32" t="n">
        <f>273482400</f>
        <v>2.734824E8</v>
      </c>
      <c r="W136" s="32" t="n">
        <f>7894296</f>
        <v>7894296.0</v>
      </c>
      <c r="X136" s="36" t="n">
        <f>20</f>
        <v>20.0</v>
      </c>
    </row>
    <row r="137">
      <c r="A137" s="27" t="s">
        <v>42</v>
      </c>
      <c r="B137" s="27" t="s">
        <v>455</v>
      </c>
      <c r="C137" s="27" t="s">
        <v>456</v>
      </c>
      <c r="D137" s="27" t="s">
        <v>457</v>
      </c>
      <c r="E137" s="28" t="s">
        <v>46</v>
      </c>
      <c r="F137" s="29" t="s">
        <v>46</v>
      </c>
      <c r="G137" s="30" t="s">
        <v>46</v>
      </c>
      <c r="H137" s="31"/>
      <c r="I137" s="31" t="s">
        <v>47</v>
      </c>
      <c r="J137" s="32" t="n">
        <v>1.0</v>
      </c>
      <c r="K137" s="33" t="n">
        <f>3186</f>
        <v>3186.0</v>
      </c>
      <c r="L137" s="34" t="s">
        <v>48</v>
      </c>
      <c r="M137" s="33" t="n">
        <f>3250</f>
        <v>3250.0</v>
      </c>
      <c r="N137" s="34" t="s">
        <v>70</v>
      </c>
      <c r="O137" s="33" t="n">
        <f>3150</f>
        <v>3150.0</v>
      </c>
      <c r="P137" s="34" t="s">
        <v>99</v>
      </c>
      <c r="Q137" s="33" t="n">
        <f>3220</f>
        <v>3220.0</v>
      </c>
      <c r="R137" s="34" t="s">
        <v>51</v>
      </c>
      <c r="S137" s="35" t="n">
        <f>3199.75</f>
        <v>3199.75</v>
      </c>
      <c r="T137" s="32" t="n">
        <f>177468</f>
        <v>177468.0</v>
      </c>
      <c r="U137" s="32" t="n">
        <f>1267</f>
        <v>1267.0</v>
      </c>
      <c r="V137" s="32" t="n">
        <f>568477861</f>
        <v>5.68477861E8</v>
      </c>
      <c r="W137" s="32" t="n">
        <f>4057338</f>
        <v>4057338.0</v>
      </c>
      <c r="X137" s="36" t="n">
        <f>20</f>
        <v>20.0</v>
      </c>
    </row>
    <row r="138">
      <c r="A138" s="27" t="s">
        <v>42</v>
      </c>
      <c r="B138" s="27" t="s">
        <v>458</v>
      </c>
      <c r="C138" s="27" t="s">
        <v>459</v>
      </c>
      <c r="D138" s="27" t="s">
        <v>460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1.0</v>
      </c>
      <c r="K138" s="33" t="n">
        <f>11195</f>
        <v>11195.0</v>
      </c>
      <c r="L138" s="34" t="s">
        <v>48</v>
      </c>
      <c r="M138" s="33" t="n">
        <f>11400</f>
        <v>11400.0</v>
      </c>
      <c r="N138" s="34" t="s">
        <v>70</v>
      </c>
      <c r="O138" s="33" t="n">
        <f>10955</f>
        <v>10955.0</v>
      </c>
      <c r="P138" s="34" t="s">
        <v>103</v>
      </c>
      <c r="Q138" s="33" t="n">
        <f>11285</f>
        <v>11285.0</v>
      </c>
      <c r="R138" s="34" t="s">
        <v>51</v>
      </c>
      <c r="S138" s="35" t="n">
        <f>11211.5</f>
        <v>11211.5</v>
      </c>
      <c r="T138" s="32" t="n">
        <f>803004</f>
        <v>803004.0</v>
      </c>
      <c r="U138" s="32" t="n">
        <f>562578</f>
        <v>562578.0</v>
      </c>
      <c r="V138" s="32" t="n">
        <f>8963684915</f>
        <v>8.963684915E9</v>
      </c>
      <c r="W138" s="32" t="n">
        <f>6272266205</f>
        <v>6.272266205E9</v>
      </c>
      <c r="X138" s="36" t="n">
        <f>20</f>
        <v>20.0</v>
      </c>
    </row>
    <row r="139">
      <c r="A139" s="27" t="s">
        <v>42</v>
      </c>
      <c r="B139" s="27" t="s">
        <v>461</v>
      </c>
      <c r="C139" s="27" t="s">
        <v>462</v>
      </c>
      <c r="D139" s="27" t="s">
        <v>463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3011</f>
        <v>3011.0</v>
      </c>
      <c r="L139" s="34" t="s">
        <v>48</v>
      </c>
      <c r="M139" s="33" t="n">
        <f>3154</f>
        <v>3154.0</v>
      </c>
      <c r="N139" s="34" t="s">
        <v>49</v>
      </c>
      <c r="O139" s="33" t="n">
        <f>2928</f>
        <v>2928.0</v>
      </c>
      <c r="P139" s="34" t="s">
        <v>214</v>
      </c>
      <c r="Q139" s="33" t="n">
        <f>3024</f>
        <v>3024.0</v>
      </c>
      <c r="R139" s="34" t="s">
        <v>51</v>
      </c>
      <c r="S139" s="35" t="n">
        <f>3030.85</f>
        <v>3030.85</v>
      </c>
      <c r="T139" s="32" t="n">
        <f>3682820</f>
        <v>3682820.0</v>
      </c>
      <c r="U139" s="32" t="n">
        <f>25688</f>
        <v>25688.0</v>
      </c>
      <c r="V139" s="32" t="n">
        <f>11138778464</f>
        <v>1.1138778464E10</v>
      </c>
      <c r="W139" s="32" t="n">
        <f>78113930</f>
        <v>7.811393E7</v>
      </c>
      <c r="X139" s="36" t="n">
        <f>20</f>
        <v>20.0</v>
      </c>
    </row>
    <row r="140">
      <c r="A140" s="27" t="s">
        <v>42</v>
      </c>
      <c r="B140" s="27" t="s">
        <v>464</v>
      </c>
      <c r="C140" s="27" t="s">
        <v>465</v>
      </c>
      <c r="D140" s="27" t="s">
        <v>466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47190</f>
        <v>47190.0</v>
      </c>
      <c r="L140" s="34" t="s">
        <v>48</v>
      </c>
      <c r="M140" s="33" t="n">
        <f>53490</f>
        <v>53490.0</v>
      </c>
      <c r="N140" s="34" t="s">
        <v>51</v>
      </c>
      <c r="O140" s="33" t="n">
        <f>47100</f>
        <v>47100.0</v>
      </c>
      <c r="P140" s="34" t="s">
        <v>48</v>
      </c>
      <c r="Q140" s="33" t="n">
        <f>53320</f>
        <v>53320.0</v>
      </c>
      <c r="R140" s="34" t="s">
        <v>51</v>
      </c>
      <c r="S140" s="35" t="n">
        <f>50285</f>
        <v>50285.0</v>
      </c>
      <c r="T140" s="32" t="n">
        <f>26523</f>
        <v>26523.0</v>
      </c>
      <c r="U140" s="32" t="str">
        <f>"－"</f>
        <v>－</v>
      </c>
      <c r="V140" s="32" t="n">
        <f>1337833170</f>
        <v>1.33783317E9</v>
      </c>
      <c r="W140" s="32" t="str">
        <f>"－"</f>
        <v>－</v>
      </c>
      <c r="X140" s="36" t="n">
        <f>20</f>
        <v>20.0</v>
      </c>
    </row>
    <row r="141">
      <c r="A141" s="27" t="s">
        <v>42</v>
      </c>
      <c r="B141" s="27" t="s">
        <v>467</v>
      </c>
      <c r="C141" s="27" t="s">
        <v>468</v>
      </c>
      <c r="D141" s="27" t="s">
        <v>469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10.0</v>
      </c>
      <c r="K141" s="33" t="n">
        <f>5352</f>
        <v>5352.0</v>
      </c>
      <c r="L141" s="34" t="s">
        <v>48</v>
      </c>
      <c r="M141" s="33" t="n">
        <f>6681</f>
        <v>6681.0</v>
      </c>
      <c r="N141" s="34" t="s">
        <v>70</v>
      </c>
      <c r="O141" s="33" t="n">
        <f>5344</f>
        <v>5344.0</v>
      </c>
      <c r="P141" s="34" t="s">
        <v>48</v>
      </c>
      <c r="Q141" s="33" t="n">
        <f>6475</f>
        <v>6475.0</v>
      </c>
      <c r="R141" s="34" t="s">
        <v>51</v>
      </c>
      <c r="S141" s="35" t="n">
        <f>5763.2</f>
        <v>5763.2</v>
      </c>
      <c r="T141" s="32" t="n">
        <f>487880</f>
        <v>487880.0</v>
      </c>
      <c r="U141" s="32" t="str">
        <f>"－"</f>
        <v>－</v>
      </c>
      <c r="V141" s="32" t="n">
        <f>2903922670</f>
        <v>2.90392267E9</v>
      </c>
      <c r="W141" s="32" t="str">
        <f>"－"</f>
        <v>－</v>
      </c>
      <c r="X141" s="36" t="n">
        <f>20</f>
        <v>20.0</v>
      </c>
    </row>
    <row r="142">
      <c r="A142" s="27" t="s">
        <v>42</v>
      </c>
      <c r="B142" s="27" t="s">
        <v>470</v>
      </c>
      <c r="C142" s="27" t="s">
        <v>471</v>
      </c>
      <c r="D142" s="27" t="s">
        <v>472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1.0</v>
      </c>
      <c r="K142" s="33" t="n">
        <f>18375</f>
        <v>18375.0</v>
      </c>
      <c r="L142" s="34" t="s">
        <v>48</v>
      </c>
      <c r="M142" s="33" t="n">
        <f>24000</f>
        <v>24000.0</v>
      </c>
      <c r="N142" s="34" t="s">
        <v>70</v>
      </c>
      <c r="O142" s="33" t="n">
        <f>18375</f>
        <v>18375.0</v>
      </c>
      <c r="P142" s="34" t="s">
        <v>48</v>
      </c>
      <c r="Q142" s="33" t="n">
        <f>21840</f>
        <v>21840.0</v>
      </c>
      <c r="R142" s="34" t="s">
        <v>51</v>
      </c>
      <c r="S142" s="35" t="n">
        <f>19422.25</f>
        <v>19422.25</v>
      </c>
      <c r="T142" s="32" t="n">
        <f>75499</f>
        <v>75499.0</v>
      </c>
      <c r="U142" s="32" t="str">
        <f>"－"</f>
        <v>－</v>
      </c>
      <c r="V142" s="32" t="n">
        <f>1565764535</f>
        <v>1.565764535E9</v>
      </c>
      <c r="W142" s="32" t="str">
        <f>"－"</f>
        <v>－</v>
      </c>
      <c r="X142" s="36" t="n">
        <f>20</f>
        <v>20.0</v>
      </c>
    </row>
    <row r="143">
      <c r="A143" s="27" t="s">
        <v>42</v>
      </c>
      <c r="B143" s="27" t="s">
        <v>473</v>
      </c>
      <c r="C143" s="27" t="s">
        <v>474</v>
      </c>
      <c r="D143" s="27" t="s">
        <v>475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1.0</v>
      </c>
      <c r="K143" s="33" t="n">
        <f>14855</f>
        <v>14855.0</v>
      </c>
      <c r="L143" s="34" t="s">
        <v>48</v>
      </c>
      <c r="M143" s="33" t="n">
        <f>17765</f>
        <v>17765.0</v>
      </c>
      <c r="N143" s="34" t="s">
        <v>70</v>
      </c>
      <c r="O143" s="33" t="n">
        <f>14855</f>
        <v>14855.0</v>
      </c>
      <c r="P143" s="34" t="s">
        <v>48</v>
      </c>
      <c r="Q143" s="33" t="n">
        <f>17350</f>
        <v>17350.0</v>
      </c>
      <c r="R143" s="34" t="s">
        <v>51</v>
      </c>
      <c r="S143" s="35" t="n">
        <f>15938</f>
        <v>15938.0</v>
      </c>
      <c r="T143" s="32" t="n">
        <f>20962</f>
        <v>20962.0</v>
      </c>
      <c r="U143" s="32" t="str">
        <f>"－"</f>
        <v>－</v>
      </c>
      <c r="V143" s="32" t="n">
        <f>343190585</f>
        <v>3.43190585E8</v>
      </c>
      <c r="W143" s="32" t="str">
        <f>"－"</f>
        <v>－</v>
      </c>
      <c r="X143" s="36" t="n">
        <f>20</f>
        <v>20.0</v>
      </c>
    </row>
    <row r="144">
      <c r="A144" s="27" t="s">
        <v>42</v>
      </c>
      <c r="B144" s="27" t="s">
        <v>476</v>
      </c>
      <c r="C144" s="27" t="s">
        <v>477</v>
      </c>
      <c r="D144" s="27" t="s">
        <v>478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1.0</v>
      </c>
      <c r="K144" s="33" t="n">
        <f>29895</f>
        <v>29895.0</v>
      </c>
      <c r="L144" s="34" t="s">
        <v>48</v>
      </c>
      <c r="M144" s="33" t="n">
        <f>37000</f>
        <v>37000.0</v>
      </c>
      <c r="N144" s="34" t="s">
        <v>51</v>
      </c>
      <c r="O144" s="33" t="n">
        <f>29895</f>
        <v>29895.0</v>
      </c>
      <c r="P144" s="34" t="s">
        <v>48</v>
      </c>
      <c r="Q144" s="33" t="n">
        <f>34890</f>
        <v>34890.0</v>
      </c>
      <c r="R144" s="34" t="s">
        <v>51</v>
      </c>
      <c r="S144" s="35" t="n">
        <f>32248</f>
        <v>32248.0</v>
      </c>
      <c r="T144" s="32" t="n">
        <f>3629</f>
        <v>3629.0</v>
      </c>
      <c r="U144" s="32" t="str">
        <f>"－"</f>
        <v>－</v>
      </c>
      <c r="V144" s="32" t="n">
        <f>119194305</f>
        <v>1.19194305E8</v>
      </c>
      <c r="W144" s="32" t="str">
        <f>"－"</f>
        <v>－</v>
      </c>
      <c r="X144" s="36" t="n">
        <f>20</f>
        <v>20.0</v>
      </c>
    </row>
    <row r="145">
      <c r="A145" s="27" t="s">
        <v>42</v>
      </c>
      <c r="B145" s="27" t="s">
        <v>479</v>
      </c>
      <c r="C145" s="27" t="s">
        <v>480</v>
      </c>
      <c r="D145" s="27" t="s">
        <v>481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10.0</v>
      </c>
      <c r="K145" s="33" t="n">
        <f>56210</f>
        <v>56210.0</v>
      </c>
      <c r="L145" s="34" t="s">
        <v>207</v>
      </c>
      <c r="M145" s="33" t="n">
        <f>56970</f>
        <v>56970.0</v>
      </c>
      <c r="N145" s="34" t="s">
        <v>70</v>
      </c>
      <c r="O145" s="33" t="n">
        <f>56100</f>
        <v>56100.0</v>
      </c>
      <c r="P145" s="34" t="s">
        <v>207</v>
      </c>
      <c r="Q145" s="33" t="n">
        <f>56750</f>
        <v>56750.0</v>
      </c>
      <c r="R145" s="34" t="s">
        <v>51</v>
      </c>
      <c r="S145" s="35" t="n">
        <f>56592.63</f>
        <v>56592.63</v>
      </c>
      <c r="T145" s="32" t="n">
        <f>2240</f>
        <v>2240.0</v>
      </c>
      <c r="U145" s="32" t="n">
        <f>30</f>
        <v>30.0</v>
      </c>
      <c r="V145" s="32" t="n">
        <f>126857801</f>
        <v>1.26857801E8</v>
      </c>
      <c r="W145" s="32" t="n">
        <f>1698001</f>
        <v>1698001.0</v>
      </c>
      <c r="X145" s="36" t="n">
        <f>19</f>
        <v>19.0</v>
      </c>
    </row>
    <row r="146">
      <c r="A146" s="27" t="s">
        <v>42</v>
      </c>
      <c r="B146" s="27" t="s">
        <v>482</v>
      </c>
      <c r="C146" s="27" t="s">
        <v>483</v>
      </c>
      <c r="D146" s="27" t="s">
        <v>484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10.0</v>
      </c>
      <c r="K146" s="33" t="n">
        <f>325.5</f>
        <v>325.5</v>
      </c>
      <c r="L146" s="34" t="s">
        <v>48</v>
      </c>
      <c r="M146" s="33" t="n">
        <f>339.8</f>
        <v>339.8</v>
      </c>
      <c r="N146" s="34" t="s">
        <v>74</v>
      </c>
      <c r="O146" s="33" t="n">
        <f>324.5</f>
        <v>324.5</v>
      </c>
      <c r="P146" s="34" t="s">
        <v>48</v>
      </c>
      <c r="Q146" s="33" t="n">
        <f>327.4</f>
        <v>327.4</v>
      </c>
      <c r="R146" s="34" t="s">
        <v>51</v>
      </c>
      <c r="S146" s="35" t="n">
        <f>332.7</f>
        <v>332.7</v>
      </c>
      <c r="T146" s="32" t="n">
        <f>16192910</f>
        <v>1.619291E7</v>
      </c>
      <c r="U146" s="32" t="n">
        <f>425920</f>
        <v>425920.0</v>
      </c>
      <c r="V146" s="32" t="n">
        <f>5390749337</f>
        <v>5.390749337E9</v>
      </c>
      <c r="W146" s="32" t="n">
        <f>141521430</f>
        <v>1.4152143E8</v>
      </c>
      <c r="X146" s="36" t="n">
        <f>20</f>
        <v>20.0</v>
      </c>
    </row>
    <row r="147">
      <c r="A147" s="27" t="s">
        <v>42</v>
      </c>
      <c r="B147" s="27" t="s">
        <v>485</v>
      </c>
      <c r="C147" s="27" t="s">
        <v>486</v>
      </c>
      <c r="D147" s="27" t="s">
        <v>487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10.0</v>
      </c>
      <c r="K147" s="33" t="n">
        <f>54950</f>
        <v>54950.0</v>
      </c>
      <c r="L147" s="34" t="s">
        <v>48</v>
      </c>
      <c r="M147" s="33" t="n">
        <f>56990</f>
        <v>56990.0</v>
      </c>
      <c r="N147" s="34" t="s">
        <v>49</v>
      </c>
      <c r="O147" s="33" t="n">
        <f>54640</f>
        <v>54640.0</v>
      </c>
      <c r="P147" s="34" t="s">
        <v>62</v>
      </c>
      <c r="Q147" s="33" t="n">
        <f>56630</f>
        <v>56630.0</v>
      </c>
      <c r="R147" s="34" t="s">
        <v>51</v>
      </c>
      <c r="S147" s="35" t="n">
        <f>55546.5</f>
        <v>55546.5</v>
      </c>
      <c r="T147" s="32" t="n">
        <f>1350</f>
        <v>1350.0</v>
      </c>
      <c r="U147" s="32" t="n">
        <f>50</f>
        <v>50.0</v>
      </c>
      <c r="V147" s="32" t="n">
        <f>74759802</f>
        <v>7.4759802E7</v>
      </c>
      <c r="W147" s="32" t="n">
        <f>2777002</f>
        <v>2777002.0</v>
      </c>
      <c r="X147" s="36" t="n">
        <f>20</f>
        <v>20.0</v>
      </c>
    </row>
    <row r="148">
      <c r="A148" s="27" t="s">
        <v>42</v>
      </c>
      <c r="B148" s="27" t="s">
        <v>488</v>
      </c>
      <c r="C148" s="27" t="s">
        <v>489</v>
      </c>
      <c r="D148" s="27" t="s">
        <v>490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1.0</v>
      </c>
      <c r="K148" s="33" t="n">
        <f>6577</f>
        <v>6577.0</v>
      </c>
      <c r="L148" s="34" t="s">
        <v>48</v>
      </c>
      <c r="M148" s="33" t="n">
        <f>6845</f>
        <v>6845.0</v>
      </c>
      <c r="N148" s="34" t="s">
        <v>70</v>
      </c>
      <c r="O148" s="33" t="n">
        <f>6549</f>
        <v>6549.0</v>
      </c>
      <c r="P148" s="34" t="s">
        <v>48</v>
      </c>
      <c r="Q148" s="33" t="n">
        <f>6800</f>
        <v>6800.0</v>
      </c>
      <c r="R148" s="34" t="s">
        <v>51</v>
      </c>
      <c r="S148" s="35" t="n">
        <f>6699.65</f>
        <v>6699.65</v>
      </c>
      <c r="T148" s="32" t="n">
        <f>58484</f>
        <v>58484.0</v>
      </c>
      <c r="U148" s="32" t="n">
        <f>331</f>
        <v>331.0</v>
      </c>
      <c r="V148" s="32" t="n">
        <f>392868011</f>
        <v>3.92868011E8</v>
      </c>
      <c r="W148" s="32" t="n">
        <f>2182096</f>
        <v>2182096.0</v>
      </c>
      <c r="X148" s="36" t="n">
        <f>20</f>
        <v>20.0</v>
      </c>
    </row>
    <row r="149">
      <c r="A149" s="27" t="s">
        <v>42</v>
      </c>
      <c r="B149" s="27" t="s">
        <v>491</v>
      </c>
      <c r="C149" s="27" t="s">
        <v>492</v>
      </c>
      <c r="D149" s="27" t="s">
        <v>493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1.0</v>
      </c>
      <c r="K149" s="33" t="n">
        <f>2326</f>
        <v>2326.0</v>
      </c>
      <c r="L149" s="34" t="s">
        <v>48</v>
      </c>
      <c r="M149" s="33" t="n">
        <f>2532</f>
        <v>2532.0</v>
      </c>
      <c r="N149" s="34" t="s">
        <v>398</v>
      </c>
      <c r="O149" s="33" t="n">
        <f>2326</f>
        <v>2326.0</v>
      </c>
      <c r="P149" s="34" t="s">
        <v>48</v>
      </c>
      <c r="Q149" s="33" t="n">
        <f>2513</f>
        <v>2513.0</v>
      </c>
      <c r="R149" s="34" t="s">
        <v>51</v>
      </c>
      <c r="S149" s="35" t="n">
        <f>2443.05</f>
        <v>2443.05</v>
      </c>
      <c r="T149" s="32" t="n">
        <f>192592</f>
        <v>192592.0</v>
      </c>
      <c r="U149" s="32" t="n">
        <f>3310</f>
        <v>3310.0</v>
      </c>
      <c r="V149" s="32" t="n">
        <f>477856345</f>
        <v>4.77856345E8</v>
      </c>
      <c r="W149" s="32" t="n">
        <f>8169645</f>
        <v>8169645.0</v>
      </c>
      <c r="X149" s="36" t="n">
        <f>20</f>
        <v>20.0</v>
      </c>
    </row>
    <row r="150">
      <c r="A150" s="27" t="s">
        <v>42</v>
      </c>
      <c r="B150" s="27" t="s">
        <v>494</v>
      </c>
      <c r="C150" s="27" t="s">
        <v>495</v>
      </c>
      <c r="D150" s="27" t="s">
        <v>496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10.0</v>
      </c>
      <c r="K150" s="33" t="n">
        <f>1748.5</f>
        <v>1748.5</v>
      </c>
      <c r="L150" s="34" t="s">
        <v>48</v>
      </c>
      <c r="M150" s="33" t="n">
        <f>1800</f>
        <v>1800.0</v>
      </c>
      <c r="N150" s="34" t="s">
        <v>70</v>
      </c>
      <c r="O150" s="33" t="n">
        <f>1708.5</f>
        <v>1708.5</v>
      </c>
      <c r="P150" s="34" t="s">
        <v>207</v>
      </c>
      <c r="Q150" s="33" t="n">
        <f>1800</f>
        <v>1800.0</v>
      </c>
      <c r="R150" s="34" t="s">
        <v>70</v>
      </c>
      <c r="S150" s="35" t="n">
        <f>1751.04</f>
        <v>1751.04</v>
      </c>
      <c r="T150" s="32" t="n">
        <f>1830</f>
        <v>1830.0</v>
      </c>
      <c r="U150" s="32" t="str">
        <f>"－"</f>
        <v>－</v>
      </c>
      <c r="V150" s="32" t="n">
        <f>3234500</f>
        <v>3234500.0</v>
      </c>
      <c r="W150" s="32" t="str">
        <f>"－"</f>
        <v>－</v>
      </c>
      <c r="X150" s="36" t="n">
        <f>13</f>
        <v>13.0</v>
      </c>
    </row>
    <row r="151">
      <c r="A151" s="27" t="s">
        <v>42</v>
      </c>
      <c r="B151" s="27" t="s">
        <v>497</v>
      </c>
      <c r="C151" s="27" t="s">
        <v>498</v>
      </c>
      <c r="D151" s="27" t="s">
        <v>499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10.0</v>
      </c>
      <c r="K151" s="33" t="n">
        <f>501.1</f>
        <v>501.1</v>
      </c>
      <c r="L151" s="34" t="s">
        <v>48</v>
      </c>
      <c r="M151" s="33" t="n">
        <f>530</f>
        <v>530.0</v>
      </c>
      <c r="N151" s="34" t="s">
        <v>70</v>
      </c>
      <c r="O151" s="33" t="n">
        <f>491.4</f>
        <v>491.4</v>
      </c>
      <c r="P151" s="34" t="s">
        <v>214</v>
      </c>
      <c r="Q151" s="33" t="n">
        <f>520</f>
        <v>520.0</v>
      </c>
      <c r="R151" s="34" t="s">
        <v>51</v>
      </c>
      <c r="S151" s="35" t="n">
        <f>508.99</f>
        <v>508.99</v>
      </c>
      <c r="T151" s="32" t="n">
        <f>56320</f>
        <v>56320.0</v>
      </c>
      <c r="U151" s="32" t="str">
        <f>"－"</f>
        <v>－</v>
      </c>
      <c r="V151" s="32" t="n">
        <f>28562923</f>
        <v>2.8562923E7</v>
      </c>
      <c r="W151" s="32" t="str">
        <f>"－"</f>
        <v>－</v>
      </c>
      <c r="X151" s="36" t="n">
        <f>19</f>
        <v>19.0</v>
      </c>
    </row>
    <row r="152">
      <c r="A152" s="27" t="s">
        <v>42</v>
      </c>
      <c r="B152" s="27" t="s">
        <v>500</v>
      </c>
      <c r="C152" s="27" t="s">
        <v>501</v>
      </c>
      <c r="D152" s="27" t="s">
        <v>502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10.0</v>
      </c>
      <c r="K152" s="33" t="n">
        <f>2330</f>
        <v>2330.0</v>
      </c>
      <c r="L152" s="34" t="s">
        <v>48</v>
      </c>
      <c r="M152" s="33" t="n">
        <f>2499.5</f>
        <v>2499.5</v>
      </c>
      <c r="N152" s="34" t="s">
        <v>49</v>
      </c>
      <c r="O152" s="33" t="n">
        <f>2230</f>
        <v>2230.0</v>
      </c>
      <c r="P152" s="34" t="s">
        <v>48</v>
      </c>
      <c r="Q152" s="33" t="n">
        <f>2428</f>
        <v>2428.0</v>
      </c>
      <c r="R152" s="34" t="s">
        <v>51</v>
      </c>
      <c r="S152" s="35" t="n">
        <f>2305.65</f>
        <v>2305.65</v>
      </c>
      <c r="T152" s="32" t="n">
        <f>3520</f>
        <v>3520.0</v>
      </c>
      <c r="U152" s="32" t="str">
        <f>"－"</f>
        <v>－</v>
      </c>
      <c r="V152" s="32" t="n">
        <f>8125540</f>
        <v>8125540.0</v>
      </c>
      <c r="W152" s="32" t="str">
        <f>"－"</f>
        <v>－</v>
      </c>
      <c r="X152" s="36" t="n">
        <f>17</f>
        <v>17.0</v>
      </c>
    </row>
    <row r="153">
      <c r="A153" s="27" t="s">
        <v>42</v>
      </c>
      <c r="B153" s="27" t="s">
        <v>503</v>
      </c>
      <c r="C153" s="27" t="s">
        <v>504</v>
      </c>
      <c r="D153" s="27" t="s">
        <v>505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10.0</v>
      </c>
      <c r="K153" s="33" t="n">
        <f>890.4</f>
        <v>890.4</v>
      </c>
      <c r="L153" s="34" t="s">
        <v>48</v>
      </c>
      <c r="M153" s="33" t="n">
        <f>899.9</f>
        <v>899.9</v>
      </c>
      <c r="N153" s="34" t="s">
        <v>50</v>
      </c>
      <c r="O153" s="33" t="n">
        <f>860.1</f>
        <v>860.1</v>
      </c>
      <c r="P153" s="34" t="s">
        <v>61</v>
      </c>
      <c r="Q153" s="33" t="n">
        <f>870</f>
        <v>870.0</v>
      </c>
      <c r="R153" s="34" t="s">
        <v>51</v>
      </c>
      <c r="S153" s="35" t="n">
        <f>881.23</f>
        <v>881.23</v>
      </c>
      <c r="T153" s="32" t="n">
        <f>33680</f>
        <v>33680.0</v>
      </c>
      <c r="U153" s="32" t="str">
        <f>"－"</f>
        <v>－</v>
      </c>
      <c r="V153" s="32" t="n">
        <f>29668548</f>
        <v>2.9668548E7</v>
      </c>
      <c r="W153" s="32" t="str">
        <f>"－"</f>
        <v>－</v>
      </c>
      <c r="X153" s="36" t="n">
        <f>20</f>
        <v>20.0</v>
      </c>
    </row>
    <row r="154">
      <c r="A154" s="27" t="s">
        <v>42</v>
      </c>
      <c r="B154" s="27" t="s">
        <v>506</v>
      </c>
      <c r="C154" s="27" t="s">
        <v>507</v>
      </c>
      <c r="D154" s="27" t="s">
        <v>508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10.0</v>
      </c>
      <c r="K154" s="33" t="n">
        <f>487.3</f>
        <v>487.3</v>
      </c>
      <c r="L154" s="34" t="s">
        <v>48</v>
      </c>
      <c r="M154" s="33" t="n">
        <f>490.7</f>
        <v>490.7</v>
      </c>
      <c r="N154" s="34" t="s">
        <v>50</v>
      </c>
      <c r="O154" s="33" t="n">
        <f>475.5</f>
        <v>475.5</v>
      </c>
      <c r="P154" s="34" t="s">
        <v>195</v>
      </c>
      <c r="Q154" s="33" t="n">
        <f>478.6</f>
        <v>478.6</v>
      </c>
      <c r="R154" s="34" t="s">
        <v>51</v>
      </c>
      <c r="S154" s="35" t="n">
        <f>483.54</f>
        <v>483.54</v>
      </c>
      <c r="T154" s="32" t="n">
        <f>293110</f>
        <v>293110.0</v>
      </c>
      <c r="U154" s="32" t="str">
        <f>"－"</f>
        <v>－</v>
      </c>
      <c r="V154" s="32" t="n">
        <f>140473690</f>
        <v>1.4047369E8</v>
      </c>
      <c r="W154" s="32" t="str">
        <f>"－"</f>
        <v>－</v>
      </c>
      <c r="X154" s="36" t="n">
        <f>20</f>
        <v>20.0</v>
      </c>
    </row>
    <row r="155">
      <c r="A155" s="27" t="s">
        <v>42</v>
      </c>
      <c r="B155" s="27" t="s">
        <v>509</v>
      </c>
      <c r="C155" s="27" t="s">
        <v>510</v>
      </c>
      <c r="D155" s="27" t="s">
        <v>511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1.0</v>
      </c>
      <c r="K155" s="33" t="n">
        <f>975</f>
        <v>975.0</v>
      </c>
      <c r="L155" s="34" t="s">
        <v>48</v>
      </c>
      <c r="M155" s="33" t="n">
        <f>998</f>
        <v>998.0</v>
      </c>
      <c r="N155" s="34" t="s">
        <v>512</v>
      </c>
      <c r="O155" s="33" t="n">
        <f>922</f>
        <v>922.0</v>
      </c>
      <c r="P155" s="34" t="s">
        <v>61</v>
      </c>
      <c r="Q155" s="33" t="n">
        <f>956</f>
        <v>956.0</v>
      </c>
      <c r="R155" s="34" t="s">
        <v>51</v>
      </c>
      <c r="S155" s="35" t="n">
        <f>962.05</f>
        <v>962.05</v>
      </c>
      <c r="T155" s="32" t="n">
        <f>843514</f>
        <v>843514.0</v>
      </c>
      <c r="U155" s="32" t="str">
        <f>"－"</f>
        <v>－</v>
      </c>
      <c r="V155" s="32" t="n">
        <f>808205129</f>
        <v>8.08205129E8</v>
      </c>
      <c r="W155" s="32" t="str">
        <f>"－"</f>
        <v>－</v>
      </c>
      <c r="X155" s="36" t="n">
        <f>20</f>
        <v>20.0</v>
      </c>
    </row>
    <row r="156">
      <c r="A156" s="27" t="s">
        <v>42</v>
      </c>
      <c r="B156" s="27" t="s">
        <v>513</v>
      </c>
      <c r="C156" s="27" t="s">
        <v>514</v>
      </c>
      <c r="D156" s="27" t="s">
        <v>515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10.0</v>
      </c>
      <c r="K156" s="33" t="n">
        <f>1412.5</f>
        <v>1412.5</v>
      </c>
      <c r="L156" s="34" t="s">
        <v>48</v>
      </c>
      <c r="M156" s="33" t="n">
        <f>1476.5</f>
        <v>1476.5</v>
      </c>
      <c r="N156" s="34" t="s">
        <v>49</v>
      </c>
      <c r="O156" s="33" t="n">
        <f>1382</f>
        <v>1382.0</v>
      </c>
      <c r="P156" s="34" t="s">
        <v>214</v>
      </c>
      <c r="Q156" s="33" t="n">
        <f>1422.5</f>
        <v>1422.5</v>
      </c>
      <c r="R156" s="34" t="s">
        <v>51</v>
      </c>
      <c r="S156" s="35" t="n">
        <f>1421.33</f>
        <v>1421.33</v>
      </c>
      <c r="T156" s="32" t="n">
        <f>38890</f>
        <v>38890.0</v>
      </c>
      <c r="U156" s="32" t="str">
        <f>"－"</f>
        <v>－</v>
      </c>
      <c r="V156" s="32" t="n">
        <f>55372920</f>
        <v>5.537292E7</v>
      </c>
      <c r="W156" s="32" t="str">
        <f>"－"</f>
        <v>－</v>
      </c>
      <c r="X156" s="36" t="n">
        <f>20</f>
        <v>20.0</v>
      </c>
    </row>
    <row r="157">
      <c r="A157" s="27" t="s">
        <v>42</v>
      </c>
      <c r="B157" s="27" t="s">
        <v>516</v>
      </c>
      <c r="C157" s="27" t="s">
        <v>517</v>
      </c>
      <c r="D157" s="27" t="s">
        <v>518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1.0</v>
      </c>
      <c r="K157" s="33" t="n">
        <f>7733</f>
        <v>7733.0</v>
      </c>
      <c r="L157" s="34" t="s">
        <v>48</v>
      </c>
      <c r="M157" s="33" t="n">
        <f>8145</f>
        <v>8145.0</v>
      </c>
      <c r="N157" s="34" t="s">
        <v>70</v>
      </c>
      <c r="O157" s="33" t="n">
        <f>7649</f>
        <v>7649.0</v>
      </c>
      <c r="P157" s="34" t="s">
        <v>207</v>
      </c>
      <c r="Q157" s="33" t="n">
        <f>7900</f>
        <v>7900.0</v>
      </c>
      <c r="R157" s="34" t="s">
        <v>51</v>
      </c>
      <c r="S157" s="35" t="n">
        <f>7888.47</f>
        <v>7888.47</v>
      </c>
      <c r="T157" s="32" t="n">
        <f>4169</f>
        <v>4169.0</v>
      </c>
      <c r="U157" s="32" t="str">
        <f>"－"</f>
        <v>－</v>
      </c>
      <c r="V157" s="32" t="n">
        <f>33020254</f>
        <v>3.3020254E7</v>
      </c>
      <c r="W157" s="32" t="str">
        <f>"－"</f>
        <v>－</v>
      </c>
      <c r="X157" s="36" t="n">
        <f>19</f>
        <v>19.0</v>
      </c>
    </row>
    <row r="158">
      <c r="A158" s="27" t="s">
        <v>42</v>
      </c>
      <c r="B158" s="27" t="s">
        <v>519</v>
      </c>
      <c r="C158" s="27" t="s">
        <v>520</v>
      </c>
      <c r="D158" s="27" t="s">
        <v>521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100.0</v>
      </c>
      <c r="K158" s="33" t="n">
        <f>494.4</f>
        <v>494.4</v>
      </c>
      <c r="L158" s="34" t="s">
        <v>48</v>
      </c>
      <c r="M158" s="33" t="n">
        <f>526.1</f>
        <v>526.1</v>
      </c>
      <c r="N158" s="34" t="s">
        <v>49</v>
      </c>
      <c r="O158" s="33" t="n">
        <f>494.4</f>
        <v>494.4</v>
      </c>
      <c r="P158" s="34" t="s">
        <v>48</v>
      </c>
      <c r="Q158" s="33" t="n">
        <f>519.6</f>
        <v>519.6</v>
      </c>
      <c r="R158" s="34" t="s">
        <v>51</v>
      </c>
      <c r="S158" s="35" t="n">
        <f>510.83</f>
        <v>510.83</v>
      </c>
      <c r="T158" s="32" t="n">
        <f>25800</f>
        <v>25800.0</v>
      </c>
      <c r="U158" s="32" t="str">
        <f>"－"</f>
        <v>－</v>
      </c>
      <c r="V158" s="32" t="n">
        <f>13232510</f>
        <v>1.323251E7</v>
      </c>
      <c r="W158" s="32" t="str">
        <f>"－"</f>
        <v>－</v>
      </c>
      <c r="X158" s="36" t="n">
        <f>20</f>
        <v>20.0</v>
      </c>
    </row>
    <row r="159">
      <c r="A159" s="27" t="s">
        <v>42</v>
      </c>
      <c r="B159" s="27" t="s">
        <v>522</v>
      </c>
      <c r="C159" s="27" t="s">
        <v>523</v>
      </c>
      <c r="D159" s="27" t="s">
        <v>524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10.0</v>
      </c>
      <c r="K159" s="33" t="n">
        <f>5912</f>
        <v>5912.0</v>
      </c>
      <c r="L159" s="34" t="s">
        <v>48</v>
      </c>
      <c r="M159" s="33" t="n">
        <f>6418</f>
        <v>6418.0</v>
      </c>
      <c r="N159" s="34" t="s">
        <v>51</v>
      </c>
      <c r="O159" s="33" t="n">
        <f>5893</f>
        <v>5893.0</v>
      </c>
      <c r="P159" s="34" t="s">
        <v>199</v>
      </c>
      <c r="Q159" s="33" t="n">
        <f>6387</f>
        <v>6387.0</v>
      </c>
      <c r="R159" s="34" t="s">
        <v>51</v>
      </c>
      <c r="S159" s="35" t="n">
        <f>6050.35</f>
        <v>6050.35</v>
      </c>
      <c r="T159" s="32" t="n">
        <f>514630</f>
        <v>514630.0</v>
      </c>
      <c r="U159" s="32" t="str">
        <f>"－"</f>
        <v>－</v>
      </c>
      <c r="V159" s="32" t="n">
        <f>3149581740</f>
        <v>3.14958174E9</v>
      </c>
      <c r="W159" s="32" t="str">
        <f>"－"</f>
        <v>－</v>
      </c>
      <c r="X159" s="36" t="n">
        <f>20</f>
        <v>20.0</v>
      </c>
    </row>
    <row r="160">
      <c r="A160" s="27" t="s">
        <v>42</v>
      </c>
      <c r="B160" s="27" t="s">
        <v>525</v>
      </c>
      <c r="C160" s="27" t="s">
        <v>526</v>
      </c>
      <c r="D160" s="27" t="s">
        <v>527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10.0</v>
      </c>
      <c r="K160" s="33" t="n">
        <f>2010</f>
        <v>2010.0</v>
      </c>
      <c r="L160" s="34" t="s">
        <v>48</v>
      </c>
      <c r="M160" s="33" t="n">
        <f>2089.5</f>
        <v>2089.5</v>
      </c>
      <c r="N160" s="34" t="s">
        <v>49</v>
      </c>
      <c r="O160" s="33" t="n">
        <f>1977</f>
        <v>1977.0</v>
      </c>
      <c r="P160" s="34" t="s">
        <v>214</v>
      </c>
      <c r="Q160" s="33" t="n">
        <f>2005</f>
        <v>2005.0</v>
      </c>
      <c r="R160" s="34" t="s">
        <v>51</v>
      </c>
      <c r="S160" s="35" t="n">
        <f>2006.68</f>
        <v>2006.68</v>
      </c>
      <c r="T160" s="32" t="n">
        <f>11250</f>
        <v>11250.0</v>
      </c>
      <c r="U160" s="32" t="str">
        <f>"－"</f>
        <v>－</v>
      </c>
      <c r="V160" s="32" t="n">
        <f>22639965</f>
        <v>2.2639965E7</v>
      </c>
      <c r="W160" s="32" t="str">
        <f>"－"</f>
        <v>－</v>
      </c>
      <c r="X160" s="36" t="n">
        <f>20</f>
        <v>20.0</v>
      </c>
    </row>
    <row r="161">
      <c r="A161" s="27" t="s">
        <v>42</v>
      </c>
      <c r="B161" s="27" t="s">
        <v>528</v>
      </c>
      <c r="C161" s="27" t="s">
        <v>529</v>
      </c>
      <c r="D161" s="27" t="s">
        <v>530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1.0</v>
      </c>
      <c r="K161" s="33" t="n">
        <f>2685</f>
        <v>2685.0</v>
      </c>
      <c r="L161" s="34" t="s">
        <v>48</v>
      </c>
      <c r="M161" s="33" t="n">
        <f>2710</f>
        <v>2710.0</v>
      </c>
      <c r="N161" s="34" t="s">
        <v>49</v>
      </c>
      <c r="O161" s="33" t="n">
        <f>2601</f>
        <v>2601.0</v>
      </c>
      <c r="P161" s="34" t="s">
        <v>424</v>
      </c>
      <c r="Q161" s="33" t="n">
        <f>2629</f>
        <v>2629.0</v>
      </c>
      <c r="R161" s="34" t="s">
        <v>51</v>
      </c>
      <c r="S161" s="35" t="n">
        <f>2655.85</f>
        <v>2655.85</v>
      </c>
      <c r="T161" s="32" t="n">
        <f>185105</f>
        <v>185105.0</v>
      </c>
      <c r="U161" s="32" t="str">
        <f>"－"</f>
        <v>－</v>
      </c>
      <c r="V161" s="32" t="n">
        <f>491140258</f>
        <v>4.91140258E8</v>
      </c>
      <c r="W161" s="32" t="str">
        <f>"－"</f>
        <v>－</v>
      </c>
      <c r="X161" s="36" t="n">
        <f>20</f>
        <v>20.0</v>
      </c>
    </row>
    <row r="162">
      <c r="A162" s="27" t="s">
        <v>42</v>
      </c>
      <c r="B162" s="27" t="s">
        <v>531</v>
      </c>
      <c r="C162" s="27" t="s">
        <v>532</v>
      </c>
      <c r="D162" s="27" t="s">
        <v>533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1.0</v>
      </c>
      <c r="K162" s="33" t="n">
        <f>2692</f>
        <v>2692.0</v>
      </c>
      <c r="L162" s="34" t="s">
        <v>48</v>
      </c>
      <c r="M162" s="33" t="n">
        <f>2796</f>
        <v>2796.0</v>
      </c>
      <c r="N162" s="34" t="s">
        <v>49</v>
      </c>
      <c r="O162" s="33" t="n">
        <f>2690</f>
        <v>2690.0</v>
      </c>
      <c r="P162" s="34" t="s">
        <v>207</v>
      </c>
      <c r="Q162" s="33" t="n">
        <f>2739</f>
        <v>2739.0</v>
      </c>
      <c r="R162" s="34" t="s">
        <v>51</v>
      </c>
      <c r="S162" s="35" t="n">
        <f>2735.5</f>
        <v>2735.5</v>
      </c>
      <c r="T162" s="32" t="n">
        <f>42552</f>
        <v>42552.0</v>
      </c>
      <c r="U162" s="32" t="str">
        <f>"－"</f>
        <v>－</v>
      </c>
      <c r="V162" s="32" t="n">
        <f>116280051</f>
        <v>1.16280051E8</v>
      </c>
      <c r="W162" s="32" t="str">
        <f>"－"</f>
        <v>－</v>
      </c>
      <c r="X162" s="36" t="n">
        <f>20</f>
        <v>20.0</v>
      </c>
    </row>
    <row r="163">
      <c r="A163" s="27" t="s">
        <v>42</v>
      </c>
      <c r="B163" s="27" t="s">
        <v>534</v>
      </c>
      <c r="C163" s="27" t="s">
        <v>535</v>
      </c>
      <c r="D163" s="27" t="s">
        <v>536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10.0</v>
      </c>
      <c r="K163" s="33" t="n">
        <f>3793</f>
        <v>3793.0</v>
      </c>
      <c r="L163" s="34" t="s">
        <v>48</v>
      </c>
      <c r="M163" s="33" t="n">
        <f>3857</f>
        <v>3857.0</v>
      </c>
      <c r="N163" s="34" t="s">
        <v>62</v>
      </c>
      <c r="O163" s="33" t="n">
        <f>3703</f>
        <v>3703.0</v>
      </c>
      <c r="P163" s="34" t="s">
        <v>61</v>
      </c>
      <c r="Q163" s="33" t="n">
        <f>3732</f>
        <v>3732.0</v>
      </c>
      <c r="R163" s="34" t="s">
        <v>51</v>
      </c>
      <c r="S163" s="35" t="n">
        <f>3789.1</f>
        <v>3789.1</v>
      </c>
      <c r="T163" s="32" t="n">
        <f>17820</f>
        <v>17820.0</v>
      </c>
      <c r="U163" s="32" t="str">
        <f>"－"</f>
        <v>－</v>
      </c>
      <c r="V163" s="32" t="n">
        <f>67822840</f>
        <v>6.782284E7</v>
      </c>
      <c r="W163" s="32" t="str">
        <f>"－"</f>
        <v>－</v>
      </c>
      <c r="X163" s="36" t="n">
        <f>20</f>
        <v>20.0</v>
      </c>
    </row>
    <row r="164">
      <c r="A164" s="27" t="s">
        <v>42</v>
      </c>
      <c r="B164" s="27" t="s">
        <v>537</v>
      </c>
      <c r="C164" s="27" t="s">
        <v>538</v>
      </c>
      <c r="D164" s="27" t="s">
        <v>539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1.0</v>
      </c>
      <c r="K164" s="33" t="n">
        <f>3309</f>
        <v>3309.0</v>
      </c>
      <c r="L164" s="34" t="s">
        <v>48</v>
      </c>
      <c r="M164" s="33" t="n">
        <f>3459</f>
        <v>3459.0</v>
      </c>
      <c r="N164" s="34" t="s">
        <v>49</v>
      </c>
      <c r="O164" s="33" t="n">
        <f>3309</f>
        <v>3309.0</v>
      </c>
      <c r="P164" s="34" t="s">
        <v>48</v>
      </c>
      <c r="Q164" s="33" t="n">
        <f>3407</f>
        <v>3407.0</v>
      </c>
      <c r="R164" s="34" t="s">
        <v>51</v>
      </c>
      <c r="S164" s="35" t="n">
        <f>3396.2</f>
        <v>3396.2</v>
      </c>
      <c r="T164" s="32" t="n">
        <f>472655</f>
        <v>472655.0</v>
      </c>
      <c r="U164" s="32" t="n">
        <f>271090</f>
        <v>271090.0</v>
      </c>
      <c r="V164" s="32" t="n">
        <f>1610231735</f>
        <v>1.610231735E9</v>
      </c>
      <c r="W164" s="32" t="n">
        <f>925258826</f>
        <v>9.25258826E8</v>
      </c>
      <c r="X164" s="36" t="n">
        <f>20</f>
        <v>20.0</v>
      </c>
    </row>
    <row r="165">
      <c r="A165" s="27" t="s">
        <v>42</v>
      </c>
      <c r="B165" s="27" t="s">
        <v>540</v>
      </c>
      <c r="C165" s="27" t="s">
        <v>541</v>
      </c>
      <c r="D165" s="27" t="s">
        <v>542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10.0</v>
      </c>
      <c r="K165" s="33" t="n">
        <f>386.5</f>
        <v>386.5</v>
      </c>
      <c r="L165" s="34" t="s">
        <v>48</v>
      </c>
      <c r="M165" s="33" t="n">
        <f>404.6</f>
        <v>404.6</v>
      </c>
      <c r="N165" s="34" t="s">
        <v>49</v>
      </c>
      <c r="O165" s="33" t="n">
        <f>378.3</f>
        <v>378.3</v>
      </c>
      <c r="P165" s="34" t="s">
        <v>214</v>
      </c>
      <c r="Q165" s="33" t="n">
        <f>389.6</f>
        <v>389.6</v>
      </c>
      <c r="R165" s="34" t="s">
        <v>51</v>
      </c>
      <c r="S165" s="35" t="n">
        <f>389.99</f>
        <v>389.99</v>
      </c>
      <c r="T165" s="32" t="n">
        <f>12238260</f>
        <v>1.223826E7</v>
      </c>
      <c r="U165" s="32" t="n">
        <f>209670</f>
        <v>209670.0</v>
      </c>
      <c r="V165" s="32" t="n">
        <f>4799745069</f>
        <v>4.799745069E9</v>
      </c>
      <c r="W165" s="32" t="n">
        <f>81688548</f>
        <v>8.1688548E7</v>
      </c>
      <c r="X165" s="36" t="n">
        <f>20</f>
        <v>20.0</v>
      </c>
    </row>
    <row r="166">
      <c r="A166" s="27" t="s">
        <v>42</v>
      </c>
      <c r="B166" s="27" t="s">
        <v>543</v>
      </c>
      <c r="C166" s="27" t="s">
        <v>544</v>
      </c>
      <c r="D166" s="27" t="s">
        <v>545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1.0</v>
      </c>
      <c r="K166" s="33" t="n">
        <f>2731</f>
        <v>2731.0</v>
      </c>
      <c r="L166" s="34" t="s">
        <v>48</v>
      </c>
      <c r="M166" s="33" t="n">
        <f>2731</f>
        <v>2731.0</v>
      </c>
      <c r="N166" s="34" t="s">
        <v>48</v>
      </c>
      <c r="O166" s="33" t="n">
        <f>2223</f>
        <v>2223.0</v>
      </c>
      <c r="P166" s="34" t="s">
        <v>48</v>
      </c>
      <c r="Q166" s="33" t="n">
        <f>2310</f>
        <v>2310.0</v>
      </c>
      <c r="R166" s="34" t="s">
        <v>51</v>
      </c>
      <c r="S166" s="35" t="n">
        <f>2285.35</f>
        <v>2285.35</v>
      </c>
      <c r="T166" s="32" t="n">
        <f>7070</f>
        <v>7070.0</v>
      </c>
      <c r="U166" s="32" t="str">
        <f>"－"</f>
        <v>－</v>
      </c>
      <c r="V166" s="32" t="n">
        <f>16331474</f>
        <v>1.6331474E7</v>
      </c>
      <c r="W166" s="32" t="str">
        <f>"－"</f>
        <v>－</v>
      </c>
      <c r="X166" s="36" t="n">
        <f>20</f>
        <v>20.0</v>
      </c>
    </row>
    <row r="167">
      <c r="A167" s="27" t="s">
        <v>42</v>
      </c>
      <c r="B167" s="27" t="s">
        <v>546</v>
      </c>
      <c r="C167" s="27" t="s">
        <v>547</v>
      </c>
      <c r="D167" s="27" t="s">
        <v>548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1.0</v>
      </c>
      <c r="K167" s="33" t="n">
        <f>1262</f>
        <v>1262.0</v>
      </c>
      <c r="L167" s="34" t="s">
        <v>48</v>
      </c>
      <c r="M167" s="33" t="n">
        <f>1413</f>
        <v>1413.0</v>
      </c>
      <c r="N167" s="34" t="s">
        <v>195</v>
      </c>
      <c r="O167" s="33" t="n">
        <f>1244</f>
        <v>1244.0</v>
      </c>
      <c r="P167" s="34" t="s">
        <v>207</v>
      </c>
      <c r="Q167" s="33" t="n">
        <f>1386</f>
        <v>1386.0</v>
      </c>
      <c r="R167" s="34" t="s">
        <v>51</v>
      </c>
      <c r="S167" s="35" t="n">
        <f>1344.55</f>
        <v>1344.55</v>
      </c>
      <c r="T167" s="32" t="n">
        <f>1128868</f>
        <v>1128868.0</v>
      </c>
      <c r="U167" s="32" t="n">
        <f>163600</f>
        <v>163600.0</v>
      </c>
      <c r="V167" s="32" t="n">
        <f>1521520680</f>
        <v>1.52152068E9</v>
      </c>
      <c r="W167" s="32" t="n">
        <f>226765960</f>
        <v>2.2676596E8</v>
      </c>
      <c r="X167" s="36" t="n">
        <f>20</f>
        <v>20.0</v>
      </c>
    </row>
    <row r="168">
      <c r="A168" s="27" t="s">
        <v>42</v>
      </c>
      <c r="B168" s="27" t="s">
        <v>549</v>
      </c>
      <c r="C168" s="27" t="s">
        <v>550</v>
      </c>
      <c r="D168" s="27" t="s">
        <v>551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10.0</v>
      </c>
      <c r="K168" s="33" t="n">
        <f>261.5</f>
        <v>261.5</v>
      </c>
      <c r="L168" s="34" t="s">
        <v>48</v>
      </c>
      <c r="M168" s="33" t="n">
        <f>274</f>
        <v>274.0</v>
      </c>
      <c r="N168" s="34" t="s">
        <v>99</v>
      </c>
      <c r="O168" s="33" t="n">
        <f>258.2</f>
        <v>258.2</v>
      </c>
      <c r="P168" s="34" t="s">
        <v>50</v>
      </c>
      <c r="Q168" s="33" t="n">
        <f>270.2</f>
        <v>270.2</v>
      </c>
      <c r="R168" s="34" t="s">
        <v>51</v>
      </c>
      <c r="S168" s="35" t="n">
        <f>267.88</f>
        <v>267.88</v>
      </c>
      <c r="T168" s="32" t="n">
        <f>2196910</f>
        <v>2196910.0</v>
      </c>
      <c r="U168" s="32" t="str">
        <f>"－"</f>
        <v>－</v>
      </c>
      <c r="V168" s="32" t="n">
        <f>589655461</f>
        <v>5.89655461E8</v>
      </c>
      <c r="W168" s="32" t="str">
        <f>"－"</f>
        <v>－</v>
      </c>
      <c r="X168" s="36" t="n">
        <f>20</f>
        <v>20.0</v>
      </c>
    </row>
    <row r="169">
      <c r="A169" s="27" t="s">
        <v>42</v>
      </c>
      <c r="B169" s="27" t="s">
        <v>552</v>
      </c>
      <c r="C169" s="27" t="s">
        <v>553</v>
      </c>
      <c r="D169" s="27" t="s">
        <v>554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10.0</v>
      </c>
      <c r="K169" s="33" t="n">
        <f>273.9</f>
        <v>273.9</v>
      </c>
      <c r="L169" s="34" t="s">
        <v>48</v>
      </c>
      <c r="M169" s="33" t="n">
        <f>287.6</f>
        <v>287.6</v>
      </c>
      <c r="N169" s="34" t="s">
        <v>49</v>
      </c>
      <c r="O169" s="33" t="n">
        <f>270.9</f>
        <v>270.9</v>
      </c>
      <c r="P169" s="34" t="s">
        <v>207</v>
      </c>
      <c r="Q169" s="33" t="n">
        <f>285.8</f>
        <v>285.8</v>
      </c>
      <c r="R169" s="34" t="s">
        <v>51</v>
      </c>
      <c r="S169" s="35" t="n">
        <f>282.19</f>
        <v>282.19</v>
      </c>
      <c r="T169" s="32" t="n">
        <f>756450</f>
        <v>756450.0</v>
      </c>
      <c r="U169" s="32" t="str">
        <f>"－"</f>
        <v>－</v>
      </c>
      <c r="V169" s="32" t="n">
        <f>214050588</f>
        <v>2.14050588E8</v>
      </c>
      <c r="W169" s="32" t="str">
        <f>"－"</f>
        <v>－</v>
      </c>
      <c r="X169" s="36" t="n">
        <f>20</f>
        <v>20.0</v>
      </c>
    </row>
    <row r="170">
      <c r="A170" s="27" t="s">
        <v>42</v>
      </c>
      <c r="B170" s="27" t="s">
        <v>555</v>
      </c>
      <c r="C170" s="27" t="s">
        <v>556</v>
      </c>
      <c r="D170" s="27" t="s">
        <v>557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10.0</v>
      </c>
      <c r="K170" s="33" t="n">
        <f>491</f>
        <v>491.0</v>
      </c>
      <c r="L170" s="34" t="s">
        <v>48</v>
      </c>
      <c r="M170" s="33" t="n">
        <f>497.9</f>
        <v>497.9</v>
      </c>
      <c r="N170" s="34" t="s">
        <v>195</v>
      </c>
      <c r="O170" s="33" t="n">
        <f>491</f>
        <v>491.0</v>
      </c>
      <c r="P170" s="34" t="s">
        <v>48</v>
      </c>
      <c r="Q170" s="33" t="n">
        <f>497.9</f>
        <v>497.9</v>
      </c>
      <c r="R170" s="34" t="s">
        <v>195</v>
      </c>
      <c r="S170" s="35" t="n">
        <f>495.29</f>
        <v>495.29</v>
      </c>
      <c r="T170" s="32" t="n">
        <f>2007190</f>
        <v>2007190.0</v>
      </c>
      <c r="U170" s="32" t="n">
        <f>2000000</f>
        <v>2000000.0</v>
      </c>
      <c r="V170" s="32" t="n">
        <f>1006465616</f>
        <v>1.006465616E9</v>
      </c>
      <c r="W170" s="32" t="n">
        <f>1002900600</f>
        <v>1.0029006E9</v>
      </c>
      <c r="X170" s="36" t="n">
        <f>7</f>
        <v>7.0</v>
      </c>
    </row>
    <row r="171">
      <c r="A171" s="27" t="s">
        <v>42</v>
      </c>
      <c r="B171" s="27" t="s">
        <v>558</v>
      </c>
      <c r="C171" s="27" t="s">
        <v>559</v>
      </c>
      <c r="D171" s="27" t="s">
        <v>560</v>
      </c>
      <c r="E171" s="28" t="s">
        <v>46</v>
      </c>
      <c r="F171" s="29" t="s">
        <v>46</v>
      </c>
      <c r="G171" s="30" t="s">
        <v>46</v>
      </c>
      <c r="H171" s="31"/>
      <c r="I171" s="31" t="s">
        <v>47</v>
      </c>
      <c r="J171" s="32" t="n">
        <v>10.0</v>
      </c>
      <c r="K171" s="33" t="n">
        <f>473</f>
        <v>473.0</v>
      </c>
      <c r="L171" s="34" t="s">
        <v>48</v>
      </c>
      <c r="M171" s="33" t="n">
        <f>495.5</f>
        <v>495.5</v>
      </c>
      <c r="N171" s="34" t="s">
        <v>51</v>
      </c>
      <c r="O171" s="33" t="n">
        <f>469</f>
        <v>469.0</v>
      </c>
      <c r="P171" s="34" t="s">
        <v>48</v>
      </c>
      <c r="Q171" s="33" t="n">
        <f>493.5</f>
        <v>493.5</v>
      </c>
      <c r="R171" s="34" t="s">
        <v>51</v>
      </c>
      <c r="S171" s="35" t="n">
        <f>486.95</f>
        <v>486.95</v>
      </c>
      <c r="T171" s="32" t="n">
        <f>27340</f>
        <v>27340.0</v>
      </c>
      <c r="U171" s="32" t="str">
        <f>"－"</f>
        <v>－</v>
      </c>
      <c r="V171" s="32" t="n">
        <f>13228236</f>
        <v>1.3228236E7</v>
      </c>
      <c r="W171" s="32" t="str">
        <f>"－"</f>
        <v>－</v>
      </c>
      <c r="X171" s="36" t="n">
        <f>20</f>
        <v>20.0</v>
      </c>
    </row>
    <row r="172">
      <c r="A172" s="27" t="s">
        <v>42</v>
      </c>
      <c r="B172" s="27" t="s">
        <v>561</v>
      </c>
      <c r="C172" s="27" t="s">
        <v>562</v>
      </c>
      <c r="D172" s="27" t="s">
        <v>563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10.0</v>
      </c>
      <c r="K172" s="33" t="n">
        <f>468.8</f>
        <v>468.8</v>
      </c>
      <c r="L172" s="34" t="s">
        <v>48</v>
      </c>
      <c r="M172" s="33" t="n">
        <f>485.2</f>
        <v>485.2</v>
      </c>
      <c r="N172" s="34" t="s">
        <v>203</v>
      </c>
      <c r="O172" s="33" t="n">
        <f>458.5</f>
        <v>458.5</v>
      </c>
      <c r="P172" s="34" t="s">
        <v>50</v>
      </c>
      <c r="Q172" s="33" t="n">
        <f>479.2</f>
        <v>479.2</v>
      </c>
      <c r="R172" s="34" t="s">
        <v>51</v>
      </c>
      <c r="S172" s="35" t="n">
        <f>474.99</f>
        <v>474.99</v>
      </c>
      <c r="T172" s="32" t="n">
        <f>1504840</f>
        <v>1504840.0</v>
      </c>
      <c r="U172" s="32" t="n">
        <f>1050010</f>
        <v>1050010.0</v>
      </c>
      <c r="V172" s="32" t="n">
        <f>713335598</f>
        <v>7.13335598E8</v>
      </c>
      <c r="W172" s="32" t="n">
        <f>502245447</f>
        <v>5.02245447E8</v>
      </c>
      <c r="X172" s="36" t="n">
        <f>18</f>
        <v>18.0</v>
      </c>
    </row>
    <row r="173">
      <c r="A173" s="27" t="s">
        <v>42</v>
      </c>
      <c r="B173" s="27" t="s">
        <v>564</v>
      </c>
      <c r="C173" s="27" t="s">
        <v>565</v>
      </c>
      <c r="D173" s="27" t="s">
        <v>566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1.0</v>
      </c>
      <c r="K173" s="33" t="n">
        <f>930</f>
        <v>930.0</v>
      </c>
      <c r="L173" s="34" t="s">
        <v>48</v>
      </c>
      <c r="M173" s="33" t="n">
        <f>963</f>
        <v>963.0</v>
      </c>
      <c r="N173" s="34" t="s">
        <v>74</v>
      </c>
      <c r="O173" s="33" t="n">
        <f>921</f>
        <v>921.0</v>
      </c>
      <c r="P173" s="34" t="s">
        <v>48</v>
      </c>
      <c r="Q173" s="33" t="n">
        <f>928</f>
        <v>928.0</v>
      </c>
      <c r="R173" s="34" t="s">
        <v>51</v>
      </c>
      <c r="S173" s="35" t="n">
        <f>942.15</f>
        <v>942.15</v>
      </c>
      <c r="T173" s="32" t="n">
        <f>315671</f>
        <v>315671.0</v>
      </c>
      <c r="U173" s="32" t="str">
        <f>"－"</f>
        <v>－</v>
      </c>
      <c r="V173" s="32" t="n">
        <f>298076541</f>
        <v>2.98076541E8</v>
      </c>
      <c r="W173" s="32" t="str">
        <f>"－"</f>
        <v>－</v>
      </c>
      <c r="X173" s="36" t="n">
        <f>20</f>
        <v>20.0</v>
      </c>
    </row>
    <row r="174">
      <c r="A174" s="27" t="s">
        <v>42</v>
      </c>
      <c r="B174" s="27" t="s">
        <v>567</v>
      </c>
      <c r="C174" s="27" t="s">
        <v>568</v>
      </c>
      <c r="D174" s="27" t="s">
        <v>569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1.0</v>
      </c>
      <c r="K174" s="33" t="n">
        <f>1677</f>
        <v>1677.0</v>
      </c>
      <c r="L174" s="34" t="s">
        <v>48</v>
      </c>
      <c r="M174" s="33" t="n">
        <f>2050</f>
        <v>2050.0</v>
      </c>
      <c r="N174" s="34" t="s">
        <v>398</v>
      </c>
      <c r="O174" s="33" t="n">
        <f>1624</f>
        <v>1624.0</v>
      </c>
      <c r="P174" s="34" t="s">
        <v>50</v>
      </c>
      <c r="Q174" s="33" t="n">
        <f>1989</f>
        <v>1989.0</v>
      </c>
      <c r="R174" s="34" t="s">
        <v>51</v>
      </c>
      <c r="S174" s="35" t="n">
        <f>1835.8</f>
        <v>1835.8</v>
      </c>
      <c r="T174" s="32" t="n">
        <f>7141760</f>
        <v>7141760.0</v>
      </c>
      <c r="U174" s="32" t="n">
        <f>299910</f>
        <v>299910.0</v>
      </c>
      <c r="V174" s="32" t="n">
        <f>13571162816</f>
        <v>1.3571162816E10</v>
      </c>
      <c r="W174" s="32" t="n">
        <f>576839110</f>
        <v>5.7683911E8</v>
      </c>
      <c r="X174" s="36" t="n">
        <f>20</f>
        <v>20.0</v>
      </c>
    </row>
    <row r="175">
      <c r="A175" s="27" t="s">
        <v>42</v>
      </c>
      <c r="B175" s="27" t="s">
        <v>570</v>
      </c>
      <c r="C175" s="27" t="s">
        <v>571</v>
      </c>
      <c r="D175" s="27" t="s">
        <v>572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10.0</v>
      </c>
      <c r="K175" s="33" t="n">
        <f>671.3</f>
        <v>671.3</v>
      </c>
      <c r="L175" s="34" t="s">
        <v>48</v>
      </c>
      <c r="M175" s="33" t="n">
        <f>700.6</f>
        <v>700.6</v>
      </c>
      <c r="N175" s="34" t="s">
        <v>70</v>
      </c>
      <c r="O175" s="33" t="n">
        <f>668.6</f>
        <v>668.6</v>
      </c>
      <c r="P175" s="34" t="s">
        <v>48</v>
      </c>
      <c r="Q175" s="33" t="n">
        <f>685.6</f>
        <v>685.6</v>
      </c>
      <c r="R175" s="34" t="s">
        <v>51</v>
      </c>
      <c r="S175" s="35" t="n">
        <f>683.66</f>
        <v>683.66</v>
      </c>
      <c r="T175" s="32" t="n">
        <f>296030</f>
        <v>296030.0</v>
      </c>
      <c r="U175" s="32" t="str">
        <f>"－"</f>
        <v>－</v>
      </c>
      <c r="V175" s="32" t="n">
        <f>202733377</f>
        <v>2.02733377E8</v>
      </c>
      <c r="W175" s="32" t="str">
        <f>"－"</f>
        <v>－</v>
      </c>
      <c r="X175" s="36" t="n">
        <f>20</f>
        <v>20.0</v>
      </c>
    </row>
    <row r="176">
      <c r="A176" s="27" t="s">
        <v>42</v>
      </c>
      <c r="B176" s="27" t="s">
        <v>573</v>
      </c>
      <c r="C176" s="27" t="s">
        <v>574</v>
      </c>
      <c r="D176" s="27" t="s">
        <v>575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10.0</v>
      </c>
      <c r="K176" s="33" t="n">
        <f>216.1</f>
        <v>216.1</v>
      </c>
      <c r="L176" s="34" t="s">
        <v>48</v>
      </c>
      <c r="M176" s="33" t="n">
        <f>220.6</f>
        <v>220.6</v>
      </c>
      <c r="N176" s="34" t="s">
        <v>49</v>
      </c>
      <c r="O176" s="33" t="n">
        <f>215</f>
        <v>215.0</v>
      </c>
      <c r="P176" s="34" t="s">
        <v>99</v>
      </c>
      <c r="Q176" s="33" t="n">
        <f>218.4</f>
        <v>218.4</v>
      </c>
      <c r="R176" s="34" t="s">
        <v>51</v>
      </c>
      <c r="S176" s="35" t="n">
        <f>217.48</f>
        <v>217.48</v>
      </c>
      <c r="T176" s="32" t="n">
        <f>25932880</f>
        <v>2.593288E7</v>
      </c>
      <c r="U176" s="32" t="n">
        <f>25100000</f>
        <v>2.51E7</v>
      </c>
      <c r="V176" s="32" t="n">
        <f>5649782458</f>
        <v>5.649782458E9</v>
      </c>
      <c r="W176" s="32" t="n">
        <f>5469194000</f>
        <v>5.469194E9</v>
      </c>
      <c r="X176" s="36" t="n">
        <f>20</f>
        <v>20.0</v>
      </c>
    </row>
    <row r="177">
      <c r="A177" s="27" t="s">
        <v>42</v>
      </c>
      <c r="B177" s="27" t="s">
        <v>576</v>
      </c>
      <c r="C177" s="27" t="s">
        <v>577</v>
      </c>
      <c r="D177" s="27" t="s">
        <v>578</v>
      </c>
      <c r="E177" s="28" t="s">
        <v>46</v>
      </c>
      <c r="F177" s="29" t="s">
        <v>46</v>
      </c>
      <c r="G177" s="30" t="s">
        <v>46</v>
      </c>
      <c r="H177" s="31"/>
      <c r="I177" s="31" t="s">
        <v>47</v>
      </c>
      <c r="J177" s="32" t="n">
        <v>10.0</v>
      </c>
      <c r="K177" s="33" t="n">
        <f>243.5</f>
        <v>243.5</v>
      </c>
      <c r="L177" s="34" t="s">
        <v>48</v>
      </c>
      <c r="M177" s="33" t="n">
        <f>247</f>
        <v>247.0</v>
      </c>
      <c r="N177" s="34" t="s">
        <v>70</v>
      </c>
      <c r="O177" s="33" t="n">
        <f>239.1</f>
        <v>239.1</v>
      </c>
      <c r="P177" s="34" t="s">
        <v>199</v>
      </c>
      <c r="Q177" s="33" t="n">
        <f>243.9</f>
        <v>243.9</v>
      </c>
      <c r="R177" s="34" t="s">
        <v>51</v>
      </c>
      <c r="S177" s="35" t="n">
        <f>243.03</f>
        <v>243.03</v>
      </c>
      <c r="T177" s="32" t="n">
        <f>3678830</f>
        <v>3678830.0</v>
      </c>
      <c r="U177" s="32" t="n">
        <f>170</f>
        <v>170.0</v>
      </c>
      <c r="V177" s="32" t="n">
        <f>896570775</f>
        <v>8.96570775E8</v>
      </c>
      <c r="W177" s="32" t="n">
        <f>41055</f>
        <v>41055.0</v>
      </c>
      <c r="X177" s="36" t="n">
        <f>20</f>
        <v>20.0</v>
      </c>
    </row>
    <row r="178">
      <c r="A178" s="27" t="s">
        <v>42</v>
      </c>
      <c r="B178" s="27" t="s">
        <v>579</v>
      </c>
      <c r="C178" s="27" t="s">
        <v>580</v>
      </c>
      <c r="D178" s="27" t="s">
        <v>581</v>
      </c>
      <c r="E178" s="28" t="s">
        <v>46</v>
      </c>
      <c r="F178" s="29" t="s">
        <v>46</v>
      </c>
      <c r="G178" s="30" t="s">
        <v>46</v>
      </c>
      <c r="H178" s="31"/>
      <c r="I178" s="31" t="s">
        <v>47</v>
      </c>
      <c r="J178" s="32" t="n">
        <v>10.0</v>
      </c>
      <c r="K178" s="33" t="n">
        <f>251.4</f>
        <v>251.4</v>
      </c>
      <c r="L178" s="34" t="s">
        <v>48</v>
      </c>
      <c r="M178" s="33" t="n">
        <f>259.5</f>
        <v>259.5</v>
      </c>
      <c r="N178" s="34" t="s">
        <v>70</v>
      </c>
      <c r="O178" s="33" t="n">
        <f>250.3</f>
        <v>250.3</v>
      </c>
      <c r="P178" s="34" t="s">
        <v>48</v>
      </c>
      <c r="Q178" s="33" t="n">
        <f>257.3</f>
        <v>257.3</v>
      </c>
      <c r="R178" s="34" t="s">
        <v>51</v>
      </c>
      <c r="S178" s="35" t="n">
        <f>254.34</f>
        <v>254.34</v>
      </c>
      <c r="T178" s="32" t="n">
        <f>1470510</f>
        <v>1470510.0</v>
      </c>
      <c r="U178" s="32" t="n">
        <f>480</f>
        <v>480.0</v>
      </c>
      <c r="V178" s="32" t="n">
        <f>373585630</f>
        <v>3.7358563E8</v>
      </c>
      <c r="W178" s="32" t="n">
        <f>121288</f>
        <v>121288.0</v>
      </c>
      <c r="X178" s="36" t="n">
        <f>20</f>
        <v>20.0</v>
      </c>
    </row>
    <row r="179">
      <c r="A179" s="27" t="s">
        <v>42</v>
      </c>
      <c r="B179" s="27" t="s">
        <v>582</v>
      </c>
      <c r="C179" s="27" t="s">
        <v>583</v>
      </c>
      <c r="D179" s="27" t="s">
        <v>584</v>
      </c>
      <c r="E179" s="28" t="s">
        <v>46</v>
      </c>
      <c r="F179" s="29" t="s">
        <v>46</v>
      </c>
      <c r="G179" s="30" t="s">
        <v>46</v>
      </c>
      <c r="H179" s="31"/>
      <c r="I179" s="31" t="s">
        <v>47</v>
      </c>
      <c r="J179" s="32" t="n">
        <v>1.0</v>
      </c>
      <c r="K179" s="33" t="n">
        <f>2025</f>
        <v>2025.0</v>
      </c>
      <c r="L179" s="34" t="s">
        <v>48</v>
      </c>
      <c r="M179" s="33" t="n">
        <f>2074</f>
        <v>2074.0</v>
      </c>
      <c r="N179" s="34" t="s">
        <v>49</v>
      </c>
      <c r="O179" s="33" t="n">
        <f>2021</f>
        <v>2021.0</v>
      </c>
      <c r="P179" s="34" t="s">
        <v>48</v>
      </c>
      <c r="Q179" s="33" t="n">
        <f>2058</f>
        <v>2058.0</v>
      </c>
      <c r="R179" s="34" t="s">
        <v>51</v>
      </c>
      <c r="S179" s="35" t="n">
        <f>2052.4</f>
        <v>2052.4</v>
      </c>
      <c r="T179" s="32" t="n">
        <f>159767</f>
        <v>159767.0</v>
      </c>
      <c r="U179" s="32" t="n">
        <f>71001</f>
        <v>71001.0</v>
      </c>
      <c r="V179" s="32" t="n">
        <f>327481312</f>
        <v>3.27481312E8</v>
      </c>
      <c r="W179" s="32" t="n">
        <f>145211245</f>
        <v>1.45211245E8</v>
      </c>
      <c r="X179" s="36" t="n">
        <f>20</f>
        <v>20.0</v>
      </c>
    </row>
    <row r="180">
      <c r="A180" s="27" t="s">
        <v>42</v>
      </c>
      <c r="B180" s="27" t="s">
        <v>585</v>
      </c>
      <c r="C180" s="27" t="s">
        <v>586</v>
      </c>
      <c r="D180" s="27" t="s">
        <v>587</v>
      </c>
      <c r="E180" s="28" t="s">
        <v>46</v>
      </c>
      <c r="F180" s="29" t="s">
        <v>46</v>
      </c>
      <c r="G180" s="30" t="s">
        <v>46</v>
      </c>
      <c r="H180" s="31"/>
      <c r="I180" s="31" t="s">
        <v>47</v>
      </c>
      <c r="J180" s="32" t="n">
        <v>1.0</v>
      </c>
      <c r="K180" s="33" t="n">
        <f>1874</f>
        <v>1874.0</v>
      </c>
      <c r="L180" s="34" t="s">
        <v>48</v>
      </c>
      <c r="M180" s="33" t="n">
        <f>1898</f>
        <v>1898.0</v>
      </c>
      <c r="N180" s="34" t="s">
        <v>199</v>
      </c>
      <c r="O180" s="33" t="n">
        <f>1862</f>
        <v>1862.0</v>
      </c>
      <c r="P180" s="34" t="s">
        <v>50</v>
      </c>
      <c r="Q180" s="33" t="n">
        <f>1878</f>
        <v>1878.0</v>
      </c>
      <c r="R180" s="34" t="s">
        <v>51</v>
      </c>
      <c r="S180" s="35" t="n">
        <f>1881.1</f>
        <v>1881.1</v>
      </c>
      <c r="T180" s="32" t="n">
        <f>833089</f>
        <v>833089.0</v>
      </c>
      <c r="U180" s="32" t="n">
        <f>1</f>
        <v>1.0</v>
      </c>
      <c r="V180" s="32" t="n">
        <f>1569085583</f>
        <v>1.569085583E9</v>
      </c>
      <c r="W180" s="32" t="n">
        <f>1871</f>
        <v>1871.0</v>
      </c>
      <c r="X180" s="36" t="n">
        <f>20</f>
        <v>20.0</v>
      </c>
    </row>
    <row r="181">
      <c r="A181" s="27" t="s">
        <v>42</v>
      </c>
      <c r="B181" s="27" t="s">
        <v>588</v>
      </c>
      <c r="C181" s="27" t="s">
        <v>589</v>
      </c>
      <c r="D181" s="27" t="s">
        <v>590</v>
      </c>
      <c r="E181" s="28" t="s">
        <v>46</v>
      </c>
      <c r="F181" s="29" t="s">
        <v>46</v>
      </c>
      <c r="G181" s="30" t="s">
        <v>46</v>
      </c>
      <c r="H181" s="31"/>
      <c r="I181" s="31" t="s">
        <v>47</v>
      </c>
      <c r="J181" s="32" t="n">
        <v>1.0</v>
      </c>
      <c r="K181" s="33" t="n">
        <f>1173</f>
        <v>1173.0</v>
      </c>
      <c r="L181" s="34" t="s">
        <v>48</v>
      </c>
      <c r="M181" s="33" t="n">
        <f>1229</f>
        <v>1229.0</v>
      </c>
      <c r="N181" s="34" t="s">
        <v>49</v>
      </c>
      <c r="O181" s="33" t="n">
        <f>1158</f>
        <v>1158.0</v>
      </c>
      <c r="P181" s="34" t="s">
        <v>50</v>
      </c>
      <c r="Q181" s="33" t="n">
        <f>1215</f>
        <v>1215.0</v>
      </c>
      <c r="R181" s="34" t="s">
        <v>51</v>
      </c>
      <c r="S181" s="35" t="n">
        <f>1200</f>
        <v>1200.0</v>
      </c>
      <c r="T181" s="32" t="n">
        <f>2489036</f>
        <v>2489036.0</v>
      </c>
      <c r="U181" s="32" t="n">
        <f>689480</f>
        <v>689480.0</v>
      </c>
      <c r="V181" s="32" t="n">
        <f>3004603281</f>
        <v>3.004603281E9</v>
      </c>
      <c r="W181" s="32" t="n">
        <f>829011912</f>
        <v>8.29011912E8</v>
      </c>
      <c r="X181" s="36" t="n">
        <f>20</f>
        <v>20.0</v>
      </c>
    </row>
    <row r="182">
      <c r="A182" s="27" t="s">
        <v>42</v>
      </c>
      <c r="B182" s="27" t="s">
        <v>591</v>
      </c>
      <c r="C182" s="27" t="s">
        <v>592</v>
      </c>
      <c r="D182" s="27" t="s">
        <v>593</v>
      </c>
      <c r="E182" s="28" t="s">
        <v>46</v>
      </c>
      <c r="F182" s="29" t="s">
        <v>46</v>
      </c>
      <c r="G182" s="30" t="s">
        <v>46</v>
      </c>
      <c r="H182" s="31"/>
      <c r="I182" s="31" t="s">
        <v>47</v>
      </c>
      <c r="J182" s="32" t="n">
        <v>1.0</v>
      </c>
      <c r="K182" s="33" t="n">
        <f>1092</f>
        <v>1092.0</v>
      </c>
      <c r="L182" s="34" t="s">
        <v>48</v>
      </c>
      <c r="M182" s="33" t="n">
        <f>1116</f>
        <v>1116.0</v>
      </c>
      <c r="N182" s="34" t="s">
        <v>51</v>
      </c>
      <c r="O182" s="33" t="n">
        <f>1073</f>
        <v>1073.0</v>
      </c>
      <c r="P182" s="34" t="s">
        <v>62</v>
      </c>
      <c r="Q182" s="33" t="n">
        <f>1103</f>
        <v>1103.0</v>
      </c>
      <c r="R182" s="34" t="s">
        <v>51</v>
      </c>
      <c r="S182" s="35" t="n">
        <f>1090.4</f>
        <v>1090.4</v>
      </c>
      <c r="T182" s="32" t="n">
        <f>140836</f>
        <v>140836.0</v>
      </c>
      <c r="U182" s="32" t="str">
        <f>"－"</f>
        <v>－</v>
      </c>
      <c r="V182" s="32" t="n">
        <f>154347912</f>
        <v>1.54347912E8</v>
      </c>
      <c r="W182" s="32" t="str">
        <f>"－"</f>
        <v>－</v>
      </c>
      <c r="X182" s="36" t="n">
        <f>20</f>
        <v>20.0</v>
      </c>
    </row>
    <row r="183">
      <c r="A183" s="27" t="s">
        <v>42</v>
      </c>
      <c r="B183" s="27" t="s">
        <v>594</v>
      </c>
      <c r="C183" s="27" t="s">
        <v>595</v>
      </c>
      <c r="D183" s="27" t="s">
        <v>596</v>
      </c>
      <c r="E183" s="28" t="s">
        <v>46</v>
      </c>
      <c r="F183" s="29" t="s">
        <v>46</v>
      </c>
      <c r="G183" s="30" t="s">
        <v>46</v>
      </c>
      <c r="H183" s="31"/>
      <c r="I183" s="31" t="s">
        <v>47</v>
      </c>
      <c r="J183" s="32" t="n">
        <v>1.0</v>
      </c>
      <c r="K183" s="33" t="n">
        <f>991</f>
        <v>991.0</v>
      </c>
      <c r="L183" s="34" t="s">
        <v>48</v>
      </c>
      <c r="M183" s="33" t="n">
        <f>1026</f>
        <v>1026.0</v>
      </c>
      <c r="N183" s="34" t="s">
        <v>203</v>
      </c>
      <c r="O183" s="33" t="n">
        <f>980</f>
        <v>980.0</v>
      </c>
      <c r="P183" s="34" t="s">
        <v>48</v>
      </c>
      <c r="Q183" s="33" t="n">
        <f>1003</f>
        <v>1003.0</v>
      </c>
      <c r="R183" s="34" t="s">
        <v>51</v>
      </c>
      <c r="S183" s="35" t="n">
        <f>1000.95</f>
        <v>1000.95</v>
      </c>
      <c r="T183" s="32" t="n">
        <f>114733</f>
        <v>114733.0</v>
      </c>
      <c r="U183" s="32" t="n">
        <f>20</f>
        <v>20.0</v>
      </c>
      <c r="V183" s="32" t="n">
        <f>115018922</f>
        <v>1.15018922E8</v>
      </c>
      <c r="W183" s="32" t="n">
        <f>19980</f>
        <v>19980.0</v>
      </c>
      <c r="X183" s="36" t="n">
        <f>20</f>
        <v>20.0</v>
      </c>
    </row>
    <row r="184">
      <c r="A184" s="27" t="s">
        <v>42</v>
      </c>
      <c r="B184" s="27" t="s">
        <v>597</v>
      </c>
      <c r="C184" s="27" t="s">
        <v>598</v>
      </c>
      <c r="D184" s="27" t="s">
        <v>599</v>
      </c>
      <c r="E184" s="28" t="s">
        <v>46</v>
      </c>
      <c r="F184" s="29" t="s">
        <v>46</v>
      </c>
      <c r="G184" s="30" t="s">
        <v>46</v>
      </c>
      <c r="H184" s="31"/>
      <c r="I184" s="31" t="s">
        <v>47</v>
      </c>
      <c r="J184" s="32" t="n">
        <v>10.0</v>
      </c>
      <c r="K184" s="33" t="n">
        <f>184.9</f>
        <v>184.9</v>
      </c>
      <c r="L184" s="34" t="s">
        <v>48</v>
      </c>
      <c r="M184" s="33" t="n">
        <f>192.8</f>
        <v>192.8</v>
      </c>
      <c r="N184" s="34" t="s">
        <v>74</v>
      </c>
      <c r="O184" s="33" t="n">
        <f>183.6</f>
        <v>183.6</v>
      </c>
      <c r="P184" s="34" t="s">
        <v>48</v>
      </c>
      <c r="Q184" s="33" t="n">
        <f>185.5</f>
        <v>185.5</v>
      </c>
      <c r="R184" s="34" t="s">
        <v>51</v>
      </c>
      <c r="S184" s="35" t="n">
        <f>188.17</f>
        <v>188.17</v>
      </c>
      <c r="T184" s="32" t="n">
        <f>7718260</f>
        <v>7718260.0</v>
      </c>
      <c r="U184" s="32" t="n">
        <f>55020</f>
        <v>55020.0</v>
      </c>
      <c r="V184" s="32" t="n">
        <f>1454714608</f>
        <v>1.454714608E9</v>
      </c>
      <c r="W184" s="32" t="n">
        <f>10282559</f>
        <v>1.0282559E7</v>
      </c>
      <c r="X184" s="36" t="n">
        <f>20</f>
        <v>20.0</v>
      </c>
    </row>
    <row r="185">
      <c r="A185" s="27" t="s">
        <v>42</v>
      </c>
      <c r="B185" s="27" t="s">
        <v>600</v>
      </c>
      <c r="C185" s="27" t="s">
        <v>601</v>
      </c>
      <c r="D185" s="27" t="s">
        <v>602</v>
      </c>
      <c r="E185" s="28" t="s">
        <v>46</v>
      </c>
      <c r="F185" s="29" t="s">
        <v>46</v>
      </c>
      <c r="G185" s="30" t="s">
        <v>46</v>
      </c>
      <c r="H185" s="31"/>
      <c r="I185" s="31" t="s">
        <v>414</v>
      </c>
      <c r="J185" s="32" t="n">
        <v>1.0</v>
      </c>
      <c r="K185" s="33" t="n">
        <f>7805</f>
        <v>7805.0</v>
      </c>
      <c r="L185" s="34" t="s">
        <v>48</v>
      </c>
      <c r="M185" s="33" t="n">
        <f>8923</f>
        <v>8923.0</v>
      </c>
      <c r="N185" s="34" t="s">
        <v>51</v>
      </c>
      <c r="O185" s="33" t="n">
        <f>7649</f>
        <v>7649.0</v>
      </c>
      <c r="P185" s="34" t="s">
        <v>62</v>
      </c>
      <c r="Q185" s="33" t="n">
        <f>8762</f>
        <v>8762.0</v>
      </c>
      <c r="R185" s="34" t="s">
        <v>51</v>
      </c>
      <c r="S185" s="35" t="n">
        <f>8369.05</f>
        <v>8369.05</v>
      </c>
      <c r="T185" s="32" t="n">
        <f>74026</f>
        <v>74026.0</v>
      </c>
      <c r="U185" s="32" t="str">
        <f>"－"</f>
        <v>－</v>
      </c>
      <c r="V185" s="32" t="n">
        <f>606072083</f>
        <v>6.06072083E8</v>
      </c>
      <c r="W185" s="32" t="str">
        <f>"－"</f>
        <v>－</v>
      </c>
      <c r="X185" s="36" t="n">
        <f>20</f>
        <v>20.0</v>
      </c>
    </row>
    <row r="186">
      <c r="A186" s="27" t="s">
        <v>42</v>
      </c>
      <c r="B186" s="27" t="s">
        <v>603</v>
      </c>
      <c r="C186" s="27" t="s">
        <v>604</v>
      </c>
      <c r="D186" s="27" t="s">
        <v>605</v>
      </c>
      <c r="E186" s="28" t="s">
        <v>46</v>
      </c>
      <c r="F186" s="29" t="s">
        <v>46</v>
      </c>
      <c r="G186" s="30" t="s">
        <v>46</v>
      </c>
      <c r="H186" s="31"/>
      <c r="I186" s="31" t="s">
        <v>414</v>
      </c>
      <c r="J186" s="32" t="n">
        <v>1.0</v>
      </c>
      <c r="K186" s="33" t="n">
        <f>5901</f>
        <v>5901.0</v>
      </c>
      <c r="L186" s="34" t="s">
        <v>48</v>
      </c>
      <c r="M186" s="33" t="n">
        <f>5912</f>
        <v>5912.0</v>
      </c>
      <c r="N186" s="34" t="s">
        <v>62</v>
      </c>
      <c r="O186" s="33" t="n">
        <f>5400</f>
        <v>5400.0</v>
      </c>
      <c r="P186" s="34" t="s">
        <v>69</v>
      </c>
      <c r="Q186" s="33" t="n">
        <f>5522</f>
        <v>5522.0</v>
      </c>
      <c r="R186" s="34" t="s">
        <v>51</v>
      </c>
      <c r="S186" s="35" t="n">
        <f>5651.35</f>
        <v>5651.35</v>
      </c>
      <c r="T186" s="32" t="n">
        <f>4988</f>
        <v>4988.0</v>
      </c>
      <c r="U186" s="32" t="str">
        <f>"－"</f>
        <v>－</v>
      </c>
      <c r="V186" s="32" t="n">
        <f>28175522</f>
        <v>2.8175522E7</v>
      </c>
      <c r="W186" s="32" t="str">
        <f>"－"</f>
        <v>－</v>
      </c>
      <c r="X186" s="36" t="n">
        <f>20</f>
        <v>20.0</v>
      </c>
    </row>
    <row r="187">
      <c r="A187" s="27" t="s">
        <v>42</v>
      </c>
      <c r="B187" s="27" t="s">
        <v>606</v>
      </c>
      <c r="C187" s="27" t="s">
        <v>607</v>
      </c>
      <c r="D187" s="27" t="s">
        <v>608</v>
      </c>
      <c r="E187" s="28" t="s">
        <v>46</v>
      </c>
      <c r="F187" s="29" t="s">
        <v>46</v>
      </c>
      <c r="G187" s="30" t="s">
        <v>46</v>
      </c>
      <c r="H187" s="31"/>
      <c r="I187" s="31" t="s">
        <v>414</v>
      </c>
      <c r="J187" s="32" t="n">
        <v>1.0</v>
      </c>
      <c r="K187" s="33" t="n">
        <f>15900</f>
        <v>15900.0</v>
      </c>
      <c r="L187" s="34" t="s">
        <v>48</v>
      </c>
      <c r="M187" s="33" t="n">
        <f>20365</f>
        <v>20365.0</v>
      </c>
      <c r="N187" s="34" t="s">
        <v>195</v>
      </c>
      <c r="O187" s="33" t="n">
        <f>15550</f>
        <v>15550.0</v>
      </c>
      <c r="P187" s="34" t="s">
        <v>48</v>
      </c>
      <c r="Q187" s="33" t="n">
        <f>19230</f>
        <v>19230.0</v>
      </c>
      <c r="R187" s="34" t="s">
        <v>51</v>
      </c>
      <c r="S187" s="35" t="n">
        <f>18295.79</f>
        <v>18295.79</v>
      </c>
      <c r="T187" s="32" t="n">
        <f>2641</f>
        <v>2641.0</v>
      </c>
      <c r="U187" s="32" t="str">
        <f>"－"</f>
        <v>－</v>
      </c>
      <c r="V187" s="32" t="n">
        <f>48937215</f>
        <v>4.8937215E7</v>
      </c>
      <c r="W187" s="32" t="str">
        <f>"－"</f>
        <v>－</v>
      </c>
      <c r="X187" s="36" t="n">
        <f>19</f>
        <v>19.0</v>
      </c>
    </row>
    <row r="188">
      <c r="A188" s="27" t="s">
        <v>42</v>
      </c>
      <c r="B188" s="27" t="s">
        <v>609</v>
      </c>
      <c r="C188" s="27" t="s">
        <v>610</v>
      </c>
      <c r="D188" s="27" t="s">
        <v>611</v>
      </c>
      <c r="E188" s="28" t="s">
        <v>46</v>
      </c>
      <c r="F188" s="29" t="s">
        <v>46</v>
      </c>
      <c r="G188" s="30" t="s">
        <v>46</v>
      </c>
      <c r="H188" s="31"/>
      <c r="I188" s="31" t="s">
        <v>414</v>
      </c>
      <c r="J188" s="32" t="n">
        <v>1.0</v>
      </c>
      <c r="K188" s="33" t="n">
        <f>5905</f>
        <v>5905.0</v>
      </c>
      <c r="L188" s="34" t="s">
        <v>48</v>
      </c>
      <c r="M188" s="33" t="n">
        <f>6101</f>
        <v>6101.0</v>
      </c>
      <c r="N188" s="34" t="s">
        <v>207</v>
      </c>
      <c r="O188" s="33" t="n">
        <f>5313</f>
        <v>5313.0</v>
      </c>
      <c r="P188" s="34" t="s">
        <v>70</v>
      </c>
      <c r="Q188" s="33" t="n">
        <f>5424</f>
        <v>5424.0</v>
      </c>
      <c r="R188" s="34" t="s">
        <v>51</v>
      </c>
      <c r="S188" s="35" t="n">
        <f>5675.05</f>
        <v>5675.05</v>
      </c>
      <c r="T188" s="32" t="n">
        <f>7336</f>
        <v>7336.0</v>
      </c>
      <c r="U188" s="32" t="str">
        <f>"－"</f>
        <v>－</v>
      </c>
      <c r="V188" s="32" t="n">
        <f>41347181</f>
        <v>4.1347181E7</v>
      </c>
      <c r="W188" s="32" t="str">
        <f>"－"</f>
        <v>－</v>
      </c>
      <c r="X188" s="36" t="n">
        <f>20</f>
        <v>20.0</v>
      </c>
    </row>
    <row r="189">
      <c r="A189" s="27" t="s">
        <v>42</v>
      </c>
      <c r="B189" s="27" t="s">
        <v>612</v>
      </c>
      <c r="C189" s="27" t="s">
        <v>613</v>
      </c>
      <c r="D189" s="27" t="s">
        <v>614</v>
      </c>
      <c r="E189" s="28" t="s">
        <v>46</v>
      </c>
      <c r="F189" s="29" t="s">
        <v>46</v>
      </c>
      <c r="G189" s="30" t="s">
        <v>46</v>
      </c>
      <c r="H189" s="31"/>
      <c r="I189" s="31" t="s">
        <v>414</v>
      </c>
      <c r="J189" s="32" t="n">
        <v>1.0</v>
      </c>
      <c r="K189" s="33" t="n">
        <f>103350</f>
        <v>103350.0</v>
      </c>
      <c r="L189" s="34" t="s">
        <v>48</v>
      </c>
      <c r="M189" s="33" t="n">
        <f>138050</f>
        <v>138050.0</v>
      </c>
      <c r="N189" s="34" t="s">
        <v>51</v>
      </c>
      <c r="O189" s="33" t="n">
        <f>102800</f>
        <v>102800.0</v>
      </c>
      <c r="P189" s="34" t="s">
        <v>48</v>
      </c>
      <c r="Q189" s="33" t="n">
        <f>137700</f>
        <v>137700.0</v>
      </c>
      <c r="R189" s="34" t="s">
        <v>51</v>
      </c>
      <c r="S189" s="35" t="n">
        <f>119130</f>
        <v>119130.0</v>
      </c>
      <c r="T189" s="32" t="n">
        <f>304063</f>
        <v>304063.0</v>
      </c>
      <c r="U189" s="32" t="n">
        <f>349</f>
        <v>349.0</v>
      </c>
      <c r="V189" s="32" t="n">
        <f>36835096900</f>
        <v>3.68350969E10</v>
      </c>
      <c r="W189" s="32" t="n">
        <f>49034500</f>
        <v>4.90345E7</v>
      </c>
      <c r="X189" s="36" t="n">
        <f>20</f>
        <v>20.0</v>
      </c>
    </row>
    <row r="190">
      <c r="A190" s="27" t="s">
        <v>42</v>
      </c>
      <c r="B190" s="27" t="s">
        <v>615</v>
      </c>
      <c r="C190" s="27" t="s">
        <v>616</v>
      </c>
      <c r="D190" s="27" t="s">
        <v>617</v>
      </c>
      <c r="E190" s="28" t="s">
        <v>46</v>
      </c>
      <c r="F190" s="29" t="s">
        <v>46</v>
      </c>
      <c r="G190" s="30" t="s">
        <v>46</v>
      </c>
      <c r="H190" s="31"/>
      <c r="I190" s="31" t="s">
        <v>414</v>
      </c>
      <c r="J190" s="32" t="n">
        <v>1.0</v>
      </c>
      <c r="K190" s="33" t="n">
        <f>1946</f>
        <v>1946.0</v>
      </c>
      <c r="L190" s="34" t="s">
        <v>48</v>
      </c>
      <c r="M190" s="33" t="n">
        <f>1955</f>
        <v>1955.0</v>
      </c>
      <c r="N190" s="34" t="s">
        <v>48</v>
      </c>
      <c r="O190" s="33" t="n">
        <f>1675</f>
        <v>1675.0</v>
      </c>
      <c r="P190" s="34" t="s">
        <v>61</v>
      </c>
      <c r="Q190" s="33" t="n">
        <f>1718</f>
        <v>1718.0</v>
      </c>
      <c r="R190" s="34" t="s">
        <v>51</v>
      </c>
      <c r="S190" s="35" t="n">
        <f>1823.1</f>
        <v>1823.1</v>
      </c>
      <c r="T190" s="32" t="n">
        <f>80641</f>
        <v>80641.0</v>
      </c>
      <c r="U190" s="32" t="str">
        <f>"－"</f>
        <v>－</v>
      </c>
      <c r="V190" s="32" t="n">
        <f>146565562</f>
        <v>1.46565562E8</v>
      </c>
      <c r="W190" s="32" t="str">
        <f>"－"</f>
        <v>－</v>
      </c>
      <c r="X190" s="36" t="n">
        <f>20</f>
        <v>20.0</v>
      </c>
    </row>
    <row r="191">
      <c r="A191" s="27" t="s">
        <v>42</v>
      </c>
      <c r="B191" s="27" t="s">
        <v>618</v>
      </c>
      <c r="C191" s="27" t="s">
        <v>619</v>
      </c>
      <c r="D191" s="27" t="s">
        <v>620</v>
      </c>
      <c r="E191" s="28" t="s">
        <v>46</v>
      </c>
      <c r="F191" s="29" t="s">
        <v>46</v>
      </c>
      <c r="G191" s="30" t="s">
        <v>46</v>
      </c>
      <c r="H191" s="31"/>
      <c r="I191" s="31" t="s">
        <v>414</v>
      </c>
      <c r="J191" s="32" t="n">
        <v>1.0</v>
      </c>
      <c r="K191" s="33" t="n">
        <f>1465</f>
        <v>1465.0</v>
      </c>
      <c r="L191" s="34" t="s">
        <v>48</v>
      </c>
      <c r="M191" s="33" t="n">
        <f>1589</f>
        <v>1589.0</v>
      </c>
      <c r="N191" s="34" t="s">
        <v>49</v>
      </c>
      <c r="O191" s="33" t="n">
        <f>1447</f>
        <v>1447.0</v>
      </c>
      <c r="P191" s="34" t="s">
        <v>214</v>
      </c>
      <c r="Q191" s="33" t="n">
        <f>1485</f>
        <v>1485.0</v>
      </c>
      <c r="R191" s="34" t="s">
        <v>51</v>
      </c>
      <c r="S191" s="35" t="n">
        <f>1495.8</f>
        <v>1495.8</v>
      </c>
      <c r="T191" s="32" t="n">
        <f>4864691</f>
        <v>4864691.0</v>
      </c>
      <c r="U191" s="32" t="n">
        <f>101008</f>
        <v>101008.0</v>
      </c>
      <c r="V191" s="32" t="n">
        <f>7320901415</f>
        <v>7.320901415E9</v>
      </c>
      <c r="W191" s="32" t="n">
        <f>161329882</f>
        <v>1.61329882E8</v>
      </c>
      <c r="X191" s="36" t="n">
        <f>20</f>
        <v>20.0</v>
      </c>
    </row>
    <row r="192">
      <c r="A192" s="27" t="s">
        <v>42</v>
      </c>
      <c r="B192" s="27" t="s">
        <v>621</v>
      </c>
      <c r="C192" s="27" t="s">
        <v>622</v>
      </c>
      <c r="D192" s="27" t="s">
        <v>623</v>
      </c>
      <c r="E192" s="28" t="s">
        <v>46</v>
      </c>
      <c r="F192" s="29" t="s">
        <v>46</v>
      </c>
      <c r="G192" s="30" t="s">
        <v>46</v>
      </c>
      <c r="H192" s="31"/>
      <c r="I192" s="31" t="s">
        <v>414</v>
      </c>
      <c r="J192" s="32" t="n">
        <v>1.0</v>
      </c>
      <c r="K192" s="33" t="n">
        <f>913</f>
        <v>913.0</v>
      </c>
      <c r="L192" s="34" t="s">
        <v>48</v>
      </c>
      <c r="M192" s="33" t="n">
        <f>925</f>
        <v>925.0</v>
      </c>
      <c r="N192" s="34" t="s">
        <v>214</v>
      </c>
      <c r="O192" s="33" t="n">
        <f>874</f>
        <v>874.0</v>
      </c>
      <c r="P192" s="34" t="s">
        <v>70</v>
      </c>
      <c r="Q192" s="33" t="n">
        <f>900</f>
        <v>900.0</v>
      </c>
      <c r="R192" s="34" t="s">
        <v>51</v>
      </c>
      <c r="S192" s="35" t="n">
        <f>902.65</f>
        <v>902.65</v>
      </c>
      <c r="T192" s="32" t="n">
        <f>606085</f>
        <v>606085.0</v>
      </c>
      <c r="U192" s="32" t="str">
        <f>"－"</f>
        <v>－</v>
      </c>
      <c r="V192" s="32" t="n">
        <f>543893481</f>
        <v>5.43893481E8</v>
      </c>
      <c r="W192" s="32" t="str">
        <f>"－"</f>
        <v>－</v>
      </c>
      <c r="X192" s="36" t="n">
        <f>20</f>
        <v>20.0</v>
      </c>
    </row>
    <row r="193">
      <c r="A193" s="27" t="s">
        <v>42</v>
      </c>
      <c r="B193" s="27" t="s">
        <v>624</v>
      </c>
      <c r="C193" s="27" t="s">
        <v>625</v>
      </c>
      <c r="D193" s="27" t="s">
        <v>626</v>
      </c>
      <c r="E193" s="28" t="s">
        <v>46</v>
      </c>
      <c r="F193" s="29" t="s">
        <v>46</v>
      </c>
      <c r="G193" s="30" t="s">
        <v>46</v>
      </c>
      <c r="H193" s="31"/>
      <c r="I193" s="31" t="s">
        <v>414</v>
      </c>
      <c r="J193" s="32" t="n">
        <v>1.0</v>
      </c>
      <c r="K193" s="33" t="n">
        <f>32000</f>
        <v>32000.0</v>
      </c>
      <c r="L193" s="34" t="s">
        <v>48</v>
      </c>
      <c r="M193" s="33" t="n">
        <f>32890</f>
        <v>32890.0</v>
      </c>
      <c r="N193" s="34" t="s">
        <v>61</v>
      </c>
      <c r="O193" s="33" t="n">
        <f>31250</f>
        <v>31250.0</v>
      </c>
      <c r="P193" s="34" t="s">
        <v>62</v>
      </c>
      <c r="Q193" s="33" t="n">
        <f>32610</f>
        <v>32610.0</v>
      </c>
      <c r="R193" s="34" t="s">
        <v>51</v>
      </c>
      <c r="S193" s="35" t="n">
        <f>32169</f>
        <v>32169.0</v>
      </c>
      <c r="T193" s="32" t="n">
        <f>18490</f>
        <v>18490.0</v>
      </c>
      <c r="U193" s="32" t="str">
        <f>"－"</f>
        <v>－</v>
      </c>
      <c r="V193" s="32" t="n">
        <f>593877940</f>
        <v>5.9387794E8</v>
      </c>
      <c r="W193" s="32" t="str">
        <f>"－"</f>
        <v>－</v>
      </c>
      <c r="X193" s="36" t="n">
        <f>20</f>
        <v>20.0</v>
      </c>
    </row>
    <row r="194">
      <c r="A194" s="27" t="s">
        <v>42</v>
      </c>
      <c r="B194" s="27" t="s">
        <v>627</v>
      </c>
      <c r="C194" s="27" t="s">
        <v>628</v>
      </c>
      <c r="D194" s="27" t="s">
        <v>629</v>
      </c>
      <c r="E194" s="28" t="s">
        <v>46</v>
      </c>
      <c r="F194" s="29" t="s">
        <v>46</v>
      </c>
      <c r="G194" s="30" t="s">
        <v>46</v>
      </c>
      <c r="H194" s="31"/>
      <c r="I194" s="31" t="s">
        <v>414</v>
      </c>
      <c r="J194" s="32" t="n">
        <v>1.0</v>
      </c>
      <c r="K194" s="33" t="n">
        <f>2242</f>
        <v>2242.0</v>
      </c>
      <c r="L194" s="34" t="s">
        <v>48</v>
      </c>
      <c r="M194" s="33" t="n">
        <f>2270</f>
        <v>2270.0</v>
      </c>
      <c r="N194" s="34" t="s">
        <v>62</v>
      </c>
      <c r="O194" s="33" t="n">
        <f>2194</f>
        <v>2194.0</v>
      </c>
      <c r="P194" s="34" t="s">
        <v>51</v>
      </c>
      <c r="Q194" s="33" t="n">
        <f>2203</f>
        <v>2203.0</v>
      </c>
      <c r="R194" s="34" t="s">
        <v>51</v>
      </c>
      <c r="S194" s="35" t="n">
        <f>2223.25</f>
        <v>2223.25</v>
      </c>
      <c r="T194" s="32" t="n">
        <f>111711</f>
        <v>111711.0</v>
      </c>
      <c r="U194" s="32" t="str">
        <f>"－"</f>
        <v>－</v>
      </c>
      <c r="V194" s="32" t="n">
        <f>247623744</f>
        <v>2.47623744E8</v>
      </c>
      <c r="W194" s="32" t="str">
        <f>"－"</f>
        <v>－</v>
      </c>
      <c r="X194" s="36" t="n">
        <f>20</f>
        <v>20.0</v>
      </c>
    </row>
    <row r="195">
      <c r="A195" s="27" t="s">
        <v>42</v>
      </c>
      <c r="B195" s="27" t="s">
        <v>630</v>
      </c>
      <c r="C195" s="27" t="s">
        <v>631</v>
      </c>
      <c r="D195" s="27" t="s">
        <v>632</v>
      </c>
      <c r="E195" s="28" t="s">
        <v>46</v>
      </c>
      <c r="F195" s="29" t="s">
        <v>46</v>
      </c>
      <c r="G195" s="30" t="s">
        <v>46</v>
      </c>
      <c r="H195" s="31"/>
      <c r="I195" s="31" t="s">
        <v>414</v>
      </c>
      <c r="J195" s="32" t="n">
        <v>1.0</v>
      </c>
      <c r="K195" s="33" t="n">
        <f>8109</f>
        <v>8109.0</v>
      </c>
      <c r="L195" s="34" t="s">
        <v>48</v>
      </c>
      <c r="M195" s="33" t="n">
        <f>8244</f>
        <v>8244.0</v>
      </c>
      <c r="N195" s="34" t="s">
        <v>512</v>
      </c>
      <c r="O195" s="33" t="n">
        <f>7779</f>
        <v>7779.0</v>
      </c>
      <c r="P195" s="34" t="s">
        <v>51</v>
      </c>
      <c r="Q195" s="33" t="n">
        <f>7877</f>
        <v>7877.0</v>
      </c>
      <c r="R195" s="34" t="s">
        <v>51</v>
      </c>
      <c r="S195" s="35" t="n">
        <f>8052.15</f>
        <v>8052.15</v>
      </c>
      <c r="T195" s="32" t="n">
        <f>32302</f>
        <v>32302.0</v>
      </c>
      <c r="U195" s="32" t="str">
        <f>"－"</f>
        <v>－</v>
      </c>
      <c r="V195" s="32" t="n">
        <f>261080845</f>
        <v>2.61080845E8</v>
      </c>
      <c r="W195" s="32" t="str">
        <f>"－"</f>
        <v>－</v>
      </c>
      <c r="X195" s="36" t="n">
        <f>20</f>
        <v>20.0</v>
      </c>
    </row>
    <row r="196">
      <c r="A196" s="27" t="s">
        <v>42</v>
      </c>
      <c r="B196" s="27" t="s">
        <v>633</v>
      </c>
      <c r="C196" s="27" t="s">
        <v>634</v>
      </c>
      <c r="D196" s="27" t="s">
        <v>635</v>
      </c>
      <c r="E196" s="28" t="s">
        <v>46</v>
      </c>
      <c r="F196" s="29" t="s">
        <v>46</v>
      </c>
      <c r="G196" s="30" t="s">
        <v>46</v>
      </c>
      <c r="H196" s="31"/>
      <c r="I196" s="31" t="s">
        <v>414</v>
      </c>
      <c r="J196" s="32" t="n">
        <v>1.0</v>
      </c>
      <c r="K196" s="33" t="n">
        <f>22320</f>
        <v>22320.0</v>
      </c>
      <c r="L196" s="34" t="s">
        <v>48</v>
      </c>
      <c r="M196" s="33" t="n">
        <f>22675</f>
        <v>22675.0</v>
      </c>
      <c r="N196" s="34" t="s">
        <v>74</v>
      </c>
      <c r="O196" s="33" t="n">
        <f>21675</f>
        <v>21675.0</v>
      </c>
      <c r="P196" s="34" t="s">
        <v>48</v>
      </c>
      <c r="Q196" s="33" t="n">
        <f>21960</f>
        <v>21960.0</v>
      </c>
      <c r="R196" s="34" t="s">
        <v>51</v>
      </c>
      <c r="S196" s="35" t="n">
        <f>22207.25</f>
        <v>22207.25</v>
      </c>
      <c r="T196" s="32" t="n">
        <f>531</f>
        <v>531.0</v>
      </c>
      <c r="U196" s="32" t="str">
        <f>"－"</f>
        <v>－</v>
      </c>
      <c r="V196" s="32" t="n">
        <f>11776690</f>
        <v>1.177669E7</v>
      </c>
      <c r="W196" s="32" t="str">
        <f>"－"</f>
        <v>－</v>
      </c>
      <c r="X196" s="36" t="n">
        <f>20</f>
        <v>20.0</v>
      </c>
    </row>
    <row r="197">
      <c r="A197" s="27" t="s">
        <v>42</v>
      </c>
      <c r="B197" s="27" t="s">
        <v>636</v>
      </c>
      <c r="C197" s="27" t="s">
        <v>637</v>
      </c>
      <c r="D197" s="27" t="s">
        <v>638</v>
      </c>
      <c r="E197" s="28" t="s">
        <v>46</v>
      </c>
      <c r="F197" s="29" t="s">
        <v>46</v>
      </c>
      <c r="G197" s="30" t="s">
        <v>46</v>
      </c>
      <c r="H197" s="31"/>
      <c r="I197" s="31" t="s">
        <v>414</v>
      </c>
      <c r="J197" s="32" t="n">
        <v>1.0</v>
      </c>
      <c r="K197" s="33" t="n">
        <f>29500</f>
        <v>29500.0</v>
      </c>
      <c r="L197" s="34" t="s">
        <v>48</v>
      </c>
      <c r="M197" s="33" t="n">
        <f>29875</f>
        <v>29875.0</v>
      </c>
      <c r="N197" s="34" t="s">
        <v>103</v>
      </c>
      <c r="O197" s="33" t="n">
        <f>28825</f>
        <v>28825.0</v>
      </c>
      <c r="P197" s="34" t="s">
        <v>99</v>
      </c>
      <c r="Q197" s="33" t="n">
        <f>29160</f>
        <v>29160.0</v>
      </c>
      <c r="R197" s="34" t="s">
        <v>51</v>
      </c>
      <c r="S197" s="35" t="n">
        <f>29331</f>
        <v>29331.0</v>
      </c>
      <c r="T197" s="32" t="n">
        <f>6046</f>
        <v>6046.0</v>
      </c>
      <c r="U197" s="32" t="str">
        <f>"－"</f>
        <v>－</v>
      </c>
      <c r="V197" s="32" t="n">
        <f>177924795</f>
        <v>1.77924795E8</v>
      </c>
      <c r="W197" s="32" t="str">
        <f>"－"</f>
        <v>－</v>
      </c>
      <c r="X197" s="36" t="n">
        <f>20</f>
        <v>20.0</v>
      </c>
    </row>
    <row r="198">
      <c r="A198" s="27" t="s">
        <v>42</v>
      </c>
      <c r="B198" s="27" t="s">
        <v>639</v>
      </c>
      <c r="C198" s="27" t="s">
        <v>640</v>
      </c>
      <c r="D198" s="27" t="s">
        <v>641</v>
      </c>
      <c r="E198" s="28" t="s">
        <v>46</v>
      </c>
      <c r="F198" s="29" t="s">
        <v>46</v>
      </c>
      <c r="G198" s="30" t="s">
        <v>46</v>
      </c>
      <c r="H198" s="31"/>
      <c r="I198" s="31" t="s">
        <v>414</v>
      </c>
      <c r="J198" s="32" t="n">
        <v>1.0</v>
      </c>
      <c r="K198" s="33" t="n">
        <f>18310</f>
        <v>18310.0</v>
      </c>
      <c r="L198" s="34" t="s">
        <v>207</v>
      </c>
      <c r="M198" s="33" t="n">
        <f>19140</f>
        <v>19140.0</v>
      </c>
      <c r="N198" s="34" t="s">
        <v>69</v>
      </c>
      <c r="O198" s="33" t="n">
        <f>18190</f>
        <v>18190.0</v>
      </c>
      <c r="P198" s="34" t="s">
        <v>512</v>
      </c>
      <c r="Q198" s="33" t="n">
        <f>18850</f>
        <v>18850.0</v>
      </c>
      <c r="R198" s="34" t="s">
        <v>51</v>
      </c>
      <c r="S198" s="35" t="n">
        <f>18698.46</f>
        <v>18698.46</v>
      </c>
      <c r="T198" s="32" t="n">
        <f>301</f>
        <v>301.0</v>
      </c>
      <c r="U198" s="32" t="str">
        <f>"－"</f>
        <v>－</v>
      </c>
      <c r="V198" s="32" t="n">
        <f>5627645</f>
        <v>5627645.0</v>
      </c>
      <c r="W198" s="32" t="str">
        <f>"－"</f>
        <v>－</v>
      </c>
      <c r="X198" s="36" t="n">
        <f>13</f>
        <v>13.0</v>
      </c>
    </row>
    <row r="199">
      <c r="A199" s="27" t="s">
        <v>42</v>
      </c>
      <c r="B199" s="27" t="s">
        <v>642</v>
      </c>
      <c r="C199" s="27" t="s">
        <v>643</v>
      </c>
      <c r="D199" s="27" t="s">
        <v>644</v>
      </c>
      <c r="E199" s="28" t="s">
        <v>46</v>
      </c>
      <c r="F199" s="29" t="s">
        <v>46</v>
      </c>
      <c r="G199" s="30" t="s">
        <v>46</v>
      </c>
      <c r="H199" s="31"/>
      <c r="I199" s="31" t="s">
        <v>414</v>
      </c>
      <c r="J199" s="32" t="n">
        <v>1.0</v>
      </c>
      <c r="K199" s="33" t="n">
        <f>28005</f>
        <v>28005.0</v>
      </c>
      <c r="L199" s="34" t="s">
        <v>48</v>
      </c>
      <c r="M199" s="33" t="n">
        <f>29990</f>
        <v>29990.0</v>
      </c>
      <c r="N199" s="34" t="s">
        <v>74</v>
      </c>
      <c r="O199" s="33" t="n">
        <f>27820</f>
        <v>27820.0</v>
      </c>
      <c r="P199" s="34" t="s">
        <v>48</v>
      </c>
      <c r="Q199" s="33" t="n">
        <f>28330</f>
        <v>28330.0</v>
      </c>
      <c r="R199" s="34" t="s">
        <v>51</v>
      </c>
      <c r="S199" s="35" t="n">
        <f>28907.5</f>
        <v>28907.5</v>
      </c>
      <c r="T199" s="32" t="n">
        <f>43897</f>
        <v>43897.0</v>
      </c>
      <c r="U199" s="32" t="str">
        <f>"－"</f>
        <v>－</v>
      </c>
      <c r="V199" s="32" t="n">
        <f>1271332040</f>
        <v>1.27133204E9</v>
      </c>
      <c r="W199" s="32" t="str">
        <f>"－"</f>
        <v>－</v>
      </c>
      <c r="X199" s="36" t="n">
        <f>20</f>
        <v>20.0</v>
      </c>
    </row>
    <row r="200">
      <c r="A200" s="27" t="s">
        <v>42</v>
      </c>
      <c r="B200" s="27" t="s">
        <v>645</v>
      </c>
      <c r="C200" s="27" t="s">
        <v>646</v>
      </c>
      <c r="D200" s="27" t="s">
        <v>647</v>
      </c>
      <c r="E200" s="28" t="s">
        <v>46</v>
      </c>
      <c r="F200" s="29" t="s">
        <v>46</v>
      </c>
      <c r="G200" s="30" t="s">
        <v>46</v>
      </c>
      <c r="H200" s="31"/>
      <c r="I200" s="31" t="s">
        <v>414</v>
      </c>
      <c r="J200" s="32" t="n">
        <v>1.0</v>
      </c>
      <c r="K200" s="33" t="n">
        <f>3330</f>
        <v>3330.0</v>
      </c>
      <c r="L200" s="34" t="s">
        <v>48</v>
      </c>
      <c r="M200" s="33" t="n">
        <f>3380</f>
        <v>3380.0</v>
      </c>
      <c r="N200" s="34" t="s">
        <v>49</v>
      </c>
      <c r="O200" s="33" t="n">
        <f>3220</f>
        <v>3220.0</v>
      </c>
      <c r="P200" s="34" t="s">
        <v>195</v>
      </c>
      <c r="Q200" s="33" t="n">
        <f>3335</f>
        <v>3335.0</v>
      </c>
      <c r="R200" s="34" t="s">
        <v>51</v>
      </c>
      <c r="S200" s="35" t="n">
        <f>3300.32</f>
        <v>3300.32</v>
      </c>
      <c r="T200" s="32" t="n">
        <f>3112</f>
        <v>3112.0</v>
      </c>
      <c r="U200" s="32" t="str">
        <f>"－"</f>
        <v>－</v>
      </c>
      <c r="V200" s="32" t="n">
        <f>10291598</f>
        <v>1.0291598E7</v>
      </c>
      <c r="W200" s="32" t="str">
        <f>"－"</f>
        <v>－</v>
      </c>
      <c r="X200" s="36" t="n">
        <f>19</f>
        <v>19.0</v>
      </c>
    </row>
    <row r="201">
      <c r="A201" s="27" t="s">
        <v>42</v>
      </c>
      <c r="B201" s="27" t="s">
        <v>648</v>
      </c>
      <c r="C201" s="27" t="s">
        <v>649</v>
      </c>
      <c r="D201" s="27" t="s">
        <v>650</v>
      </c>
      <c r="E201" s="28" t="s">
        <v>46</v>
      </c>
      <c r="F201" s="29" t="s">
        <v>46</v>
      </c>
      <c r="G201" s="30" t="s">
        <v>46</v>
      </c>
      <c r="H201" s="31"/>
      <c r="I201" s="31" t="s">
        <v>414</v>
      </c>
      <c r="J201" s="32" t="n">
        <v>1.0</v>
      </c>
      <c r="K201" s="33" t="n">
        <f>36470</f>
        <v>36470.0</v>
      </c>
      <c r="L201" s="34" t="s">
        <v>62</v>
      </c>
      <c r="M201" s="33" t="n">
        <f>37970</f>
        <v>37970.0</v>
      </c>
      <c r="N201" s="34" t="s">
        <v>199</v>
      </c>
      <c r="O201" s="33" t="n">
        <f>36370</f>
        <v>36370.0</v>
      </c>
      <c r="P201" s="34" t="s">
        <v>99</v>
      </c>
      <c r="Q201" s="33" t="n">
        <f>37300</f>
        <v>37300.0</v>
      </c>
      <c r="R201" s="34" t="s">
        <v>398</v>
      </c>
      <c r="S201" s="35" t="n">
        <f>36931.11</f>
        <v>36931.11</v>
      </c>
      <c r="T201" s="32" t="n">
        <f>807</f>
        <v>807.0</v>
      </c>
      <c r="U201" s="32" t="str">
        <f>"－"</f>
        <v>－</v>
      </c>
      <c r="V201" s="32" t="n">
        <f>29861600</f>
        <v>2.98616E7</v>
      </c>
      <c r="W201" s="32" t="str">
        <f>"－"</f>
        <v>－</v>
      </c>
      <c r="X201" s="36" t="n">
        <f>9</f>
        <v>9.0</v>
      </c>
    </row>
    <row r="202">
      <c r="A202" s="27" t="s">
        <v>42</v>
      </c>
      <c r="B202" s="27" t="s">
        <v>651</v>
      </c>
      <c r="C202" s="27" t="s">
        <v>652</v>
      </c>
      <c r="D202" s="27" t="s">
        <v>653</v>
      </c>
      <c r="E202" s="28" t="s">
        <v>46</v>
      </c>
      <c r="F202" s="29" t="s">
        <v>46</v>
      </c>
      <c r="G202" s="30" t="s">
        <v>46</v>
      </c>
      <c r="H202" s="31"/>
      <c r="I202" s="31" t="s">
        <v>414</v>
      </c>
      <c r="J202" s="32" t="n">
        <v>1.0</v>
      </c>
      <c r="K202" s="33" t="n">
        <f>23960</f>
        <v>23960.0</v>
      </c>
      <c r="L202" s="34" t="s">
        <v>48</v>
      </c>
      <c r="M202" s="33" t="n">
        <f>24765</f>
        <v>24765.0</v>
      </c>
      <c r="N202" s="34" t="s">
        <v>398</v>
      </c>
      <c r="O202" s="33" t="n">
        <f>23960</f>
        <v>23960.0</v>
      </c>
      <c r="P202" s="34" t="s">
        <v>48</v>
      </c>
      <c r="Q202" s="33" t="n">
        <f>24710</f>
        <v>24710.0</v>
      </c>
      <c r="R202" s="34" t="s">
        <v>51</v>
      </c>
      <c r="S202" s="35" t="n">
        <f>24421.36</f>
        <v>24421.36</v>
      </c>
      <c r="T202" s="32" t="n">
        <f>9388</f>
        <v>9388.0</v>
      </c>
      <c r="U202" s="32" t="str">
        <f>"－"</f>
        <v>－</v>
      </c>
      <c r="V202" s="32" t="n">
        <f>226597065</f>
        <v>2.26597065E8</v>
      </c>
      <c r="W202" s="32" t="str">
        <f>"－"</f>
        <v>－</v>
      </c>
      <c r="X202" s="36" t="n">
        <f>11</f>
        <v>11.0</v>
      </c>
    </row>
    <row r="203">
      <c r="A203" s="27" t="s">
        <v>42</v>
      </c>
      <c r="B203" s="27" t="s">
        <v>654</v>
      </c>
      <c r="C203" s="27" t="s">
        <v>655</v>
      </c>
      <c r="D203" s="27" t="s">
        <v>656</v>
      </c>
      <c r="E203" s="28" t="s">
        <v>46</v>
      </c>
      <c r="F203" s="29" t="s">
        <v>46</v>
      </c>
      <c r="G203" s="30" t="s">
        <v>46</v>
      </c>
      <c r="H203" s="31"/>
      <c r="I203" s="31" t="s">
        <v>414</v>
      </c>
      <c r="J203" s="32" t="n">
        <v>1.0</v>
      </c>
      <c r="K203" s="33" t="n">
        <f>41680</f>
        <v>41680.0</v>
      </c>
      <c r="L203" s="34" t="s">
        <v>48</v>
      </c>
      <c r="M203" s="33" t="n">
        <f>43470</f>
        <v>43470.0</v>
      </c>
      <c r="N203" s="34" t="s">
        <v>70</v>
      </c>
      <c r="O203" s="33" t="n">
        <f>41000</f>
        <v>41000.0</v>
      </c>
      <c r="P203" s="34" t="s">
        <v>48</v>
      </c>
      <c r="Q203" s="33" t="n">
        <f>43150</f>
        <v>43150.0</v>
      </c>
      <c r="R203" s="34" t="s">
        <v>51</v>
      </c>
      <c r="S203" s="35" t="n">
        <f>42741.05</f>
        <v>42741.05</v>
      </c>
      <c r="T203" s="32" t="n">
        <f>294</f>
        <v>294.0</v>
      </c>
      <c r="U203" s="32" t="str">
        <f>"－"</f>
        <v>－</v>
      </c>
      <c r="V203" s="32" t="n">
        <f>12219420</f>
        <v>1.221942E7</v>
      </c>
      <c r="W203" s="32" t="str">
        <f>"－"</f>
        <v>－</v>
      </c>
      <c r="X203" s="36" t="n">
        <f>19</f>
        <v>19.0</v>
      </c>
    </row>
    <row r="204">
      <c r="A204" s="27" t="s">
        <v>42</v>
      </c>
      <c r="B204" s="27" t="s">
        <v>657</v>
      </c>
      <c r="C204" s="27" t="s">
        <v>658</v>
      </c>
      <c r="D204" s="27" t="s">
        <v>659</v>
      </c>
      <c r="E204" s="28" t="s">
        <v>46</v>
      </c>
      <c r="F204" s="29" t="s">
        <v>46</v>
      </c>
      <c r="G204" s="30" t="s">
        <v>46</v>
      </c>
      <c r="H204" s="31"/>
      <c r="I204" s="31" t="s">
        <v>414</v>
      </c>
      <c r="J204" s="32" t="n">
        <v>1.0</v>
      </c>
      <c r="K204" s="33" t="n">
        <f>22860</f>
        <v>22860.0</v>
      </c>
      <c r="L204" s="34" t="s">
        <v>50</v>
      </c>
      <c r="M204" s="33" t="n">
        <f>23225</f>
        <v>23225.0</v>
      </c>
      <c r="N204" s="34" t="s">
        <v>49</v>
      </c>
      <c r="O204" s="33" t="n">
        <f>22370</f>
        <v>22370.0</v>
      </c>
      <c r="P204" s="34" t="s">
        <v>103</v>
      </c>
      <c r="Q204" s="33" t="n">
        <f>23225</f>
        <v>23225.0</v>
      </c>
      <c r="R204" s="34" t="s">
        <v>49</v>
      </c>
      <c r="S204" s="35" t="n">
        <f>22755.71</f>
        <v>22755.71</v>
      </c>
      <c r="T204" s="32" t="n">
        <f>72</f>
        <v>72.0</v>
      </c>
      <c r="U204" s="32" t="str">
        <f>"－"</f>
        <v>－</v>
      </c>
      <c r="V204" s="32" t="n">
        <f>1628925</f>
        <v>1628925.0</v>
      </c>
      <c r="W204" s="32" t="str">
        <f>"－"</f>
        <v>－</v>
      </c>
      <c r="X204" s="36" t="n">
        <f>7</f>
        <v>7.0</v>
      </c>
    </row>
    <row r="205">
      <c r="A205" s="27" t="s">
        <v>42</v>
      </c>
      <c r="B205" s="27" t="s">
        <v>660</v>
      </c>
      <c r="C205" s="27" t="s">
        <v>661</v>
      </c>
      <c r="D205" s="27" t="s">
        <v>662</v>
      </c>
      <c r="E205" s="28" t="s">
        <v>46</v>
      </c>
      <c r="F205" s="29" t="s">
        <v>46</v>
      </c>
      <c r="G205" s="30" t="s">
        <v>46</v>
      </c>
      <c r="H205" s="31"/>
      <c r="I205" s="31" t="s">
        <v>414</v>
      </c>
      <c r="J205" s="32" t="n">
        <v>1.0</v>
      </c>
      <c r="K205" s="33" t="n">
        <f>22295</f>
        <v>22295.0</v>
      </c>
      <c r="L205" s="34" t="s">
        <v>48</v>
      </c>
      <c r="M205" s="33" t="n">
        <f>23570</f>
        <v>23570.0</v>
      </c>
      <c r="N205" s="34" t="s">
        <v>398</v>
      </c>
      <c r="O205" s="33" t="n">
        <f>22225</f>
        <v>22225.0</v>
      </c>
      <c r="P205" s="34" t="s">
        <v>50</v>
      </c>
      <c r="Q205" s="33" t="n">
        <f>23495</f>
        <v>23495.0</v>
      </c>
      <c r="R205" s="34" t="s">
        <v>70</v>
      </c>
      <c r="S205" s="35" t="n">
        <f>22971.76</f>
        <v>22971.76</v>
      </c>
      <c r="T205" s="32" t="n">
        <f>4107</f>
        <v>4107.0</v>
      </c>
      <c r="U205" s="32" t="n">
        <f>703</f>
        <v>703.0</v>
      </c>
      <c r="V205" s="32" t="n">
        <f>93305020</f>
        <v>9.330502E7</v>
      </c>
      <c r="W205" s="32" t="n">
        <f>16627770</f>
        <v>1.662777E7</v>
      </c>
      <c r="X205" s="36" t="n">
        <f>17</f>
        <v>17.0</v>
      </c>
    </row>
    <row r="206">
      <c r="A206" s="27" t="s">
        <v>42</v>
      </c>
      <c r="B206" s="27" t="s">
        <v>663</v>
      </c>
      <c r="C206" s="27" t="s">
        <v>664</v>
      </c>
      <c r="D206" s="27" t="s">
        <v>665</v>
      </c>
      <c r="E206" s="28" t="s">
        <v>46</v>
      </c>
      <c r="F206" s="29" t="s">
        <v>46</v>
      </c>
      <c r="G206" s="30" t="s">
        <v>46</v>
      </c>
      <c r="H206" s="31"/>
      <c r="I206" s="31" t="s">
        <v>414</v>
      </c>
      <c r="J206" s="32" t="n">
        <v>1.0</v>
      </c>
      <c r="K206" s="33" t="str">
        <f>"－"</f>
        <v>－</v>
      </c>
      <c r="L206" s="34"/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5" t="str">
        <f>"－"</f>
        <v>－</v>
      </c>
      <c r="T206" s="32" t="str">
        <f>"－"</f>
        <v>－</v>
      </c>
      <c r="U206" s="32" t="str">
        <f>"－"</f>
        <v>－</v>
      </c>
      <c r="V206" s="32" t="str">
        <f>"－"</f>
        <v>－</v>
      </c>
      <c r="W206" s="32" t="str">
        <f>"－"</f>
        <v>－</v>
      </c>
      <c r="X206" s="36" t="str">
        <f>"－"</f>
        <v>－</v>
      </c>
    </row>
    <row r="207">
      <c r="A207" s="27" t="s">
        <v>42</v>
      </c>
      <c r="B207" s="27" t="s">
        <v>666</v>
      </c>
      <c r="C207" s="27" t="s">
        <v>667</v>
      </c>
      <c r="D207" s="27" t="s">
        <v>668</v>
      </c>
      <c r="E207" s="28" t="s">
        <v>46</v>
      </c>
      <c r="F207" s="29" t="s">
        <v>46</v>
      </c>
      <c r="G207" s="30" t="s">
        <v>46</v>
      </c>
      <c r="H207" s="31"/>
      <c r="I207" s="31" t="s">
        <v>414</v>
      </c>
      <c r="J207" s="32" t="n">
        <v>1.0</v>
      </c>
      <c r="K207" s="33" t="n">
        <f>19750</f>
        <v>19750.0</v>
      </c>
      <c r="L207" s="34" t="s">
        <v>103</v>
      </c>
      <c r="M207" s="33" t="n">
        <f>20150</f>
        <v>20150.0</v>
      </c>
      <c r="N207" s="34" t="s">
        <v>512</v>
      </c>
      <c r="O207" s="33" t="n">
        <f>19750</f>
        <v>19750.0</v>
      </c>
      <c r="P207" s="34" t="s">
        <v>103</v>
      </c>
      <c r="Q207" s="33" t="n">
        <f>20150</f>
        <v>20150.0</v>
      </c>
      <c r="R207" s="34" t="s">
        <v>512</v>
      </c>
      <c r="S207" s="35" t="n">
        <f>19950</f>
        <v>19950.0</v>
      </c>
      <c r="T207" s="32" t="n">
        <f>7</f>
        <v>7.0</v>
      </c>
      <c r="U207" s="32" t="str">
        <f>"－"</f>
        <v>－</v>
      </c>
      <c r="V207" s="32" t="n">
        <f>138650</f>
        <v>138650.0</v>
      </c>
      <c r="W207" s="32" t="str">
        <f>"－"</f>
        <v>－</v>
      </c>
      <c r="X207" s="36" t="n">
        <f>2</f>
        <v>2.0</v>
      </c>
    </row>
    <row r="208">
      <c r="A208" s="27" t="s">
        <v>42</v>
      </c>
      <c r="B208" s="27" t="s">
        <v>669</v>
      </c>
      <c r="C208" s="27" t="s">
        <v>670</v>
      </c>
      <c r="D208" s="27" t="s">
        <v>671</v>
      </c>
      <c r="E208" s="28" t="s">
        <v>46</v>
      </c>
      <c r="F208" s="29" t="s">
        <v>46</v>
      </c>
      <c r="G208" s="30" t="s">
        <v>46</v>
      </c>
      <c r="H208" s="31"/>
      <c r="I208" s="31" t="s">
        <v>414</v>
      </c>
      <c r="J208" s="32" t="n">
        <v>1.0</v>
      </c>
      <c r="K208" s="33" t="n">
        <f>13260</f>
        <v>13260.0</v>
      </c>
      <c r="L208" s="34" t="s">
        <v>48</v>
      </c>
      <c r="M208" s="33" t="n">
        <f>13580</f>
        <v>13580.0</v>
      </c>
      <c r="N208" s="34" t="s">
        <v>214</v>
      </c>
      <c r="O208" s="33" t="n">
        <f>13230</f>
        <v>13230.0</v>
      </c>
      <c r="P208" s="34" t="s">
        <v>207</v>
      </c>
      <c r="Q208" s="33" t="n">
        <f>13460</f>
        <v>13460.0</v>
      </c>
      <c r="R208" s="34" t="s">
        <v>49</v>
      </c>
      <c r="S208" s="35" t="n">
        <f>13385.83</f>
        <v>13385.83</v>
      </c>
      <c r="T208" s="32" t="n">
        <f>965</f>
        <v>965.0</v>
      </c>
      <c r="U208" s="32" t="str">
        <f>"－"</f>
        <v>－</v>
      </c>
      <c r="V208" s="32" t="n">
        <f>12840600</f>
        <v>1.28406E7</v>
      </c>
      <c r="W208" s="32" t="str">
        <f>"－"</f>
        <v>－</v>
      </c>
      <c r="X208" s="36" t="n">
        <f>6</f>
        <v>6.0</v>
      </c>
    </row>
    <row r="209">
      <c r="A209" s="27" t="s">
        <v>42</v>
      </c>
      <c r="B209" s="27" t="s">
        <v>672</v>
      </c>
      <c r="C209" s="27" t="s">
        <v>673</v>
      </c>
      <c r="D209" s="27" t="s">
        <v>674</v>
      </c>
      <c r="E209" s="28" t="s">
        <v>46</v>
      </c>
      <c r="F209" s="29" t="s">
        <v>46</v>
      </c>
      <c r="G209" s="30" t="s">
        <v>46</v>
      </c>
      <c r="H209" s="31"/>
      <c r="I209" s="31" t="s">
        <v>414</v>
      </c>
      <c r="J209" s="32" t="n">
        <v>1.0</v>
      </c>
      <c r="K209" s="33" t="n">
        <f>16350</f>
        <v>16350.0</v>
      </c>
      <c r="L209" s="34" t="s">
        <v>207</v>
      </c>
      <c r="M209" s="33" t="n">
        <f>17470</f>
        <v>17470.0</v>
      </c>
      <c r="N209" s="34" t="s">
        <v>74</v>
      </c>
      <c r="O209" s="33" t="n">
        <f>16350</f>
        <v>16350.0</v>
      </c>
      <c r="P209" s="34" t="s">
        <v>207</v>
      </c>
      <c r="Q209" s="33" t="n">
        <f>17025</f>
        <v>17025.0</v>
      </c>
      <c r="R209" s="34" t="s">
        <v>70</v>
      </c>
      <c r="S209" s="35" t="n">
        <f>16935</f>
        <v>16935.0</v>
      </c>
      <c r="T209" s="32" t="n">
        <f>5552</f>
        <v>5552.0</v>
      </c>
      <c r="U209" s="32" t="str">
        <f>"－"</f>
        <v>－</v>
      </c>
      <c r="V209" s="32" t="n">
        <f>94142230</f>
        <v>9.414223E7</v>
      </c>
      <c r="W209" s="32" t="str">
        <f>"－"</f>
        <v>－</v>
      </c>
      <c r="X209" s="36" t="n">
        <f>15</f>
        <v>15.0</v>
      </c>
    </row>
    <row r="210">
      <c r="A210" s="27" t="s">
        <v>42</v>
      </c>
      <c r="B210" s="27" t="s">
        <v>675</v>
      </c>
      <c r="C210" s="27" t="s">
        <v>676</v>
      </c>
      <c r="D210" s="27" t="s">
        <v>677</v>
      </c>
      <c r="E210" s="28" t="s">
        <v>46</v>
      </c>
      <c r="F210" s="29" t="s">
        <v>46</v>
      </c>
      <c r="G210" s="30" t="s">
        <v>46</v>
      </c>
      <c r="H210" s="31"/>
      <c r="I210" s="31" t="s">
        <v>414</v>
      </c>
      <c r="J210" s="32" t="n">
        <v>1.0</v>
      </c>
      <c r="K210" s="33" t="n">
        <f>14170</f>
        <v>14170.0</v>
      </c>
      <c r="L210" s="34" t="s">
        <v>50</v>
      </c>
      <c r="M210" s="33" t="n">
        <f>14925</f>
        <v>14925.0</v>
      </c>
      <c r="N210" s="34" t="s">
        <v>203</v>
      </c>
      <c r="O210" s="33" t="n">
        <f>14170</f>
        <v>14170.0</v>
      </c>
      <c r="P210" s="34" t="s">
        <v>50</v>
      </c>
      <c r="Q210" s="33" t="n">
        <f>14700</f>
        <v>14700.0</v>
      </c>
      <c r="R210" s="34" t="s">
        <v>49</v>
      </c>
      <c r="S210" s="35" t="n">
        <f>14674.38</f>
        <v>14674.38</v>
      </c>
      <c r="T210" s="32" t="n">
        <f>1583</f>
        <v>1583.0</v>
      </c>
      <c r="U210" s="32" t="str">
        <f>"－"</f>
        <v>－</v>
      </c>
      <c r="V210" s="32" t="n">
        <f>23262925</f>
        <v>2.3262925E7</v>
      </c>
      <c r="W210" s="32" t="str">
        <f>"－"</f>
        <v>－</v>
      </c>
      <c r="X210" s="36" t="n">
        <f>8</f>
        <v>8.0</v>
      </c>
    </row>
    <row r="211">
      <c r="A211" s="27" t="s">
        <v>42</v>
      </c>
      <c r="B211" s="27" t="s">
        <v>678</v>
      </c>
      <c r="C211" s="27" t="s">
        <v>679</v>
      </c>
      <c r="D211" s="27" t="s">
        <v>680</v>
      </c>
      <c r="E211" s="28" t="s">
        <v>46</v>
      </c>
      <c r="F211" s="29" t="s">
        <v>46</v>
      </c>
      <c r="G211" s="30" t="s">
        <v>46</v>
      </c>
      <c r="H211" s="31"/>
      <c r="I211" s="31" t="s">
        <v>414</v>
      </c>
      <c r="J211" s="32" t="n">
        <v>1.0</v>
      </c>
      <c r="K211" s="33" t="n">
        <f>15790</f>
        <v>15790.0</v>
      </c>
      <c r="L211" s="34" t="s">
        <v>203</v>
      </c>
      <c r="M211" s="33" t="n">
        <f>15790</f>
        <v>15790.0</v>
      </c>
      <c r="N211" s="34" t="s">
        <v>203</v>
      </c>
      <c r="O211" s="33" t="n">
        <f>15480</f>
        <v>15480.0</v>
      </c>
      <c r="P211" s="34" t="s">
        <v>70</v>
      </c>
      <c r="Q211" s="33" t="n">
        <f>15480</f>
        <v>15480.0</v>
      </c>
      <c r="R211" s="34" t="s">
        <v>70</v>
      </c>
      <c r="S211" s="35" t="n">
        <f>15635</f>
        <v>15635.0</v>
      </c>
      <c r="T211" s="32" t="n">
        <f>210</f>
        <v>210.0</v>
      </c>
      <c r="U211" s="32" t="str">
        <f>"－"</f>
        <v>－</v>
      </c>
      <c r="V211" s="32" t="n">
        <f>3253900</f>
        <v>3253900.0</v>
      </c>
      <c r="W211" s="32" t="str">
        <f>"－"</f>
        <v>－</v>
      </c>
      <c r="X211" s="36" t="n">
        <f>2</f>
        <v>2.0</v>
      </c>
    </row>
    <row r="212">
      <c r="A212" s="27" t="s">
        <v>42</v>
      </c>
      <c r="B212" s="27" t="s">
        <v>681</v>
      </c>
      <c r="C212" s="27" t="s">
        <v>682</v>
      </c>
      <c r="D212" s="27" t="s">
        <v>683</v>
      </c>
      <c r="E212" s="28" t="s">
        <v>46</v>
      </c>
      <c r="F212" s="29" t="s">
        <v>46</v>
      </c>
      <c r="G212" s="30" t="s">
        <v>46</v>
      </c>
      <c r="H212" s="31"/>
      <c r="I212" s="31" t="s">
        <v>47</v>
      </c>
      <c r="J212" s="32" t="n">
        <v>1.0</v>
      </c>
      <c r="K212" s="33" t="n">
        <f>1413</f>
        <v>1413.0</v>
      </c>
      <c r="L212" s="34" t="s">
        <v>48</v>
      </c>
      <c r="M212" s="33" t="n">
        <f>1455</f>
        <v>1455.0</v>
      </c>
      <c r="N212" s="34" t="s">
        <v>512</v>
      </c>
      <c r="O212" s="33" t="n">
        <f>1391</f>
        <v>1391.0</v>
      </c>
      <c r="P212" s="34" t="s">
        <v>74</v>
      </c>
      <c r="Q212" s="33" t="n">
        <f>1410</f>
        <v>1410.0</v>
      </c>
      <c r="R212" s="34" t="s">
        <v>51</v>
      </c>
      <c r="S212" s="35" t="n">
        <f>1417.6</f>
        <v>1417.6</v>
      </c>
      <c r="T212" s="32" t="n">
        <f>731415</f>
        <v>731415.0</v>
      </c>
      <c r="U212" s="32" t="n">
        <f>10</f>
        <v>10.0</v>
      </c>
      <c r="V212" s="32" t="n">
        <f>1035966238</f>
        <v>1.035966238E9</v>
      </c>
      <c r="W212" s="32" t="n">
        <f>14104</f>
        <v>14104.0</v>
      </c>
      <c r="X212" s="36" t="n">
        <f>20</f>
        <v>20.0</v>
      </c>
    </row>
    <row r="213">
      <c r="A213" s="27" t="s">
        <v>42</v>
      </c>
      <c r="B213" s="27" t="s">
        <v>684</v>
      </c>
      <c r="C213" s="27" t="s">
        <v>685</v>
      </c>
      <c r="D213" s="27" t="s">
        <v>686</v>
      </c>
      <c r="E213" s="28" t="s">
        <v>46</v>
      </c>
      <c r="F213" s="29" t="s">
        <v>46</v>
      </c>
      <c r="G213" s="30" t="s">
        <v>46</v>
      </c>
      <c r="H213" s="31"/>
      <c r="I213" s="31" t="s">
        <v>47</v>
      </c>
      <c r="J213" s="32" t="n">
        <v>1.0</v>
      </c>
      <c r="K213" s="33" t="n">
        <f>1484</f>
        <v>1484.0</v>
      </c>
      <c r="L213" s="34" t="s">
        <v>48</v>
      </c>
      <c r="M213" s="33" t="n">
        <f>1537</f>
        <v>1537.0</v>
      </c>
      <c r="N213" s="34" t="s">
        <v>49</v>
      </c>
      <c r="O213" s="33" t="n">
        <f>1452</f>
        <v>1452.0</v>
      </c>
      <c r="P213" s="34" t="s">
        <v>155</v>
      </c>
      <c r="Q213" s="33" t="n">
        <f>1525</f>
        <v>1525.0</v>
      </c>
      <c r="R213" s="34" t="s">
        <v>51</v>
      </c>
      <c r="S213" s="35" t="n">
        <f>1499.45</f>
        <v>1499.45</v>
      </c>
      <c r="T213" s="32" t="n">
        <f>24515</f>
        <v>24515.0</v>
      </c>
      <c r="U213" s="32" t="str">
        <f>"－"</f>
        <v>－</v>
      </c>
      <c r="V213" s="32" t="n">
        <f>36856158</f>
        <v>3.6856158E7</v>
      </c>
      <c r="W213" s="32" t="str">
        <f>"－"</f>
        <v>－</v>
      </c>
      <c r="X213" s="36" t="n">
        <f>20</f>
        <v>20.0</v>
      </c>
    </row>
    <row r="214">
      <c r="A214" s="27" t="s">
        <v>42</v>
      </c>
      <c r="B214" s="27" t="s">
        <v>687</v>
      </c>
      <c r="C214" s="27" t="s">
        <v>688</v>
      </c>
      <c r="D214" s="27" t="s">
        <v>689</v>
      </c>
      <c r="E214" s="28" t="s">
        <v>46</v>
      </c>
      <c r="F214" s="29" t="s">
        <v>46</v>
      </c>
      <c r="G214" s="30" t="s">
        <v>46</v>
      </c>
      <c r="H214" s="31"/>
      <c r="I214" s="31" t="s">
        <v>47</v>
      </c>
      <c r="J214" s="32" t="n">
        <v>1.0</v>
      </c>
      <c r="K214" s="33" t="n">
        <f>1174</f>
        <v>1174.0</v>
      </c>
      <c r="L214" s="34" t="s">
        <v>48</v>
      </c>
      <c r="M214" s="33" t="n">
        <f>1249</f>
        <v>1249.0</v>
      </c>
      <c r="N214" s="34" t="s">
        <v>69</v>
      </c>
      <c r="O214" s="33" t="n">
        <f>1164</f>
        <v>1164.0</v>
      </c>
      <c r="P214" s="34" t="s">
        <v>50</v>
      </c>
      <c r="Q214" s="33" t="n">
        <f>1188</f>
        <v>1188.0</v>
      </c>
      <c r="R214" s="34" t="s">
        <v>51</v>
      </c>
      <c r="S214" s="35" t="n">
        <f>1192.55</f>
        <v>1192.55</v>
      </c>
      <c r="T214" s="32" t="n">
        <f>10160</f>
        <v>10160.0</v>
      </c>
      <c r="U214" s="32" t="str">
        <f>"－"</f>
        <v>－</v>
      </c>
      <c r="V214" s="32" t="n">
        <f>11989614</f>
        <v>1.1989614E7</v>
      </c>
      <c r="W214" s="32" t="str">
        <f>"－"</f>
        <v>－</v>
      </c>
      <c r="X214" s="36" t="n">
        <f>20</f>
        <v>20.0</v>
      </c>
    </row>
    <row r="215">
      <c r="A215" s="27" t="s">
        <v>42</v>
      </c>
      <c r="B215" s="27" t="s">
        <v>690</v>
      </c>
      <c r="C215" s="27" t="s">
        <v>691</v>
      </c>
      <c r="D215" s="27" t="s">
        <v>692</v>
      </c>
      <c r="E215" s="28" t="s">
        <v>46</v>
      </c>
      <c r="F215" s="29" t="s">
        <v>46</v>
      </c>
      <c r="G215" s="30" t="s">
        <v>46</v>
      </c>
      <c r="H215" s="31"/>
      <c r="I215" s="31" t="s">
        <v>47</v>
      </c>
      <c r="J215" s="32" t="n">
        <v>1.0</v>
      </c>
      <c r="K215" s="33" t="n">
        <f>2474</f>
        <v>2474.0</v>
      </c>
      <c r="L215" s="34" t="s">
        <v>48</v>
      </c>
      <c r="M215" s="33" t="n">
        <f>2600</f>
        <v>2600.0</v>
      </c>
      <c r="N215" s="34" t="s">
        <v>74</v>
      </c>
      <c r="O215" s="33" t="n">
        <f>2457</f>
        <v>2457.0</v>
      </c>
      <c r="P215" s="34" t="s">
        <v>48</v>
      </c>
      <c r="Q215" s="33" t="n">
        <f>2540</f>
        <v>2540.0</v>
      </c>
      <c r="R215" s="34" t="s">
        <v>51</v>
      </c>
      <c r="S215" s="35" t="n">
        <f>2533.75</f>
        <v>2533.75</v>
      </c>
      <c r="T215" s="32" t="n">
        <f>133323</f>
        <v>133323.0</v>
      </c>
      <c r="U215" s="32" t="str">
        <f>"－"</f>
        <v>－</v>
      </c>
      <c r="V215" s="32" t="n">
        <f>335192292</f>
        <v>3.35192292E8</v>
      </c>
      <c r="W215" s="32" t="str">
        <f>"－"</f>
        <v>－</v>
      </c>
      <c r="X215" s="36" t="n">
        <f>20</f>
        <v>20.0</v>
      </c>
    </row>
    <row r="216">
      <c r="A216" s="27" t="s">
        <v>42</v>
      </c>
      <c r="B216" s="27" t="s">
        <v>693</v>
      </c>
      <c r="C216" s="27" t="s">
        <v>694</v>
      </c>
      <c r="D216" s="27" t="s">
        <v>695</v>
      </c>
      <c r="E216" s="28" t="s">
        <v>46</v>
      </c>
      <c r="F216" s="29" t="s">
        <v>46</v>
      </c>
      <c r="G216" s="30" t="s">
        <v>46</v>
      </c>
      <c r="H216" s="31"/>
      <c r="I216" s="31" t="s">
        <v>47</v>
      </c>
      <c r="J216" s="32" t="n">
        <v>1.0</v>
      </c>
      <c r="K216" s="33" t="n">
        <f>2649</f>
        <v>2649.0</v>
      </c>
      <c r="L216" s="34" t="s">
        <v>48</v>
      </c>
      <c r="M216" s="33" t="n">
        <f>2798</f>
        <v>2798.0</v>
      </c>
      <c r="N216" s="34" t="s">
        <v>70</v>
      </c>
      <c r="O216" s="33" t="n">
        <f>2628</f>
        <v>2628.0</v>
      </c>
      <c r="P216" s="34" t="s">
        <v>48</v>
      </c>
      <c r="Q216" s="33" t="n">
        <f>2723</f>
        <v>2723.0</v>
      </c>
      <c r="R216" s="34" t="s">
        <v>51</v>
      </c>
      <c r="S216" s="35" t="n">
        <f>2698.85</f>
        <v>2698.85</v>
      </c>
      <c r="T216" s="32" t="n">
        <f>218032</f>
        <v>218032.0</v>
      </c>
      <c r="U216" s="32" t="n">
        <f>19000</f>
        <v>19000.0</v>
      </c>
      <c r="V216" s="32" t="n">
        <f>588056208</f>
        <v>5.88056208E8</v>
      </c>
      <c r="W216" s="32" t="n">
        <f>50994100</f>
        <v>5.09941E7</v>
      </c>
      <c r="X216" s="36" t="n">
        <f>20</f>
        <v>20.0</v>
      </c>
    </row>
    <row r="217">
      <c r="A217" s="27" t="s">
        <v>42</v>
      </c>
      <c r="B217" s="27" t="s">
        <v>696</v>
      </c>
      <c r="C217" s="27" t="s">
        <v>697</v>
      </c>
      <c r="D217" s="27" t="s">
        <v>698</v>
      </c>
      <c r="E217" s="28" t="s">
        <v>46</v>
      </c>
      <c r="F217" s="29" t="s">
        <v>46</v>
      </c>
      <c r="G217" s="30" t="s">
        <v>46</v>
      </c>
      <c r="H217" s="31"/>
      <c r="I217" s="31" t="s">
        <v>47</v>
      </c>
      <c r="J217" s="32" t="n">
        <v>10.0</v>
      </c>
      <c r="K217" s="33" t="n">
        <f>623</f>
        <v>623.0</v>
      </c>
      <c r="L217" s="34" t="s">
        <v>48</v>
      </c>
      <c r="M217" s="33" t="n">
        <f>645</f>
        <v>645.0</v>
      </c>
      <c r="N217" s="34" t="s">
        <v>199</v>
      </c>
      <c r="O217" s="33" t="n">
        <f>619</f>
        <v>619.0</v>
      </c>
      <c r="P217" s="34" t="s">
        <v>48</v>
      </c>
      <c r="Q217" s="33" t="n">
        <f>629.9</f>
        <v>629.9</v>
      </c>
      <c r="R217" s="34" t="s">
        <v>51</v>
      </c>
      <c r="S217" s="35" t="n">
        <f>631.56</f>
        <v>631.56</v>
      </c>
      <c r="T217" s="32" t="n">
        <f>600920</f>
        <v>600920.0</v>
      </c>
      <c r="U217" s="32" t="n">
        <f>81560</f>
        <v>81560.0</v>
      </c>
      <c r="V217" s="32" t="n">
        <f>380322706</f>
        <v>3.80322706E8</v>
      </c>
      <c r="W217" s="32" t="n">
        <f>51916150</f>
        <v>5.191615E7</v>
      </c>
      <c r="X217" s="36" t="n">
        <f>20</f>
        <v>20.0</v>
      </c>
    </row>
    <row r="218">
      <c r="A218" s="27" t="s">
        <v>42</v>
      </c>
      <c r="B218" s="27" t="s">
        <v>699</v>
      </c>
      <c r="C218" s="27" t="s">
        <v>700</v>
      </c>
      <c r="D218" s="27" t="s">
        <v>701</v>
      </c>
      <c r="E218" s="28" t="s">
        <v>46</v>
      </c>
      <c r="F218" s="29" t="s">
        <v>46</v>
      </c>
      <c r="G218" s="30" t="s">
        <v>46</v>
      </c>
      <c r="H218" s="31"/>
      <c r="I218" s="31" t="s">
        <v>47</v>
      </c>
      <c r="J218" s="32" t="n">
        <v>10.0</v>
      </c>
      <c r="K218" s="33" t="n">
        <f>2723.5</f>
        <v>2723.5</v>
      </c>
      <c r="L218" s="34" t="s">
        <v>48</v>
      </c>
      <c r="M218" s="33" t="n">
        <f>2774</f>
        <v>2774.0</v>
      </c>
      <c r="N218" s="34" t="s">
        <v>195</v>
      </c>
      <c r="O218" s="33" t="n">
        <f>2681.5</f>
        <v>2681.5</v>
      </c>
      <c r="P218" s="34" t="s">
        <v>512</v>
      </c>
      <c r="Q218" s="33" t="n">
        <f>2745.5</f>
        <v>2745.5</v>
      </c>
      <c r="R218" s="34" t="s">
        <v>51</v>
      </c>
      <c r="S218" s="35" t="n">
        <f>2722.81</f>
        <v>2722.81</v>
      </c>
      <c r="T218" s="32" t="n">
        <f>95590</f>
        <v>95590.0</v>
      </c>
      <c r="U218" s="32" t="str">
        <f>"－"</f>
        <v>－</v>
      </c>
      <c r="V218" s="32" t="n">
        <f>258551825</f>
        <v>2.58551825E8</v>
      </c>
      <c r="W218" s="32" t="str">
        <f>"－"</f>
        <v>－</v>
      </c>
      <c r="X218" s="36" t="n">
        <f>13</f>
        <v>13.0</v>
      </c>
    </row>
    <row r="219">
      <c r="A219" s="27" t="s">
        <v>42</v>
      </c>
      <c r="B219" s="27" t="s">
        <v>702</v>
      </c>
      <c r="C219" s="27" t="s">
        <v>703</v>
      </c>
      <c r="D219" s="27" t="s">
        <v>704</v>
      </c>
      <c r="E219" s="28" t="s">
        <v>46</v>
      </c>
      <c r="F219" s="29" t="s">
        <v>46</v>
      </c>
      <c r="G219" s="30" t="s">
        <v>46</v>
      </c>
      <c r="H219" s="31"/>
      <c r="I219" s="31" t="s">
        <v>47</v>
      </c>
      <c r="J219" s="32" t="n">
        <v>10.0</v>
      </c>
      <c r="K219" s="33" t="n">
        <f>2859.5</f>
        <v>2859.5</v>
      </c>
      <c r="L219" s="34" t="s">
        <v>207</v>
      </c>
      <c r="M219" s="33" t="n">
        <f>2994</f>
        <v>2994.0</v>
      </c>
      <c r="N219" s="34" t="s">
        <v>70</v>
      </c>
      <c r="O219" s="33" t="n">
        <f>2821</f>
        <v>2821.0</v>
      </c>
      <c r="P219" s="34" t="s">
        <v>50</v>
      </c>
      <c r="Q219" s="33" t="n">
        <f>2974</f>
        <v>2974.0</v>
      </c>
      <c r="R219" s="34" t="s">
        <v>51</v>
      </c>
      <c r="S219" s="35" t="n">
        <f>2917.5</f>
        <v>2917.5</v>
      </c>
      <c r="T219" s="32" t="n">
        <f>177010</f>
        <v>177010.0</v>
      </c>
      <c r="U219" s="32" t="n">
        <f>176500</f>
        <v>176500.0</v>
      </c>
      <c r="V219" s="32" t="n">
        <f>521656928</f>
        <v>5.21656928E8</v>
      </c>
      <c r="W219" s="32" t="n">
        <f>520158808</f>
        <v>5.20158808E8</v>
      </c>
      <c r="X219" s="36" t="n">
        <f>8</f>
        <v>8.0</v>
      </c>
    </row>
    <row r="220">
      <c r="A220" s="27" t="s">
        <v>42</v>
      </c>
      <c r="B220" s="27" t="s">
        <v>705</v>
      </c>
      <c r="C220" s="27" t="s">
        <v>706</v>
      </c>
      <c r="D220" s="27" t="s">
        <v>707</v>
      </c>
      <c r="E220" s="28" t="s">
        <v>46</v>
      </c>
      <c r="F220" s="29" t="s">
        <v>46</v>
      </c>
      <c r="G220" s="30" t="s">
        <v>46</v>
      </c>
      <c r="H220" s="31"/>
      <c r="I220" s="31" t="s">
        <v>47</v>
      </c>
      <c r="J220" s="32" t="n">
        <v>10.0</v>
      </c>
      <c r="K220" s="33" t="n">
        <f>2370.5</f>
        <v>2370.5</v>
      </c>
      <c r="L220" s="34" t="s">
        <v>207</v>
      </c>
      <c r="M220" s="33" t="n">
        <f>2413.5</f>
        <v>2413.5</v>
      </c>
      <c r="N220" s="34" t="s">
        <v>61</v>
      </c>
      <c r="O220" s="33" t="n">
        <f>2366</f>
        <v>2366.0</v>
      </c>
      <c r="P220" s="34" t="s">
        <v>512</v>
      </c>
      <c r="Q220" s="33" t="n">
        <f>2404.5</f>
        <v>2404.5</v>
      </c>
      <c r="R220" s="34" t="s">
        <v>51</v>
      </c>
      <c r="S220" s="35" t="n">
        <f>2392.46</f>
        <v>2392.46</v>
      </c>
      <c r="T220" s="32" t="n">
        <f>130240</f>
        <v>130240.0</v>
      </c>
      <c r="U220" s="32" t="str">
        <f>"－"</f>
        <v>－</v>
      </c>
      <c r="V220" s="32" t="n">
        <f>310247065</f>
        <v>3.10247065E8</v>
      </c>
      <c r="W220" s="32" t="str">
        <f>"－"</f>
        <v>－</v>
      </c>
      <c r="X220" s="36" t="n">
        <f>14</f>
        <v>14.0</v>
      </c>
    </row>
    <row r="221">
      <c r="A221" s="27" t="s">
        <v>42</v>
      </c>
      <c r="B221" s="27" t="s">
        <v>708</v>
      </c>
      <c r="C221" s="27" t="s">
        <v>709</v>
      </c>
      <c r="D221" s="27" t="s">
        <v>710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10.0</v>
      </c>
      <c r="K221" s="33" t="n">
        <f>2726</f>
        <v>2726.0</v>
      </c>
      <c r="L221" s="34" t="s">
        <v>48</v>
      </c>
      <c r="M221" s="33" t="n">
        <f>2772.5</f>
        <v>2772.5</v>
      </c>
      <c r="N221" s="34" t="s">
        <v>99</v>
      </c>
      <c r="O221" s="33" t="n">
        <f>2650</f>
        <v>2650.0</v>
      </c>
      <c r="P221" s="34" t="s">
        <v>69</v>
      </c>
      <c r="Q221" s="33" t="n">
        <f>2698</f>
        <v>2698.0</v>
      </c>
      <c r="R221" s="34" t="s">
        <v>51</v>
      </c>
      <c r="S221" s="35" t="n">
        <f>2696.22</f>
        <v>2696.22</v>
      </c>
      <c r="T221" s="32" t="n">
        <f>194470</f>
        <v>194470.0</v>
      </c>
      <c r="U221" s="32" t="str">
        <f>"－"</f>
        <v>－</v>
      </c>
      <c r="V221" s="32" t="n">
        <f>523889770</f>
        <v>5.2388977E8</v>
      </c>
      <c r="W221" s="32" t="str">
        <f>"－"</f>
        <v>－</v>
      </c>
      <c r="X221" s="36" t="n">
        <f>18</f>
        <v>18.0</v>
      </c>
    </row>
    <row r="222">
      <c r="A222" s="27" t="s">
        <v>42</v>
      </c>
      <c r="B222" s="27" t="s">
        <v>711</v>
      </c>
      <c r="C222" s="27" t="s">
        <v>712</v>
      </c>
      <c r="D222" s="27" t="s">
        <v>713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10.0</v>
      </c>
      <c r="K222" s="33" t="n">
        <f>4592</f>
        <v>4592.0</v>
      </c>
      <c r="L222" s="34" t="s">
        <v>48</v>
      </c>
      <c r="M222" s="33" t="n">
        <f>4783</f>
        <v>4783.0</v>
      </c>
      <c r="N222" s="34" t="s">
        <v>203</v>
      </c>
      <c r="O222" s="33" t="n">
        <f>4570</f>
        <v>4570.0</v>
      </c>
      <c r="P222" s="34" t="s">
        <v>50</v>
      </c>
      <c r="Q222" s="33" t="n">
        <f>4604</f>
        <v>4604.0</v>
      </c>
      <c r="R222" s="34" t="s">
        <v>51</v>
      </c>
      <c r="S222" s="35" t="n">
        <f>4609.69</f>
        <v>4609.69</v>
      </c>
      <c r="T222" s="32" t="n">
        <f>44210</f>
        <v>44210.0</v>
      </c>
      <c r="U222" s="32" t="str">
        <f>"－"</f>
        <v>－</v>
      </c>
      <c r="V222" s="32" t="n">
        <f>204728360</f>
        <v>2.0472836E8</v>
      </c>
      <c r="W222" s="32" t="str">
        <f>"－"</f>
        <v>－</v>
      </c>
      <c r="X222" s="36" t="n">
        <f>16</f>
        <v>16.0</v>
      </c>
    </row>
    <row r="223">
      <c r="A223" s="27" t="s">
        <v>42</v>
      </c>
      <c r="B223" s="27" t="s">
        <v>714</v>
      </c>
      <c r="C223" s="27" t="s">
        <v>715</v>
      </c>
      <c r="D223" s="27" t="s">
        <v>716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10.0</v>
      </c>
      <c r="K223" s="33" t="n">
        <f>4732</f>
        <v>4732.0</v>
      </c>
      <c r="L223" s="34" t="s">
        <v>74</v>
      </c>
      <c r="M223" s="33" t="n">
        <f>4732</f>
        <v>4732.0</v>
      </c>
      <c r="N223" s="34" t="s">
        <v>74</v>
      </c>
      <c r="O223" s="33" t="n">
        <f>4717</f>
        <v>4717.0</v>
      </c>
      <c r="P223" s="34" t="s">
        <v>49</v>
      </c>
      <c r="Q223" s="33" t="n">
        <f>4731</f>
        <v>4731.0</v>
      </c>
      <c r="R223" s="34" t="s">
        <v>51</v>
      </c>
      <c r="S223" s="35" t="n">
        <f>4724.8</f>
        <v>4724.8</v>
      </c>
      <c r="T223" s="32" t="n">
        <f>570</f>
        <v>570.0</v>
      </c>
      <c r="U223" s="32" t="n">
        <f>10</f>
        <v>10.0</v>
      </c>
      <c r="V223" s="32" t="n">
        <f>2696580</f>
        <v>2696580.0</v>
      </c>
      <c r="W223" s="32" t="n">
        <f>47200</f>
        <v>47200.0</v>
      </c>
      <c r="X223" s="36" t="n">
        <f>5</f>
        <v>5.0</v>
      </c>
    </row>
    <row r="224">
      <c r="A224" s="27" t="s">
        <v>42</v>
      </c>
      <c r="B224" s="27" t="s">
        <v>717</v>
      </c>
      <c r="C224" s="27" t="s">
        <v>718</v>
      </c>
      <c r="D224" s="27" t="s">
        <v>719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10.0</v>
      </c>
      <c r="K224" s="33" t="n">
        <f>4775</f>
        <v>4775.0</v>
      </c>
      <c r="L224" s="34" t="s">
        <v>74</v>
      </c>
      <c r="M224" s="33" t="n">
        <f>4775</f>
        <v>4775.0</v>
      </c>
      <c r="N224" s="34" t="s">
        <v>74</v>
      </c>
      <c r="O224" s="33" t="n">
        <f>4770</f>
        <v>4770.0</v>
      </c>
      <c r="P224" s="34" t="s">
        <v>74</v>
      </c>
      <c r="Q224" s="33" t="n">
        <f>4773</f>
        <v>4773.0</v>
      </c>
      <c r="R224" s="34" t="s">
        <v>51</v>
      </c>
      <c r="S224" s="35" t="n">
        <f>4771</f>
        <v>4771.0</v>
      </c>
      <c r="T224" s="32" t="n">
        <f>580</f>
        <v>580.0</v>
      </c>
      <c r="U224" s="32" t="str">
        <f>"－"</f>
        <v>－</v>
      </c>
      <c r="V224" s="32" t="n">
        <f>2769300</f>
        <v>2769300.0</v>
      </c>
      <c r="W224" s="32" t="str">
        <f>"－"</f>
        <v>－</v>
      </c>
      <c r="X224" s="36" t="n">
        <f>4</f>
        <v>4.0</v>
      </c>
    </row>
    <row r="225">
      <c r="A225" s="27" t="s">
        <v>42</v>
      </c>
      <c r="B225" s="27" t="s">
        <v>720</v>
      </c>
      <c r="C225" s="27" t="s">
        <v>721</v>
      </c>
      <c r="D225" s="27" t="s">
        <v>722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1.0</v>
      </c>
      <c r="K225" s="33" t="n">
        <f>4920</f>
        <v>4920.0</v>
      </c>
      <c r="L225" s="34" t="s">
        <v>48</v>
      </c>
      <c r="M225" s="33" t="n">
        <f>5002</f>
        <v>5002.0</v>
      </c>
      <c r="N225" s="34" t="s">
        <v>49</v>
      </c>
      <c r="O225" s="33" t="n">
        <f>4880</f>
        <v>4880.0</v>
      </c>
      <c r="P225" s="34" t="s">
        <v>99</v>
      </c>
      <c r="Q225" s="33" t="n">
        <f>4955</f>
        <v>4955.0</v>
      </c>
      <c r="R225" s="34" t="s">
        <v>51</v>
      </c>
      <c r="S225" s="35" t="n">
        <f>4936.55</f>
        <v>4936.55</v>
      </c>
      <c r="T225" s="32" t="n">
        <f>624608</f>
        <v>624608.0</v>
      </c>
      <c r="U225" s="32" t="n">
        <f>604100</f>
        <v>604100.0</v>
      </c>
      <c r="V225" s="32" t="n">
        <f>3073667215</f>
        <v>3.073667215E9</v>
      </c>
      <c r="W225" s="32" t="n">
        <f>2971848167</f>
        <v>2.971848167E9</v>
      </c>
      <c r="X225" s="36" t="n">
        <f>20</f>
        <v>20.0</v>
      </c>
    </row>
    <row r="226">
      <c r="A226" s="27" t="s">
        <v>42</v>
      </c>
      <c r="B226" s="27" t="s">
        <v>723</v>
      </c>
      <c r="C226" s="27" t="s">
        <v>724</v>
      </c>
      <c r="D226" s="27" t="s">
        <v>725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1.0</v>
      </c>
      <c r="K226" s="33" t="n">
        <f>807</f>
        <v>807.0</v>
      </c>
      <c r="L226" s="34" t="s">
        <v>48</v>
      </c>
      <c r="M226" s="33" t="n">
        <f>818</f>
        <v>818.0</v>
      </c>
      <c r="N226" s="34" t="s">
        <v>195</v>
      </c>
      <c r="O226" s="33" t="n">
        <f>781</f>
        <v>781.0</v>
      </c>
      <c r="P226" s="34" t="s">
        <v>99</v>
      </c>
      <c r="Q226" s="33" t="n">
        <f>797</f>
        <v>797.0</v>
      </c>
      <c r="R226" s="34" t="s">
        <v>51</v>
      </c>
      <c r="S226" s="35" t="n">
        <f>798.4</f>
        <v>798.4</v>
      </c>
      <c r="T226" s="32" t="n">
        <f>8051893</f>
        <v>8051893.0</v>
      </c>
      <c r="U226" s="32" t="n">
        <f>8</f>
        <v>8.0</v>
      </c>
      <c r="V226" s="32" t="n">
        <f>6383143597</f>
        <v>6.383143597E9</v>
      </c>
      <c r="W226" s="32" t="n">
        <f>6320</f>
        <v>6320.0</v>
      </c>
      <c r="X226" s="36" t="n">
        <f>20</f>
        <v>20.0</v>
      </c>
    </row>
    <row r="227">
      <c r="A227" s="27" t="s">
        <v>42</v>
      </c>
      <c r="B227" s="27" t="s">
        <v>726</v>
      </c>
      <c r="C227" s="27" t="s">
        <v>727</v>
      </c>
      <c r="D227" s="27" t="s">
        <v>728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1.0</v>
      </c>
      <c r="K227" s="33" t="n">
        <f>1135</f>
        <v>1135.0</v>
      </c>
      <c r="L227" s="34" t="s">
        <v>48</v>
      </c>
      <c r="M227" s="33" t="n">
        <f>1135</f>
        <v>1135.0</v>
      </c>
      <c r="N227" s="34" t="s">
        <v>48</v>
      </c>
      <c r="O227" s="33" t="n">
        <f>1077</f>
        <v>1077.0</v>
      </c>
      <c r="P227" s="34" t="s">
        <v>49</v>
      </c>
      <c r="Q227" s="33" t="n">
        <f>1085</f>
        <v>1085.0</v>
      </c>
      <c r="R227" s="34" t="s">
        <v>51</v>
      </c>
      <c r="S227" s="35" t="n">
        <f>1095.85</f>
        <v>1095.85</v>
      </c>
      <c r="T227" s="32" t="n">
        <f>73064</f>
        <v>73064.0</v>
      </c>
      <c r="U227" s="32" t="str">
        <f>"－"</f>
        <v>－</v>
      </c>
      <c r="V227" s="32" t="n">
        <f>79848341</f>
        <v>7.9848341E7</v>
      </c>
      <c r="W227" s="32" t="str">
        <f>"－"</f>
        <v>－</v>
      </c>
      <c r="X227" s="36" t="n">
        <f>20</f>
        <v>20.0</v>
      </c>
    </row>
    <row r="228">
      <c r="A228" s="27" t="s">
        <v>42</v>
      </c>
      <c r="B228" s="27" t="s">
        <v>729</v>
      </c>
      <c r="C228" s="27" t="s">
        <v>730</v>
      </c>
      <c r="D228" s="27" t="s">
        <v>731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1.0</v>
      </c>
      <c r="K228" s="33" t="n">
        <f>1128</f>
        <v>1128.0</v>
      </c>
      <c r="L228" s="34" t="s">
        <v>48</v>
      </c>
      <c r="M228" s="33" t="n">
        <f>1149</f>
        <v>1149.0</v>
      </c>
      <c r="N228" s="34" t="s">
        <v>99</v>
      </c>
      <c r="O228" s="33" t="n">
        <f>1106</f>
        <v>1106.0</v>
      </c>
      <c r="P228" s="34" t="s">
        <v>103</v>
      </c>
      <c r="Q228" s="33" t="n">
        <f>1122</f>
        <v>1122.0</v>
      </c>
      <c r="R228" s="34" t="s">
        <v>51</v>
      </c>
      <c r="S228" s="35" t="n">
        <f>1127.95</f>
        <v>1127.95</v>
      </c>
      <c r="T228" s="32" t="n">
        <f>59488</f>
        <v>59488.0</v>
      </c>
      <c r="U228" s="32" t="str">
        <f>"－"</f>
        <v>－</v>
      </c>
      <c r="V228" s="32" t="n">
        <f>67301226</f>
        <v>6.7301226E7</v>
      </c>
      <c r="W228" s="32" t="str">
        <f>"－"</f>
        <v>－</v>
      </c>
      <c r="X228" s="36" t="n">
        <f>20</f>
        <v>20.0</v>
      </c>
    </row>
    <row r="229">
      <c r="A229" s="27" t="s">
        <v>42</v>
      </c>
      <c r="B229" s="27" t="s">
        <v>732</v>
      </c>
      <c r="C229" s="27" t="s">
        <v>733</v>
      </c>
      <c r="D229" s="27" t="s">
        <v>734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1.0</v>
      </c>
      <c r="K229" s="33" t="n">
        <f>1020</f>
        <v>1020.0</v>
      </c>
      <c r="L229" s="34" t="s">
        <v>48</v>
      </c>
      <c r="M229" s="33" t="n">
        <f>1101</f>
        <v>1101.0</v>
      </c>
      <c r="N229" s="34" t="s">
        <v>70</v>
      </c>
      <c r="O229" s="33" t="n">
        <f>1003</f>
        <v>1003.0</v>
      </c>
      <c r="P229" s="34" t="s">
        <v>62</v>
      </c>
      <c r="Q229" s="33" t="n">
        <f>1040</f>
        <v>1040.0</v>
      </c>
      <c r="R229" s="34" t="s">
        <v>51</v>
      </c>
      <c r="S229" s="35" t="n">
        <f>1030.5</f>
        <v>1030.5</v>
      </c>
      <c r="T229" s="32" t="n">
        <f>114677</f>
        <v>114677.0</v>
      </c>
      <c r="U229" s="32" t="str">
        <f>"－"</f>
        <v>－</v>
      </c>
      <c r="V229" s="32" t="n">
        <f>118676868</f>
        <v>1.18676868E8</v>
      </c>
      <c r="W229" s="32" t="str">
        <f>"－"</f>
        <v>－</v>
      </c>
      <c r="X229" s="36" t="n">
        <f>20</f>
        <v>20.0</v>
      </c>
    </row>
    <row r="230">
      <c r="A230" s="27" t="s">
        <v>42</v>
      </c>
      <c r="B230" s="27" t="s">
        <v>735</v>
      </c>
      <c r="C230" s="27" t="s">
        <v>736</v>
      </c>
      <c r="D230" s="27" t="s">
        <v>737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1.0</v>
      </c>
      <c r="K230" s="33" t="n">
        <f>1106</f>
        <v>1106.0</v>
      </c>
      <c r="L230" s="34" t="s">
        <v>48</v>
      </c>
      <c r="M230" s="33" t="n">
        <f>1149</f>
        <v>1149.0</v>
      </c>
      <c r="N230" s="34" t="s">
        <v>70</v>
      </c>
      <c r="O230" s="33" t="n">
        <f>1087</f>
        <v>1087.0</v>
      </c>
      <c r="P230" s="34" t="s">
        <v>62</v>
      </c>
      <c r="Q230" s="33" t="n">
        <f>1110</f>
        <v>1110.0</v>
      </c>
      <c r="R230" s="34" t="s">
        <v>51</v>
      </c>
      <c r="S230" s="35" t="n">
        <f>1106.85</f>
        <v>1106.85</v>
      </c>
      <c r="T230" s="32" t="n">
        <f>224622</f>
        <v>224622.0</v>
      </c>
      <c r="U230" s="32" t="n">
        <f>60000</f>
        <v>60000.0</v>
      </c>
      <c r="V230" s="32" t="n">
        <f>249738352</f>
        <v>2.49738352E8</v>
      </c>
      <c r="W230" s="32" t="n">
        <f>66778914</f>
        <v>6.6778914E7</v>
      </c>
      <c r="X230" s="36" t="n">
        <f>20</f>
        <v>20.0</v>
      </c>
    </row>
    <row r="231">
      <c r="A231" s="27" t="s">
        <v>42</v>
      </c>
      <c r="B231" s="27" t="s">
        <v>738</v>
      </c>
      <c r="C231" s="27" t="s">
        <v>739</v>
      </c>
      <c r="D231" s="27" t="s">
        <v>740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1.0</v>
      </c>
      <c r="K231" s="33" t="n">
        <f>1709</f>
        <v>1709.0</v>
      </c>
      <c r="L231" s="34" t="s">
        <v>48</v>
      </c>
      <c r="M231" s="33" t="n">
        <f>1728</f>
        <v>1728.0</v>
      </c>
      <c r="N231" s="34" t="s">
        <v>70</v>
      </c>
      <c r="O231" s="33" t="n">
        <f>1648</f>
        <v>1648.0</v>
      </c>
      <c r="P231" s="34" t="s">
        <v>103</v>
      </c>
      <c r="Q231" s="33" t="n">
        <f>1685</f>
        <v>1685.0</v>
      </c>
      <c r="R231" s="34" t="s">
        <v>51</v>
      </c>
      <c r="S231" s="35" t="n">
        <f>1684</f>
        <v>1684.0</v>
      </c>
      <c r="T231" s="32" t="n">
        <f>265880</f>
        <v>265880.0</v>
      </c>
      <c r="U231" s="32" t="n">
        <f>35541</f>
        <v>35541.0</v>
      </c>
      <c r="V231" s="32" t="n">
        <f>447867300</f>
        <v>4.478673E8</v>
      </c>
      <c r="W231" s="32" t="n">
        <f>60031281</f>
        <v>6.0031281E7</v>
      </c>
      <c r="X231" s="36" t="n">
        <f>20</f>
        <v>20.0</v>
      </c>
    </row>
    <row r="232">
      <c r="A232" s="27" t="s">
        <v>42</v>
      </c>
      <c r="B232" s="27" t="s">
        <v>741</v>
      </c>
      <c r="C232" s="27" t="s">
        <v>742</v>
      </c>
      <c r="D232" s="27" t="s">
        <v>743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10.0</v>
      </c>
      <c r="K232" s="33" t="n">
        <f>154.2</f>
        <v>154.2</v>
      </c>
      <c r="L232" s="34" t="s">
        <v>48</v>
      </c>
      <c r="M232" s="33" t="n">
        <f>188.7</f>
        <v>188.7</v>
      </c>
      <c r="N232" s="34" t="s">
        <v>398</v>
      </c>
      <c r="O232" s="33" t="n">
        <f>148</f>
        <v>148.0</v>
      </c>
      <c r="P232" s="34" t="s">
        <v>62</v>
      </c>
      <c r="Q232" s="33" t="n">
        <f>181.4</f>
        <v>181.4</v>
      </c>
      <c r="R232" s="34" t="s">
        <v>51</v>
      </c>
      <c r="S232" s="35" t="n">
        <f>168.85</f>
        <v>168.85</v>
      </c>
      <c r="T232" s="32" t="n">
        <f>9004240</f>
        <v>9004240.0</v>
      </c>
      <c r="U232" s="32" t="n">
        <f>1220030</f>
        <v>1220030.0</v>
      </c>
      <c r="V232" s="32" t="n">
        <f>1591309408</f>
        <v>1.591309408E9</v>
      </c>
      <c r="W232" s="32" t="n">
        <f>221306040</f>
        <v>2.2130604E8</v>
      </c>
      <c r="X232" s="36" t="n">
        <f>20</f>
        <v>20.0</v>
      </c>
    </row>
    <row r="233">
      <c r="A233" s="27" t="s">
        <v>42</v>
      </c>
      <c r="B233" s="27" t="s">
        <v>744</v>
      </c>
      <c r="C233" s="27" t="s">
        <v>745</v>
      </c>
      <c r="D233" s="27" t="s">
        <v>746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10.0</v>
      </c>
      <c r="K233" s="33" t="n">
        <f>442.7</f>
        <v>442.7</v>
      </c>
      <c r="L233" s="34" t="s">
        <v>48</v>
      </c>
      <c r="M233" s="33" t="n">
        <f>541</f>
        <v>541.0</v>
      </c>
      <c r="N233" s="34" t="s">
        <v>70</v>
      </c>
      <c r="O233" s="33" t="n">
        <f>423.9</f>
        <v>423.9</v>
      </c>
      <c r="P233" s="34" t="s">
        <v>50</v>
      </c>
      <c r="Q233" s="33" t="n">
        <f>523</f>
        <v>523.0</v>
      </c>
      <c r="R233" s="34" t="s">
        <v>51</v>
      </c>
      <c r="S233" s="35" t="n">
        <f>479.88</f>
        <v>479.88</v>
      </c>
      <c r="T233" s="32" t="n">
        <f>933430</f>
        <v>933430.0</v>
      </c>
      <c r="U233" s="32" t="str">
        <f>"－"</f>
        <v>－</v>
      </c>
      <c r="V233" s="32" t="n">
        <f>463117416</f>
        <v>4.63117416E8</v>
      </c>
      <c r="W233" s="32" t="str">
        <f>"－"</f>
        <v>－</v>
      </c>
      <c r="X233" s="36" t="n">
        <f>20</f>
        <v>20.0</v>
      </c>
    </row>
    <row r="234">
      <c r="A234" s="27" t="s">
        <v>42</v>
      </c>
      <c r="B234" s="27" t="s">
        <v>747</v>
      </c>
      <c r="C234" s="27" t="s">
        <v>748</v>
      </c>
      <c r="D234" s="27" t="s">
        <v>749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1.0</v>
      </c>
      <c r="K234" s="33" t="n">
        <f>2930</f>
        <v>2930.0</v>
      </c>
      <c r="L234" s="34" t="s">
        <v>48</v>
      </c>
      <c r="M234" s="33" t="n">
        <f>3040</f>
        <v>3040.0</v>
      </c>
      <c r="N234" s="34" t="s">
        <v>70</v>
      </c>
      <c r="O234" s="33" t="n">
        <f>2920</f>
        <v>2920.0</v>
      </c>
      <c r="P234" s="34" t="s">
        <v>48</v>
      </c>
      <c r="Q234" s="33" t="n">
        <f>3001</f>
        <v>3001.0</v>
      </c>
      <c r="R234" s="34" t="s">
        <v>51</v>
      </c>
      <c r="S234" s="35" t="n">
        <f>2962.5</f>
        <v>2962.5</v>
      </c>
      <c r="T234" s="32" t="n">
        <f>72985</f>
        <v>72985.0</v>
      </c>
      <c r="U234" s="32" t="n">
        <f>180</f>
        <v>180.0</v>
      </c>
      <c r="V234" s="32" t="n">
        <f>215528728</f>
        <v>2.15528728E8</v>
      </c>
      <c r="W234" s="32" t="n">
        <f>533232</f>
        <v>533232.0</v>
      </c>
      <c r="X234" s="36" t="n">
        <f>20</f>
        <v>20.0</v>
      </c>
    </row>
    <row r="235">
      <c r="A235" s="27" t="s">
        <v>42</v>
      </c>
      <c r="B235" s="27" t="s">
        <v>750</v>
      </c>
      <c r="C235" s="27" t="s">
        <v>751</v>
      </c>
      <c r="D235" s="27" t="s">
        <v>752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1.0</v>
      </c>
      <c r="K235" s="33" t="n">
        <f>1255</f>
        <v>1255.0</v>
      </c>
      <c r="L235" s="34" t="s">
        <v>48</v>
      </c>
      <c r="M235" s="33" t="n">
        <f>1263</f>
        <v>1263.0</v>
      </c>
      <c r="N235" s="34" t="s">
        <v>512</v>
      </c>
      <c r="O235" s="33" t="n">
        <f>1230</f>
        <v>1230.0</v>
      </c>
      <c r="P235" s="34" t="s">
        <v>99</v>
      </c>
      <c r="Q235" s="33" t="n">
        <f>1240</f>
        <v>1240.0</v>
      </c>
      <c r="R235" s="34" t="s">
        <v>51</v>
      </c>
      <c r="S235" s="35" t="n">
        <f>1246.85</f>
        <v>1246.85</v>
      </c>
      <c r="T235" s="32" t="n">
        <f>668878</f>
        <v>668878.0</v>
      </c>
      <c r="U235" s="32" t="n">
        <f>246970</f>
        <v>246970.0</v>
      </c>
      <c r="V235" s="32" t="n">
        <f>831760938</f>
        <v>8.31760938E8</v>
      </c>
      <c r="W235" s="32" t="n">
        <f>307712941</f>
        <v>3.07712941E8</v>
      </c>
      <c r="X235" s="36" t="n">
        <f>20</f>
        <v>20.0</v>
      </c>
    </row>
    <row r="236">
      <c r="A236" s="27" t="s">
        <v>42</v>
      </c>
      <c r="B236" s="27" t="s">
        <v>753</v>
      </c>
      <c r="C236" s="27" t="s">
        <v>754</v>
      </c>
      <c r="D236" s="27" t="s">
        <v>755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1.0</v>
      </c>
      <c r="K236" s="33" t="n">
        <f>95990</f>
        <v>95990.0</v>
      </c>
      <c r="L236" s="34" t="s">
        <v>48</v>
      </c>
      <c r="M236" s="33" t="n">
        <f>101100</f>
        <v>101100.0</v>
      </c>
      <c r="N236" s="34" t="s">
        <v>61</v>
      </c>
      <c r="O236" s="33" t="n">
        <f>94150</f>
        <v>94150.0</v>
      </c>
      <c r="P236" s="34" t="s">
        <v>50</v>
      </c>
      <c r="Q236" s="33" t="n">
        <f>100550</f>
        <v>100550.0</v>
      </c>
      <c r="R236" s="34" t="s">
        <v>51</v>
      </c>
      <c r="S236" s="35" t="n">
        <f>98300.5</f>
        <v>98300.5</v>
      </c>
      <c r="T236" s="32" t="n">
        <f>11025</f>
        <v>11025.0</v>
      </c>
      <c r="U236" s="32" t="n">
        <f>37</f>
        <v>37.0</v>
      </c>
      <c r="V236" s="32" t="n">
        <f>1084043633</f>
        <v>1.084043633E9</v>
      </c>
      <c r="W236" s="32" t="n">
        <f>3683163</f>
        <v>3683163.0</v>
      </c>
      <c r="X236" s="36" t="n">
        <f>20</f>
        <v>20.0</v>
      </c>
    </row>
    <row r="237">
      <c r="A237" s="27" t="s">
        <v>42</v>
      </c>
      <c r="B237" s="27" t="s">
        <v>756</v>
      </c>
      <c r="C237" s="27" t="s">
        <v>757</v>
      </c>
      <c r="D237" s="27" t="s">
        <v>758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1.0</v>
      </c>
      <c r="K237" s="33" t="n">
        <f>6112</f>
        <v>6112.0</v>
      </c>
      <c r="L237" s="34" t="s">
        <v>48</v>
      </c>
      <c r="M237" s="33" t="n">
        <f>6198</f>
        <v>6198.0</v>
      </c>
      <c r="N237" s="34" t="s">
        <v>512</v>
      </c>
      <c r="O237" s="33" t="n">
        <f>5901</f>
        <v>5901.0</v>
      </c>
      <c r="P237" s="34" t="s">
        <v>99</v>
      </c>
      <c r="Q237" s="33" t="n">
        <f>5955</f>
        <v>5955.0</v>
      </c>
      <c r="R237" s="34" t="s">
        <v>51</v>
      </c>
      <c r="S237" s="35" t="n">
        <f>6036.85</f>
        <v>6036.85</v>
      </c>
      <c r="T237" s="32" t="n">
        <f>152244</f>
        <v>152244.0</v>
      </c>
      <c r="U237" s="32" t="n">
        <f>103400</f>
        <v>103400.0</v>
      </c>
      <c r="V237" s="32" t="n">
        <f>914879194</f>
        <v>9.14879194E8</v>
      </c>
      <c r="W237" s="32" t="n">
        <f>619085323</f>
        <v>6.19085323E8</v>
      </c>
      <c r="X237" s="36" t="n">
        <f>20</f>
        <v>20.0</v>
      </c>
    </row>
    <row r="238">
      <c r="A238" s="27" t="s">
        <v>42</v>
      </c>
      <c r="B238" s="27" t="s">
        <v>759</v>
      </c>
      <c r="C238" s="27" t="s">
        <v>760</v>
      </c>
      <c r="D238" s="27" t="s">
        <v>761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1.0</v>
      </c>
      <c r="K238" s="33" t="n">
        <f>20775</f>
        <v>20775.0</v>
      </c>
      <c r="L238" s="34" t="s">
        <v>48</v>
      </c>
      <c r="M238" s="33" t="n">
        <f>21970</f>
        <v>21970.0</v>
      </c>
      <c r="N238" s="34" t="s">
        <v>51</v>
      </c>
      <c r="O238" s="33" t="n">
        <f>20385</f>
        <v>20385.0</v>
      </c>
      <c r="P238" s="34" t="s">
        <v>50</v>
      </c>
      <c r="Q238" s="33" t="n">
        <f>21970</f>
        <v>21970.0</v>
      </c>
      <c r="R238" s="34" t="s">
        <v>51</v>
      </c>
      <c r="S238" s="35" t="n">
        <f>21311.75</f>
        <v>21311.75</v>
      </c>
      <c r="T238" s="32" t="n">
        <f>41882</f>
        <v>41882.0</v>
      </c>
      <c r="U238" s="32" t="n">
        <f>751</f>
        <v>751.0</v>
      </c>
      <c r="V238" s="32" t="n">
        <f>901924171</f>
        <v>9.01924171E8</v>
      </c>
      <c r="W238" s="32" t="n">
        <f>16205161</f>
        <v>1.6205161E7</v>
      </c>
      <c r="X238" s="36" t="n">
        <f>20</f>
        <v>20.0</v>
      </c>
    </row>
    <row r="239">
      <c r="A239" s="27" t="s">
        <v>42</v>
      </c>
      <c r="B239" s="27" t="s">
        <v>762</v>
      </c>
      <c r="C239" s="27" t="s">
        <v>763</v>
      </c>
      <c r="D239" s="27" t="s">
        <v>764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1.0</v>
      </c>
      <c r="K239" s="33" t="n">
        <f>1192</f>
        <v>1192.0</v>
      </c>
      <c r="L239" s="34" t="s">
        <v>48</v>
      </c>
      <c r="M239" s="33" t="n">
        <f>1319</f>
        <v>1319.0</v>
      </c>
      <c r="N239" s="34" t="s">
        <v>398</v>
      </c>
      <c r="O239" s="33" t="n">
        <f>1183</f>
        <v>1183.0</v>
      </c>
      <c r="P239" s="34" t="s">
        <v>48</v>
      </c>
      <c r="Q239" s="33" t="n">
        <f>1308</f>
        <v>1308.0</v>
      </c>
      <c r="R239" s="34" t="s">
        <v>51</v>
      </c>
      <c r="S239" s="35" t="n">
        <f>1255.25</f>
        <v>1255.25</v>
      </c>
      <c r="T239" s="32" t="n">
        <f>502489</f>
        <v>502489.0</v>
      </c>
      <c r="U239" s="32" t="n">
        <f>36000</f>
        <v>36000.0</v>
      </c>
      <c r="V239" s="32" t="n">
        <f>633562238</f>
        <v>6.33562238E8</v>
      </c>
      <c r="W239" s="32" t="n">
        <f>42922800</f>
        <v>4.29228E7</v>
      </c>
      <c r="X239" s="36" t="n">
        <f>20</f>
        <v>20.0</v>
      </c>
    </row>
    <row r="240">
      <c r="A240" s="27" t="s">
        <v>42</v>
      </c>
      <c r="B240" s="27" t="s">
        <v>765</v>
      </c>
      <c r="C240" s="27" t="s">
        <v>766</v>
      </c>
      <c r="D240" s="27" t="s">
        <v>767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1.0</v>
      </c>
      <c r="K240" s="33" t="n">
        <f>6202</f>
        <v>6202.0</v>
      </c>
      <c r="L240" s="34" t="s">
        <v>48</v>
      </c>
      <c r="M240" s="33" t="n">
        <f>6254</f>
        <v>6254.0</v>
      </c>
      <c r="N240" s="34" t="s">
        <v>50</v>
      </c>
      <c r="O240" s="33" t="n">
        <f>6000</f>
        <v>6000.0</v>
      </c>
      <c r="P240" s="34" t="s">
        <v>99</v>
      </c>
      <c r="Q240" s="33" t="n">
        <f>6032</f>
        <v>6032.0</v>
      </c>
      <c r="R240" s="34" t="s">
        <v>51</v>
      </c>
      <c r="S240" s="35" t="n">
        <f>6113.2</f>
        <v>6113.2</v>
      </c>
      <c r="T240" s="32" t="n">
        <f>9838</f>
        <v>9838.0</v>
      </c>
      <c r="U240" s="32" t="n">
        <f>1</f>
        <v>1.0</v>
      </c>
      <c r="V240" s="32" t="n">
        <f>59962273</f>
        <v>5.9962273E7</v>
      </c>
      <c r="W240" s="32" t="n">
        <f>6136</f>
        <v>6136.0</v>
      </c>
      <c r="X240" s="36" t="n">
        <f>20</f>
        <v>20.0</v>
      </c>
    </row>
    <row r="241">
      <c r="A241" s="27" t="s">
        <v>42</v>
      </c>
      <c r="B241" s="27" t="s">
        <v>768</v>
      </c>
      <c r="C241" s="27" t="s">
        <v>769</v>
      </c>
      <c r="D241" s="27" t="s">
        <v>770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10.0</v>
      </c>
      <c r="K241" s="33" t="n">
        <f>753</f>
        <v>753.0</v>
      </c>
      <c r="L241" s="34" t="s">
        <v>48</v>
      </c>
      <c r="M241" s="33" t="n">
        <f>773.7</f>
        <v>773.7</v>
      </c>
      <c r="N241" s="34" t="s">
        <v>70</v>
      </c>
      <c r="O241" s="33" t="n">
        <f>747.6</f>
        <v>747.6</v>
      </c>
      <c r="P241" s="34" t="s">
        <v>48</v>
      </c>
      <c r="Q241" s="33" t="n">
        <f>768.2</f>
        <v>768.2</v>
      </c>
      <c r="R241" s="34" t="s">
        <v>51</v>
      </c>
      <c r="S241" s="35" t="n">
        <f>758.27</f>
        <v>758.27</v>
      </c>
      <c r="T241" s="32" t="n">
        <f>395270</f>
        <v>395270.0</v>
      </c>
      <c r="U241" s="32" t="n">
        <f>230</f>
        <v>230.0</v>
      </c>
      <c r="V241" s="32" t="n">
        <f>299007196</f>
        <v>2.99007196E8</v>
      </c>
      <c r="W241" s="32" t="n">
        <f>176563</f>
        <v>176563.0</v>
      </c>
      <c r="X241" s="36" t="n">
        <f>20</f>
        <v>20.0</v>
      </c>
    </row>
    <row r="242">
      <c r="A242" s="27" t="s">
        <v>42</v>
      </c>
      <c r="B242" s="27" t="s">
        <v>771</v>
      </c>
      <c r="C242" s="27" t="s">
        <v>772</v>
      </c>
      <c r="D242" s="27" t="s">
        <v>773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10.0</v>
      </c>
      <c r="K242" s="33" t="n">
        <f>603.2</f>
        <v>603.2</v>
      </c>
      <c r="L242" s="34" t="s">
        <v>48</v>
      </c>
      <c r="M242" s="33" t="n">
        <f>621.4</f>
        <v>621.4</v>
      </c>
      <c r="N242" s="34" t="s">
        <v>203</v>
      </c>
      <c r="O242" s="33" t="n">
        <f>599.1</f>
        <v>599.1</v>
      </c>
      <c r="P242" s="34" t="s">
        <v>50</v>
      </c>
      <c r="Q242" s="33" t="n">
        <f>613.6</f>
        <v>613.6</v>
      </c>
      <c r="R242" s="34" t="s">
        <v>51</v>
      </c>
      <c r="S242" s="35" t="n">
        <f>608.64</f>
        <v>608.64</v>
      </c>
      <c r="T242" s="32" t="n">
        <f>1407170</f>
        <v>1407170.0</v>
      </c>
      <c r="U242" s="32" t="n">
        <f>1217200</f>
        <v>1217200.0</v>
      </c>
      <c r="V242" s="32" t="n">
        <f>852897077</f>
        <v>8.52897077E8</v>
      </c>
      <c r="W242" s="32" t="n">
        <f>736864351</f>
        <v>7.36864351E8</v>
      </c>
      <c r="X242" s="36" t="n">
        <f>20</f>
        <v>20.0</v>
      </c>
    </row>
    <row r="243">
      <c r="A243" s="27" t="s">
        <v>42</v>
      </c>
      <c r="B243" s="27" t="s">
        <v>774</v>
      </c>
      <c r="C243" s="27" t="s">
        <v>775</v>
      </c>
      <c r="D243" s="27" t="s">
        <v>776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1.0</v>
      </c>
      <c r="K243" s="33" t="n">
        <f>1998</f>
        <v>1998.0</v>
      </c>
      <c r="L243" s="34" t="s">
        <v>48</v>
      </c>
      <c r="M243" s="33" t="n">
        <f>2250</f>
        <v>2250.0</v>
      </c>
      <c r="N243" s="34" t="s">
        <v>70</v>
      </c>
      <c r="O243" s="33" t="n">
        <f>1971</f>
        <v>1971.0</v>
      </c>
      <c r="P243" s="34" t="s">
        <v>62</v>
      </c>
      <c r="Q243" s="33" t="n">
        <f>2228</f>
        <v>2228.0</v>
      </c>
      <c r="R243" s="34" t="s">
        <v>51</v>
      </c>
      <c r="S243" s="35" t="n">
        <f>2114.7</f>
        <v>2114.7</v>
      </c>
      <c r="T243" s="32" t="n">
        <f>2185467</f>
        <v>2185467.0</v>
      </c>
      <c r="U243" s="32" t="n">
        <f>5064</f>
        <v>5064.0</v>
      </c>
      <c r="V243" s="32" t="n">
        <f>4661883546</f>
        <v>4.661883546E9</v>
      </c>
      <c r="W243" s="32" t="n">
        <f>11233321</f>
        <v>1.1233321E7</v>
      </c>
      <c r="X243" s="36" t="n">
        <f>20</f>
        <v>20.0</v>
      </c>
    </row>
    <row r="244">
      <c r="A244" s="27" t="s">
        <v>42</v>
      </c>
      <c r="B244" s="27" t="s">
        <v>777</v>
      </c>
      <c r="C244" s="27" t="s">
        <v>778</v>
      </c>
      <c r="D244" s="27" t="s">
        <v>779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1.0</v>
      </c>
      <c r="K244" s="33" t="n">
        <f>2665</f>
        <v>2665.0</v>
      </c>
      <c r="L244" s="34" t="s">
        <v>48</v>
      </c>
      <c r="M244" s="33" t="n">
        <f>2889</f>
        <v>2889.0</v>
      </c>
      <c r="N244" s="34" t="s">
        <v>398</v>
      </c>
      <c r="O244" s="33" t="n">
        <f>2641</f>
        <v>2641.0</v>
      </c>
      <c r="P244" s="34" t="s">
        <v>48</v>
      </c>
      <c r="Q244" s="33" t="n">
        <f>2860</f>
        <v>2860.0</v>
      </c>
      <c r="R244" s="34" t="s">
        <v>51</v>
      </c>
      <c r="S244" s="35" t="n">
        <f>2782.15</f>
        <v>2782.15</v>
      </c>
      <c r="T244" s="32" t="n">
        <f>3115614</f>
        <v>3115614.0</v>
      </c>
      <c r="U244" s="32" t="n">
        <f>15777</f>
        <v>15777.0</v>
      </c>
      <c r="V244" s="32" t="n">
        <f>8709776315</f>
        <v>8.709776315E9</v>
      </c>
      <c r="W244" s="32" t="n">
        <f>44028193</f>
        <v>4.4028193E7</v>
      </c>
      <c r="X244" s="36" t="n">
        <f>20</f>
        <v>20.0</v>
      </c>
    </row>
    <row r="245">
      <c r="A245" s="27" t="s">
        <v>42</v>
      </c>
      <c r="B245" s="27" t="s">
        <v>780</v>
      </c>
      <c r="C245" s="27" t="s">
        <v>781</v>
      </c>
      <c r="D245" s="27" t="s">
        <v>782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10.0</v>
      </c>
      <c r="K245" s="33" t="n">
        <f>737.8</f>
        <v>737.8</v>
      </c>
      <c r="L245" s="34" t="s">
        <v>48</v>
      </c>
      <c r="M245" s="33" t="n">
        <f>743.5</f>
        <v>743.5</v>
      </c>
      <c r="N245" s="34" t="s">
        <v>512</v>
      </c>
      <c r="O245" s="33" t="n">
        <f>730.5</f>
        <v>730.5</v>
      </c>
      <c r="P245" s="34" t="s">
        <v>49</v>
      </c>
      <c r="Q245" s="33" t="n">
        <f>735</f>
        <v>735.0</v>
      </c>
      <c r="R245" s="34" t="s">
        <v>51</v>
      </c>
      <c r="S245" s="35" t="n">
        <f>734.58</f>
        <v>734.58</v>
      </c>
      <c r="T245" s="32" t="n">
        <f>26260</f>
        <v>26260.0</v>
      </c>
      <c r="U245" s="32" t="str">
        <f>"－"</f>
        <v>－</v>
      </c>
      <c r="V245" s="32" t="n">
        <f>19222417</f>
        <v>1.9222417E7</v>
      </c>
      <c r="W245" s="32" t="str">
        <f>"－"</f>
        <v>－</v>
      </c>
      <c r="X245" s="36" t="n">
        <f>18</f>
        <v>18.0</v>
      </c>
    </row>
    <row r="246">
      <c r="A246" s="27" t="s">
        <v>42</v>
      </c>
      <c r="B246" s="27" t="s">
        <v>783</v>
      </c>
      <c r="C246" s="27" t="s">
        <v>784</v>
      </c>
      <c r="D246" s="27" t="s">
        <v>785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10.0</v>
      </c>
      <c r="K246" s="33" t="n">
        <f>735.7</f>
        <v>735.7</v>
      </c>
      <c r="L246" s="34" t="s">
        <v>48</v>
      </c>
      <c r="M246" s="33" t="n">
        <f>745.9</f>
        <v>745.9</v>
      </c>
      <c r="N246" s="34" t="s">
        <v>50</v>
      </c>
      <c r="O246" s="33" t="n">
        <f>728.4</f>
        <v>728.4</v>
      </c>
      <c r="P246" s="34" t="s">
        <v>49</v>
      </c>
      <c r="Q246" s="33" t="n">
        <f>730.7</f>
        <v>730.7</v>
      </c>
      <c r="R246" s="34" t="s">
        <v>51</v>
      </c>
      <c r="S246" s="35" t="n">
        <f>731.54</f>
        <v>731.54</v>
      </c>
      <c r="T246" s="32" t="n">
        <f>1210</f>
        <v>1210.0</v>
      </c>
      <c r="U246" s="32" t="str">
        <f>"－"</f>
        <v>－</v>
      </c>
      <c r="V246" s="32" t="n">
        <f>882963</f>
        <v>882963.0</v>
      </c>
      <c r="W246" s="32" t="str">
        <f>"－"</f>
        <v>－</v>
      </c>
      <c r="X246" s="36" t="n">
        <f>14</f>
        <v>14.0</v>
      </c>
    </row>
    <row r="247">
      <c r="A247" s="27" t="s">
        <v>42</v>
      </c>
      <c r="B247" s="27" t="s">
        <v>786</v>
      </c>
      <c r="C247" s="27" t="s">
        <v>787</v>
      </c>
      <c r="D247" s="27" t="s">
        <v>788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1.0</v>
      </c>
      <c r="K247" s="33" t="n">
        <f>1794</f>
        <v>1794.0</v>
      </c>
      <c r="L247" s="34" t="s">
        <v>48</v>
      </c>
      <c r="M247" s="33" t="n">
        <f>1866</f>
        <v>1866.0</v>
      </c>
      <c r="N247" s="34" t="s">
        <v>70</v>
      </c>
      <c r="O247" s="33" t="n">
        <f>1784</f>
        <v>1784.0</v>
      </c>
      <c r="P247" s="34" t="s">
        <v>48</v>
      </c>
      <c r="Q247" s="33" t="n">
        <f>1856</f>
        <v>1856.0</v>
      </c>
      <c r="R247" s="34" t="s">
        <v>51</v>
      </c>
      <c r="S247" s="35" t="n">
        <f>1822.7</f>
        <v>1822.7</v>
      </c>
      <c r="T247" s="32" t="n">
        <f>574404</f>
        <v>574404.0</v>
      </c>
      <c r="U247" s="32" t="n">
        <f>2172</f>
        <v>2172.0</v>
      </c>
      <c r="V247" s="32" t="n">
        <f>1044746988</f>
        <v>1.044746988E9</v>
      </c>
      <c r="W247" s="32" t="n">
        <f>4006192</f>
        <v>4006192.0</v>
      </c>
      <c r="X247" s="36" t="n">
        <f>20</f>
        <v>20.0</v>
      </c>
    </row>
    <row r="248">
      <c r="A248" s="27" t="s">
        <v>42</v>
      </c>
      <c r="B248" s="27" t="s">
        <v>789</v>
      </c>
      <c r="C248" s="27" t="s">
        <v>790</v>
      </c>
      <c r="D248" s="27" t="s">
        <v>791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1.0</v>
      </c>
      <c r="K248" s="33" t="n">
        <f>2414</f>
        <v>2414.0</v>
      </c>
      <c r="L248" s="34" t="s">
        <v>48</v>
      </c>
      <c r="M248" s="33" t="n">
        <f>2477</f>
        <v>2477.0</v>
      </c>
      <c r="N248" s="34" t="s">
        <v>61</v>
      </c>
      <c r="O248" s="33" t="n">
        <f>2392</f>
        <v>2392.0</v>
      </c>
      <c r="P248" s="34" t="s">
        <v>50</v>
      </c>
      <c r="Q248" s="33" t="n">
        <f>2467</f>
        <v>2467.0</v>
      </c>
      <c r="R248" s="34" t="s">
        <v>51</v>
      </c>
      <c r="S248" s="35" t="n">
        <f>2438.6</f>
        <v>2438.6</v>
      </c>
      <c r="T248" s="32" t="n">
        <f>905553</f>
        <v>905553.0</v>
      </c>
      <c r="U248" s="32" t="n">
        <f>541010</f>
        <v>541010.0</v>
      </c>
      <c r="V248" s="32" t="n">
        <f>2211823436</f>
        <v>2.211823436E9</v>
      </c>
      <c r="W248" s="32" t="n">
        <f>1321951723</f>
        <v>1.321951723E9</v>
      </c>
      <c r="X248" s="36" t="n">
        <f>20</f>
        <v>20.0</v>
      </c>
    </row>
    <row r="249">
      <c r="A249" s="27" t="s">
        <v>42</v>
      </c>
      <c r="B249" s="27" t="s">
        <v>792</v>
      </c>
      <c r="C249" s="27" t="s">
        <v>793</v>
      </c>
      <c r="D249" s="27" t="s">
        <v>794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1.0</v>
      </c>
      <c r="K249" s="33" t="n">
        <f>13070</f>
        <v>13070.0</v>
      </c>
      <c r="L249" s="34" t="s">
        <v>48</v>
      </c>
      <c r="M249" s="33" t="n">
        <f>13965</f>
        <v>13965.0</v>
      </c>
      <c r="N249" s="34" t="s">
        <v>48</v>
      </c>
      <c r="O249" s="33" t="n">
        <f>12340</f>
        <v>12340.0</v>
      </c>
      <c r="P249" s="34" t="s">
        <v>61</v>
      </c>
      <c r="Q249" s="33" t="n">
        <f>12385</f>
        <v>12385.0</v>
      </c>
      <c r="R249" s="34" t="s">
        <v>51</v>
      </c>
      <c r="S249" s="35" t="n">
        <f>12730.25</f>
        <v>12730.25</v>
      </c>
      <c r="T249" s="32" t="n">
        <f>85336</f>
        <v>85336.0</v>
      </c>
      <c r="U249" s="32" t="n">
        <f>335</f>
        <v>335.0</v>
      </c>
      <c r="V249" s="32" t="n">
        <f>1090883923</f>
        <v>1.090883923E9</v>
      </c>
      <c r="W249" s="32" t="n">
        <f>4228728</f>
        <v>4228728.0</v>
      </c>
      <c r="X249" s="36" t="n">
        <f>20</f>
        <v>20.0</v>
      </c>
    </row>
    <row r="250">
      <c r="A250" s="27" t="s">
        <v>42</v>
      </c>
      <c r="B250" s="27" t="s">
        <v>795</v>
      </c>
      <c r="C250" s="27" t="s">
        <v>796</v>
      </c>
      <c r="D250" s="27" t="s">
        <v>797</v>
      </c>
      <c r="E250" s="28" t="s">
        <v>46</v>
      </c>
      <c r="F250" s="29" t="s">
        <v>46</v>
      </c>
      <c r="G250" s="30" t="s">
        <v>46</v>
      </c>
      <c r="H250" s="31"/>
      <c r="I250" s="31" t="s">
        <v>47</v>
      </c>
      <c r="J250" s="32" t="n">
        <v>1.0</v>
      </c>
      <c r="K250" s="33" t="n">
        <f>1367</f>
        <v>1367.0</v>
      </c>
      <c r="L250" s="34" t="s">
        <v>48</v>
      </c>
      <c r="M250" s="33" t="n">
        <f>1750</f>
        <v>1750.0</v>
      </c>
      <c r="N250" s="34" t="s">
        <v>398</v>
      </c>
      <c r="O250" s="33" t="n">
        <f>1352</f>
        <v>1352.0</v>
      </c>
      <c r="P250" s="34" t="s">
        <v>48</v>
      </c>
      <c r="Q250" s="33" t="n">
        <f>1651</f>
        <v>1651.0</v>
      </c>
      <c r="R250" s="34" t="s">
        <v>51</v>
      </c>
      <c r="S250" s="35" t="n">
        <f>1489.5</f>
        <v>1489.5</v>
      </c>
      <c r="T250" s="32" t="n">
        <f>327063</f>
        <v>327063.0</v>
      </c>
      <c r="U250" s="32" t="n">
        <f>51</f>
        <v>51.0</v>
      </c>
      <c r="V250" s="32" t="n">
        <f>506788851</f>
        <v>5.06788851E8</v>
      </c>
      <c r="W250" s="32" t="n">
        <f>83487</f>
        <v>83487.0</v>
      </c>
      <c r="X250" s="36" t="n">
        <f>20</f>
        <v>20.0</v>
      </c>
    </row>
    <row r="251">
      <c r="A251" s="27" t="s">
        <v>42</v>
      </c>
      <c r="B251" s="27" t="s">
        <v>798</v>
      </c>
      <c r="C251" s="27" t="s">
        <v>799</v>
      </c>
      <c r="D251" s="27" t="s">
        <v>800</v>
      </c>
      <c r="E251" s="28" t="s">
        <v>46</v>
      </c>
      <c r="F251" s="29" t="s">
        <v>46</v>
      </c>
      <c r="G251" s="30" t="s">
        <v>46</v>
      </c>
      <c r="H251" s="31"/>
      <c r="I251" s="31" t="s">
        <v>47</v>
      </c>
      <c r="J251" s="32" t="n">
        <v>10.0</v>
      </c>
      <c r="K251" s="33" t="n">
        <f>272.7</f>
        <v>272.7</v>
      </c>
      <c r="L251" s="34" t="s">
        <v>48</v>
      </c>
      <c r="M251" s="33" t="n">
        <f>325</f>
        <v>325.0</v>
      </c>
      <c r="N251" s="34" t="s">
        <v>70</v>
      </c>
      <c r="O251" s="33" t="n">
        <f>267.2</f>
        <v>267.2</v>
      </c>
      <c r="P251" s="34" t="s">
        <v>50</v>
      </c>
      <c r="Q251" s="33" t="n">
        <f>280.7</f>
        <v>280.7</v>
      </c>
      <c r="R251" s="34" t="s">
        <v>51</v>
      </c>
      <c r="S251" s="35" t="n">
        <f>276.86</f>
        <v>276.86</v>
      </c>
      <c r="T251" s="32" t="n">
        <f>1021170</f>
        <v>1021170.0</v>
      </c>
      <c r="U251" s="32" t="n">
        <f>1000020</f>
        <v>1000020.0</v>
      </c>
      <c r="V251" s="32" t="n">
        <f>281717891</f>
        <v>2.81717891E8</v>
      </c>
      <c r="W251" s="32" t="n">
        <f>275705591</f>
        <v>2.75705591E8</v>
      </c>
      <c r="X251" s="36" t="n">
        <f>20</f>
        <v>20.0</v>
      </c>
    </row>
    <row r="252">
      <c r="A252" s="27" t="s">
        <v>42</v>
      </c>
      <c r="B252" s="27" t="s">
        <v>801</v>
      </c>
      <c r="C252" s="27" t="s">
        <v>802</v>
      </c>
      <c r="D252" s="27" t="s">
        <v>803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10.0</v>
      </c>
      <c r="K252" s="33" t="n">
        <f>804</f>
        <v>804.0</v>
      </c>
      <c r="L252" s="34" t="s">
        <v>48</v>
      </c>
      <c r="M252" s="33" t="n">
        <f>815</f>
        <v>815.0</v>
      </c>
      <c r="N252" s="34" t="s">
        <v>70</v>
      </c>
      <c r="O252" s="33" t="n">
        <f>795</f>
        <v>795.0</v>
      </c>
      <c r="P252" s="34" t="s">
        <v>199</v>
      </c>
      <c r="Q252" s="33" t="n">
        <f>812.8</f>
        <v>812.8</v>
      </c>
      <c r="R252" s="34" t="s">
        <v>51</v>
      </c>
      <c r="S252" s="35" t="n">
        <f>805.23</f>
        <v>805.23</v>
      </c>
      <c r="T252" s="32" t="n">
        <f>2547070</f>
        <v>2547070.0</v>
      </c>
      <c r="U252" s="32" t="n">
        <f>50</f>
        <v>50.0</v>
      </c>
      <c r="V252" s="32" t="n">
        <f>2039949542</f>
        <v>2.039949542E9</v>
      </c>
      <c r="W252" s="32" t="n">
        <f>40180</f>
        <v>40180.0</v>
      </c>
      <c r="X252" s="36" t="n">
        <f>20</f>
        <v>20.0</v>
      </c>
    </row>
    <row r="253">
      <c r="A253" s="27" t="s">
        <v>42</v>
      </c>
      <c r="B253" s="27" t="s">
        <v>804</v>
      </c>
      <c r="C253" s="27" t="s">
        <v>805</v>
      </c>
      <c r="D253" s="27" t="s">
        <v>806</v>
      </c>
      <c r="E253" s="28" t="s">
        <v>46</v>
      </c>
      <c r="F253" s="29" t="s">
        <v>46</v>
      </c>
      <c r="G253" s="30" t="s">
        <v>46</v>
      </c>
      <c r="H253" s="31"/>
      <c r="I253" s="31" t="s">
        <v>47</v>
      </c>
      <c r="J253" s="32" t="n">
        <v>1.0</v>
      </c>
      <c r="K253" s="33" t="n">
        <f>1243</f>
        <v>1243.0</v>
      </c>
      <c r="L253" s="34" t="s">
        <v>48</v>
      </c>
      <c r="M253" s="33" t="n">
        <f>1249</f>
        <v>1249.0</v>
      </c>
      <c r="N253" s="34" t="s">
        <v>99</v>
      </c>
      <c r="O253" s="33" t="n">
        <f>1210</f>
        <v>1210.0</v>
      </c>
      <c r="P253" s="34" t="s">
        <v>99</v>
      </c>
      <c r="Q253" s="33" t="n">
        <f>1227</f>
        <v>1227.0</v>
      </c>
      <c r="R253" s="34" t="s">
        <v>51</v>
      </c>
      <c r="S253" s="35" t="n">
        <f>1226.4</f>
        <v>1226.4</v>
      </c>
      <c r="T253" s="32" t="n">
        <f>99852</f>
        <v>99852.0</v>
      </c>
      <c r="U253" s="32" t="n">
        <f>16200</f>
        <v>16200.0</v>
      </c>
      <c r="V253" s="32" t="n">
        <f>122868041</f>
        <v>1.22868041E8</v>
      </c>
      <c r="W253" s="32" t="n">
        <f>19940941</f>
        <v>1.9940941E7</v>
      </c>
      <c r="X253" s="36" t="n">
        <f>20</f>
        <v>20.0</v>
      </c>
    </row>
    <row r="254">
      <c r="A254" s="27" t="s">
        <v>42</v>
      </c>
      <c r="B254" s="27" t="s">
        <v>807</v>
      </c>
      <c r="C254" s="27" t="s">
        <v>808</v>
      </c>
      <c r="D254" s="27" t="s">
        <v>809</v>
      </c>
      <c r="E254" s="28" t="s">
        <v>46</v>
      </c>
      <c r="F254" s="29" t="s">
        <v>46</v>
      </c>
      <c r="G254" s="30" t="s">
        <v>46</v>
      </c>
      <c r="H254" s="31"/>
      <c r="I254" s="31" t="s">
        <v>47</v>
      </c>
      <c r="J254" s="32" t="n">
        <v>1.0</v>
      </c>
      <c r="K254" s="33" t="n">
        <f>1127</f>
        <v>1127.0</v>
      </c>
      <c r="L254" s="34" t="s">
        <v>48</v>
      </c>
      <c r="M254" s="33" t="n">
        <f>1141</f>
        <v>1141.0</v>
      </c>
      <c r="N254" s="34" t="s">
        <v>207</v>
      </c>
      <c r="O254" s="33" t="n">
        <f>1100</f>
        <v>1100.0</v>
      </c>
      <c r="P254" s="34" t="s">
        <v>195</v>
      </c>
      <c r="Q254" s="33" t="n">
        <f>1114</f>
        <v>1114.0</v>
      </c>
      <c r="R254" s="34" t="s">
        <v>51</v>
      </c>
      <c r="S254" s="35" t="n">
        <f>1125.75</f>
        <v>1125.75</v>
      </c>
      <c r="T254" s="32" t="n">
        <f>780118</f>
        <v>780118.0</v>
      </c>
      <c r="U254" s="32" t="str">
        <f>"－"</f>
        <v>－</v>
      </c>
      <c r="V254" s="32" t="n">
        <f>874630207</f>
        <v>8.74630207E8</v>
      </c>
      <c r="W254" s="32" t="str">
        <f>"－"</f>
        <v>－</v>
      </c>
      <c r="X254" s="36" t="n">
        <f>20</f>
        <v>20.0</v>
      </c>
    </row>
    <row r="255">
      <c r="A255" s="27" t="s">
        <v>42</v>
      </c>
      <c r="B255" s="27" t="s">
        <v>810</v>
      </c>
      <c r="C255" s="27" t="s">
        <v>811</v>
      </c>
      <c r="D255" s="27" t="s">
        <v>812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1.0</v>
      </c>
      <c r="K255" s="33" t="n">
        <f>1027</f>
        <v>1027.0</v>
      </c>
      <c r="L255" s="34" t="s">
        <v>48</v>
      </c>
      <c r="M255" s="33" t="n">
        <f>1294</f>
        <v>1294.0</v>
      </c>
      <c r="N255" s="34" t="s">
        <v>51</v>
      </c>
      <c r="O255" s="33" t="n">
        <f>1007</f>
        <v>1007.0</v>
      </c>
      <c r="P255" s="34" t="s">
        <v>48</v>
      </c>
      <c r="Q255" s="33" t="n">
        <f>1294</f>
        <v>1294.0</v>
      </c>
      <c r="R255" s="34" t="s">
        <v>51</v>
      </c>
      <c r="S255" s="35" t="n">
        <f>1131.5</f>
        <v>1131.5</v>
      </c>
      <c r="T255" s="32" t="n">
        <f>1590291</f>
        <v>1590291.0</v>
      </c>
      <c r="U255" s="32" t="str">
        <f>"－"</f>
        <v>－</v>
      </c>
      <c r="V255" s="32" t="n">
        <f>1744963461</f>
        <v>1.744963461E9</v>
      </c>
      <c r="W255" s="32" t="str">
        <f>"－"</f>
        <v>－</v>
      </c>
      <c r="X255" s="36" t="n">
        <f>20</f>
        <v>20.0</v>
      </c>
    </row>
    <row r="256">
      <c r="A256" s="27" t="s">
        <v>42</v>
      </c>
      <c r="B256" s="27" t="s">
        <v>813</v>
      </c>
      <c r="C256" s="27" t="s">
        <v>814</v>
      </c>
      <c r="D256" s="27" t="s">
        <v>815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10.0</v>
      </c>
      <c r="K256" s="33" t="n">
        <f>194.2</f>
        <v>194.2</v>
      </c>
      <c r="L256" s="34" t="s">
        <v>48</v>
      </c>
      <c r="M256" s="33" t="n">
        <f>204.1</f>
        <v>204.1</v>
      </c>
      <c r="N256" s="34" t="s">
        <v>49</v>
      </c>
      <c r="O256" s="33" t="n">
        <f>192.9</f>
        <v>192.9</v>
      </c>
      <c r="P256" s="34" t="s">
        <v>207</v>
      </c>
      <c r="Q256" s="33" t="n">
        <f>203</f>
        <v>203.0</v>
      </c>
      <c r="R256" s="34" t="s">
        <v>51</v>
      </c>
      <c r="S256" s="35" t="n">
        <f>200.52</f>
        <v>200.52</v>
      </c>
      <c r="T256" s="32" t="n">
        <f>5390220</f>
        <v>5390220.0</v>
      </c>
      <c r="U256" s="32" t="n">
        <f>16060</f>
        <v>16060.0</v>
      </c>
      <c r="V256" s="32" t="n">
        <f>1080092641</f>
        <v>1.080092641E9</v>
      </c>
      <c r="W256" s="32" t="n">
        <f>3241487</f>
        <v>3241487.0</v>
      </c>
      <c r="X256" s="36" t="n">
        <f>20</f>
        <v>20.0</v>
      </c>
    </row>
    <row r="257">
      <c r="A257" s="27" t="s">
        <v>42</v>
      </c>
      <c r="B257" s="27" t="s">
        <v>816</v>
      </c>
      <c r="C257" s="27" t="s">
        <v>817</v>
      </c>
      <c r="D257" s="27" t="s">
        <v>818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10.0</v>
      </c>
      <c r="K257" s="33" t="n">
        <f>208.1</f>
        <v>208.1</v>
      </c>
      <c r="L257" s="34" t="s">
        <v>48</v>
      </c>
      <c r="M257" s="33" t="n">
        <f>213.8</f>
        <v>213.8</v>
      </c>
      <c r="N257" s="34" t="s">
        <v>49</v>
      </c>
      <c r="O257" s="33" t="n">
        <f>207.1</f>
        <v>207.1</v>
      </c>
      <c r="P257" s="34" t="s">
        <v>48</v>
      </c>
      <c r="Q257" s="33" t="n">
        <f>211.8</f>
        <v>211.8</v>
      </c>
      <c r="R257" s="34" t="s">
        <v>51</v>
      </c>
      <c r="S257" s="35" t="n">
        <f>210.84</f>
        <v>210.84</v>
      </c>
      <c r="T257" s="32" t="n">
        <f>761350</f>
        <v>761350.0</v>
      </c>
      <c r="U257" s="32" t="n">
        <f>3270</f>
        <v>3270.0</v>
      </c>
      <c r="V257" s="32" t="n">
        <f>160467768</f>
        <v>1.60467768E8</v>
      </c>
      <c r="W257" s="32" t="n">
        <f>688306</f>
        <v>688306.0</v>
      </c>
      <c r="X257" s="36" t="n">
        <f>20</f>
        <v>20.0</v>
      </c>
    </row>
    <row r="258">
      <c r="A258" s="27" t="s">
        <v>42</v>
      </c>
      <c r="B258" s="27" t="s">
        <v>819</v>
      </c>
      <c r="C258" s="27" t="s">
        <v>820</v>
      </c>
      <c r="D258" s="27" t="s">
        <v>821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10.0</v>
      </c>
      <c r="K258" s="33" t="n">
        <f>210.3</f>
        <v>210.3</v>
      </c>
      <c r="L258" s="34" t="s">
        <v>48</v>
      </c>
      <c r="M258" s="33" t="n">
        <f>216.5</f>
        <v>216.5</v>
      </c>
      <c r="N258" s="34" t="s">
        <v>49</v>
      </c>
      <c r="O258" s="33" t="n">
        <f>209.4</f>
        <v>209.4</v>
      </c>
      <c r="P258" s="34" t="s">
        <v>48</v>
      </c>
      <c r="Q258" s="33" t="n">
        <f>214.9</f>
        <v>214.9</v>
      </c>
      <c r="R258" s="34" t="s">
        <v>51</v>
      </c>
      <c r="S258" s="35" t="n">
        <f>213.48</f>
        <v>213.48</v>
      </c>
      <c r="T258" s="32" t="n">
        <f>258180</f>
        <v>258180.0</v>
      </c>
      <c r="U258" s="32" t="n">
        <f>350</f>
        <v>350.0</v>
      </c>
      <c r="V258" s="32" t="n">
        <f>55195456</f>
        <v>5.5195456E7</v>
      </c>
      <c r="W258" s="32" t="n">
        <f>72921</f>
        <v>72921.0</v>
      </c>
      <c r="X258" s="36" t="n">
        <f>20</f>
        <v>20.0</v>
      </c>
    </row>
    <row r="259">
      <c r="A259" s="27" t="s">
        <v>42</v>
      </c>
      <c r="B259" s="27" t="s">
        <v>822</v>
      </c>
      <c r="C259" s="27" t="s">
        <v>823</v>
      </c>
      <c r="D259" s="27" t="s">
        <v>824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10.0</v>
      </c>
      <c r="K259" s="33" t="n">
        <f>213.9</f>
        <v>213.9</v>
      </c>
      <c r="L259" s="34" t="s">
        <v>48</v>
      </c>
      <c r="M259" s="33" t="n">
        <f>218.8</f>
        <v>218.8</v>
      </c>
      <c r="N259" s="34" t="s">
        <v>49</v>
      </c>
      <c r="O259" s="33" t="n">
        <f>213</f>
        <v>213.0</v>
      </c>
      <c r="P259" s="34" t="s">
        <v>48</v>
      </c>
      <c r="Q259" s="33" t="n">
        <f>217.2</f>
        <v>217.2</v>
      </c>
      <c r="R259" s="34" t="s">
        <v>51</v>
      </c>
      <c r="S259" s="35" t="n">
        <f>215.72</f>
        <v>215.72</v>
      </c>
      <c r="T259" s="32" t="n">
        <f>908150</f>
        <v>908150.0</v>
      </c>
      <c r="U259" s="32" t="n">
        <f>2360</f>
        <v>2360.0</v>
      </c>
      <c r="V259" s="32" t="n">
        <f>196080528</f>
        <v>1.96080528E8</v>
      </c>
      <c r="W259" s="32" t="n">
        <f>508038</f>
        <v>508038.0</v>
      </c>
      <c r="X259" s="36" t="n">
        <f>20</f>
        <v>20.0</v>
      </c>
    </row>
    <row r="260">
      <c r="A260" s="27" t="s">
        <v>42</v>
      </c>
      <c r="B260" s="27" t="s">
        <v>825</v>
      </c>
      <c r="C260" s="27" t="s">
        <v>826</v>
      </c>
      <c r="D260" s="27" t="s">
        <v>827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10.0</v>
      </c>
      <c r="K260" s="33" t="n">
        <f>189.7</f>
        <v>189.7</v>
      </c>
      <c r="L260" s="34" t="s">
        <v>48</v>
      </c>
      <c r="M260" s="33" t="n">
        <f>193</f>
        <v>193.0</v>
      </c>
      <c r="N260" s="34" t="s">
        <v>74</v>
      </c>
      <c r="O260" s="33" t="n">
        <f>188.5</f>
        <v>188.5</v>
      </c>
      <c r="P260" s="34" t="s">
        <v>50</v>
      </c>
      <c r="Q260" s="33" t="n">
        <f>190.2</f>
        <v>190.2</v>
      </c>
      <c r="R260" s="34" t="s">
        <v>51</v>
      </c>
      <c r="S260" s="35" t="n">
        <f>190.01</f>
        <v>190.01</v>
      </c>
      <c r="T260" s="32" t="n">
        <f>164020</f>
        <v>164020.0</v>
      </c>
      <c r="U260" s="32" t="n">
        <f>132470</f>
        <v>132470.0</v>
      </c>
      <c r="V260" s="32" t="n">
        <f>30992471</f>
        <v>3.0992471E7</v>
      </c>
      <c r="W260" s="32" t="n">
        <f>24983910</f>
        <v>2.498391E7</v>
      </c>
      <c r="X260" s="36" t="n">
        <f>20</f>
        <v>20.0</v>
      </c>
    </row>
    <row r="261">
      <c r="A261" s="27" t="s">
        <v>42</v>
      </c>
      <c r="B261" s="27" t="s">
        <v>828</v>
      </c>
      <c r="C261" s="27" t="s">
        <v>829</v>
      </c>
      <c r="D261" s="27" t="s">
        <v>830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1.0</v>
      </c>
      <c r="K261" s="33" t="n">
        <f>1920</f>
        <v>1920.0</v>
      </c>
      <c r="L261" s="34" t="s">
        <v>48</v>
      </c>
      <c r="M261" s="33" t="n">
        <f>1999</f>
        <v>1999.0</v>
      </c>
      <c r="N261" s="34" t="s">
        <v>74</v>
      </c>
      <c r="O261" s="33" t="n">
        <f>1916</f>
        <v>1916.0</v>
      </c>
      <c r="P261" s="34" t="s">
        <v>48</v>
      </c>
      <c r="Q261" s="33" t="n">
        <f>1927</f>
        <v>1927.0</v>
      </c>
      <c r="R261" s="34" t="s">
        <v>51</v>
      </c>
      <c r="S261" s="35" t="n">
        <f>1958.85</f>
        <v>1958.85</v>
      </c>
      <c r="T261" s="32" t="n">
        <f>502302</f>
        <v>502302.0</v>
      </c>
      <c r="U261" s="32" t="n">
        <f>30700</f>
        <v>30700.0</v>
      </c>
      <c r="V261" s="32" t="n">
        <f>985291160</f>
        <v>9.8529116E8</v>
      </c>
      <c r="W261" s="32" t="n">
        <f>60299660</f>
        <v>6.029966E7</v>
      </c>
      <c r="X261" s="36" t="n">
        <f>20</f>
        <v>20.0</v>
      </c>
    </row>
    <row r="262">
      <c r="A262" s="27" t="s">
        <v>42</v>
      </c>
      <c r="B262" s="27" t="s">
        <v>831</v>
      </c>
      <c r="C262" s="27" t="s">
        <v>832</v>
      </c>
      <c r="D262" s="27" t="s">
        <v>833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1.0</v>
      </c>
      <c r="K262" s="33" t="n">
        <f>1157</f>
        <v>1157.0</v>
      </c>
      <c r="L262" s="34" t="s">
        <v>48</v>
      </c>
      <c r="M262" s="33" t="n">
        <f>1239</f>
        <v>1239.0</v>
      </c>
      <c r="N262" s="34" t="s">
        <v>50</v>
      </c>
      <c r="O262" s="33" t="n">
        <f>1155</f>
        <v>1155.0</v>
      </c>
      <c r="P262" s="34" t="s">
        <v>48</v>
      </c>
      <c r="Q262" s="33" t="n">
        <f>1188</f>
        <v>1188.0</v>
      </c>
      <c r="R262" s="34" t="s">
        <v>51</v>
      </c>
      <c r="S262" s="35" t="n">
        <f>1192.2</f>
        <v>1192.2</v>
      </c>
      <c r="T262" s="32" t="n">
        <f>185814</f>
        <v>185814.0</v>
      </c>
      <c r="U262" s="32" t="str">
        <f>"－"</f>
        <v>－</v>
      </c>
      <c r="V262" s="32" t="n">
        <f>221833048</f>
        <v>2.21833048E8</v>
      </c>
      <c r="W262" s="32" t="str">
        <f>"－"</f>
        <v>－</v>
      </c>
      <c r="X262" s="36" t="n">
        <f>20</f>
        <v>20.0</v>
      </c>
    </row>
    <row r="263">
      <c r="A263" s="27" t="s">
        <v>42</v>
      </c>
      <c r="B263" s="27" t="s">
        <v>834</v>
      </c>
      <c r="C263" s="27" t="s">
        <v>835</v>
      </c>
      <c r="D263" s="27" t="s">
        <v>836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1.0</v>
      </c>
      <c r="K263" s="33" t="n">
        <f>1127</f>
        <v>1127.0</v>
      </c>
      <c r="L263" s="34" t="s">
        <v>48</v>
      </c>
      <c r="M263" s="33" t="n">
        <f>1177</f>
        <v>1177.0</v>
      </c>
      <c r="N263" s="34" t="s">
        <v>512</v>
      </c>
      <c r="O263" s="33" t="n">
        <f>1125</f>
        <v>1125.0</v>
      </c>
      <c r="P263" s="34" t="s">
        <v>48</v>
      </c>
      <c r="Q263" s="33" t="n">
        <f>1149</f>
        <v>1149.0</v>
      </c>
      <c r="R263" s="34" t="s">
        <v>51</v>
      </c>
      <c r="S263" s="35" t="n">
        <f>1156.55</f>
        <v>1156.55</v>
      </c>
      <c r="T263" s="32" t="n">
        <f>502467</f>
        <v>502467.0</v>
      </c>
      <c r="U263" s="32" t="n">
        <f>46070</f>
        <v>46070.0</v>
      </c>
      <c r="V263" s="32" t="n">
        <f>579084897</f>
        <v>5.79084897E8</v>
      </c>
      <c r="W263" s="32" t="n">
        <f>53344061</f>
        <v>5.3344061E7</v>
      </c>
      <c r="X263" s="36" t="n">
        <f>20</f>
        <v>20.0</v>
      </c>
    </row>
    <row r="264">
      <c r="A264" s="27" t="s">
        <v>42</v>
      </c>
      <c r="B264" s="27" t="s">
        <v>837</v>
      </c>
      <c r="C264" s="27" t="s">
        <v>838</v>
      </c>
      <c r="D264" s="27" t="s">
        <v>839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10.0</v>
      </c>
      <c r="K264" s="33" t="n">
        <f>476</f>
        <v>476.0</v>
      </c>
      <c r="L264" s="34" t="s">
        <v>48</v>
      </c>
      <c r="M264" s="33" t="n">
        <f>479.4</f>
        <v>479.4</v>
      </c>
      <c r="N264" s="34" t="s">
        <v>512</v>
      </c>
      <c r="O264" s="33" t="n">
        <f>473.9</f>
        <v>473.9</v>
      </c>
      <c r="P264" s="34" t="s">
        <v>51</v>
      </c>
      <c r="Q264" s="33" t="n">
        <f>474.6</f>
        <v>474.6</v>
      </c>
      <c r="R264" s="34" t="s">
        <v>51</v>
      </c>
      <c r="S264" s="35" t="n">
        <f>476.2</f>
        <v>476.2</v>
      </c>
      <c r="T264" s="32" t="n">
        <f>2032990</f>
        <v>2032990.0</v>
      </c>
      <c r="U264" s="32" t="n">
        <f>1935080</f>
        <v>1935080.0</v>
      </c>
      <c r="V264" s="32" t="n">
        <f>964939724</f>
        <v>9.64939724E8</v>
      </c>
      <c r="W264" s="32" t="n">
        <f>918262211</f>
        <v>9.18262211E8</v>
      </c>
      <c r="X264" s="36" t="n">
        <f>20</f>
        <v>20.0</v>
      </c>
    </row>
    <row r="265">
      <c r="A265" s="27" t="s">
        <v>42</v>
      </c>
      <c r="B265" s="27" t="s">
        <v>840</v>
      </c>
      <c r="C265" s="27" t="s">
        <v>841</v>
      </c>
      <c r="D265" s="27" t="s">
        <v>842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10.0</v>
      </c>
      <c r="K265" s="33" t="n">
        <f>154.2</f>
        <v>154.2</v>
      </c>
      <c r="L265" s="34" t="s">
        <v>48</v>
      </c>
      <c r="M265" s="33" t="n">
        <f>167.4</f>
        <v>167.4</v>
      </c>
      <c r="N265" s="34" t="s">
        <v>69</v>
      </c>
      <c r="O265" s="33" t="n">
        <f>151.9</f>
        <v>151.9</v>
      </c>
      <c r="P265" s="34" t="s">
        <v>207</v>
      </c>
      <c r="Q265" s="33" t="n">
        <f>166.1</f>
        <v>166.1</v>
      </c>
      <c r="R265" s="34" t="s">
        <v>51</v>
      </c>
      <c r="S265" s="35" t="n">
        <f>161.98</f>
        <v>161.98</v>
      </c>
      <c r="T265" s="32" t="n">
        <f>8199700</f>
        <v>8199700.0</v>
      </c>
      <c r="U265" s="32" t="n">
        <f>920</f>
        <v>920.0</v>
      </c>
      <c r="V265" s="32" t="n">
        <f>1313745611</f>
        <v>1.313745611E9</v>
      </c>
      <c r="W265" s="32" t="n">
        <f>151975</f>
        <v>151975.0</v>
      </c>
      <c r="X265" s="36" t="n">
        <f>20</f>
        <v>20.0</v>
      </c>
    </row>
    <row r="266">
      <c r="A266" s="27" t="s">
        <v>42</v>
      </c>
      <c r="B266" s="27" t="s">
        <v>843</v>
      </c>
      <c r="C266" s="27" t="s">
        <v>844</v>
      </c>
      <c r="D266" s="27" t="s">
        <v>845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10.0</v>
      </c>
      <c r="K266" s="33" t="n">
        <f>141.3</f>
        <v>141.3</v>
      </c>
      <c r="L266" s="34" t="s">
        <v>48</v>
      </c>
      <c r="M266" s="33" t="n">
        <f>154</f>
        <v>154.0</v>
      </c>
      <c r="N266" s="34" t="s">
        <v>203</v>
      </c>
      <c r="O266" s="33" t="n">
        <f>138.6</f>
        <v>138.6</v>
      </c>
      <c r="P266" s="34" t="s">
        <v>50</v>
      </c>
      <c r="Q266" s="33" t="n">
        <f>151.6</f>
        <v>151.6</v>
      </c>
      <c r="R266" s="34" t="s">
        <v>51</v>
      </c>
      <c r="S266" s="35" t="n">
        <f>148.22</f>
        <v>148.22</v>
      </c>
      <c r="T266" s="32" t="n">
        <f>9308750</f>
        <v>9308750.0</v>
      </c>
      <c r="U266" s="32" t="n">
        <f>60</f>
        <v>60.0</v>
      </c>
      <c r="V266" s="32" t="n">
        <f>1336739143</f>
        <v>1.336739143E9</v>
      </c>
      <c r="W266" s="32" t="n">
        <f>9011</f>
        <v>9011.0</v>
      </c>
      <c r="X266" s="36" t="n">
        <f>20</f>
        <v>20.0</v>
      </c>
    </row>
    <row r="267">
      <c r="A267" s="27" t="s">
        <v>42</v>
      </c>
      <c r="B267" s="27" t="s">
        <v>846</v>
      </c>
      <c r="C267" s="27" t="s">
        <v>847</v>
      </c>
      <c r="D267" s="27" t="s">
        <v>848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10.0</v>
      </c>
      <c r="K267" s="33" t="n">
        <f>863</f>
        <v>863.0</v>
      </c>
      <c r="L267" s="34" t="s">
        <v>48</v>
      </c>
      <c r="M267" s="33" t="n">
        <f>863.7</f>
        <v>863.7</v>
      </c>
      <c r="N267" s="34" t="s">
        <v>207</v>
      </c>
      <c r="O267" s="33" t="n">
        <f>854.5</f>
        <v>854.5</v>
      </c>
      <c r="P267" s="34" t="s">
        <v>61</v>
      </c>
      <c r="Q267" s="33" t="n">
        <f>859</f>
        <v>859.0</v>
      </c>
      <c r="R267" s="34" t="s">
        <v>51</v>
      </c>
      <c r="S267" s="35" t="n">
        <f>858.72</f>
        <v>858.72</v>
      </c>
      <c r="T267" s="32" t="n">
        <f>5249130</f>
        <v>5249130.0</v>
      </c>
      <c r="U267" s="32" t="n">
        <f>3515000</f>
        <v>3515000.0</v>
      </c>
      <c r="V267" s="32" t="n">
        <f>4507951103</f>
        <v>4.507951103E9</v>
      </c>
      <c r="W267" s="32" t="n">
        <f>3018731945</f>
        <v>3.018731945E9</v>
      </c>
      <c r="X267" s="36" t="n">
        <f>20</f>
        <v>20.0</v>
      </c>
    </row>
    <row r="268">
      <c r="A268" s="27" t="s">
        <v>42</v>
      </c>
      <c r="B268" s="27" t="s">
        <v>849</v>
      </c>
      <c r="C268" s="27" t="s">
        <v>850</v>
      </c>
      <c r="D268" s="27" t="s">
        <v>851</v>
      </c>
      <c r="E268" s="28" t="s">
        <v>46</v>
      </c>
      <c r="F268" s="29" t="s">
        <v>46</v>
      </c>
      <c r="G268" s="30" t="s">
        <v>46</v>
      </c>
      <c r="H268" s="31"/>
      <c r="I268" s="31" t="s">
        <v>47</v>
      </c>
      <c r="J268" s="32" t="n">
        <v>10.0</v>
      </c>
      <c r="K268" s="33" t="n">
        <f>1107.5</f>
        <v>1107.5</v>
      </c>
      <c r="L268" s="34" t="s">
        <v>48</v>
      </c>
      <c r="M268" s="33" t="n">
        <f>1117.5</f>
        <v>1117.5</v>
      </c>
      <c r="N268" s="34" t="s">
        <v>62</v>
      </c>
      <c r="O268" s="33" t="n">
        <f>1096</f>
        <v>1096.0</v>
      </c>
      <c r="P268" s="34" t="s">
        <v>62</v>
      </c>
      <c r="Q268" s="33" t="n">
        <f>1106</f>
        <v>1106.0</v>
      </c>
      <c r="R268" s="34" t="s">
        <v>51</v>
      </c>
      <c r="S268" s="35" t="n">
        <f>1104.98</f>
        <v>1104.98</v>
      </c>
      <c r="T268" s="32" t="n">
        <f>1235940</f>
        <v>1235940.0</v>
      </c>
      <c r="U268" s="32" t="n">
        <f>243030</f>
        <v>243030.0</v>
      </c>
      <c r="V268" s="32" t="n">
        <f>1367156933</f>
        <v>1.367156933E9</v>
      </c>
      <c r="W268" s="32" t="n">
        <f>267940078</f>
        <v>2.67940078E8</v>
      </c>
      <c r="X268" s="36" t="n">
        <f>20</f>
        <v>20.0</v>
      </c>
    </row>
    <row r="269">
      <c r="A269" s="27" t="s">
        <v>42</v>
      </c>
      <c r="B269" s="27" t="s">
        <v>852</v>
      </c>
      <c r="C269" s="27" t="s">
        <v>853</v>
      </c>
      <c r="D269" s="27" t="s">
        <v>854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10.0</v>
      </c>
      <c r="K269" s="33" t="n">
        <f>759.2</f>
        <v>759.2</v>
      </c>
      <c r="L269" s="34" t="s">
        <v>48</v>
      </c>
      <c r="M269" s="33" t="n">
        <f>761</f>
        <v>761.0</v>
      </c>
      <c r="N269" s="34" t="s">
        <v>207</v>
      </c>
      <c r="O269" s="33" t="n">
        <f>749.3</f>
        <v>749.3</v>
      </c>
      <c r="P269" s="34" t="s">
        <v>70</v>
      </c>
      <c r="Q269" s="33" t="n">
        <f>752.6</f>
        <v>752.6</v>
      </c>
      <c r="R269" s="34" t="s">
        <v>51</v>
      </c>
      <c r="S269" s="35" t="n">
        <f>754.25</f>
        <v>754.25</v>
      </c>
      <c r="T269" s="32" t="n">
        <f>4767460</f>
        <v>4767460.0</v>
      </c>
      <c r="U269" s="32" t="n">
        <f>3281950</f>
        <v>3281950.0</v>
      </c>
      <c r="V269" s="32" t="n">
        <f>3588124701</f>
        <v>3.588124701E9</v>
      </c>
      <c r="W269" s="32" t="n">
        <f>2467533237</f>
        <v>2.467533237E9</v>
      </c>
      <c r="X269" s="36" t="n">
        <f>20</f>
        <v>20.0</v>
      </c>
    </row>
    <row r="270">
      <c r="A270" s="27" t="s">
        <v>42</v>
      </c>
      <c r="B270" s="27" t="s">
        <v>855</v>
      </c>
      <c r="C270" s="27" t="s">
        <v>856</v>
      </c>
      <c r="D270" s="27" t="s">
        <v>857</v>
      </c>
      <c r="E270" s="28" t="s">
        <v>46</v>
      </c>
      <c r="F270" s="29" t="s">
        <v>46</v>
      </c>
      <c r="G270" s="30" t="s">
        <v>46</v>
      </c>
      <c r="H270" s="31"/>
      <c r="I270" s="31" t="s">
        <v>47</v>
      </c>
      <c r="J270" s="32" t="n">
        <v>10.0</v>
      </c>
      <c r="K270" s="33" t="n">
        <f>2838</f>
        <v>2838.0</v>
      </c>
      <c r="L270" s="34" t="s">
        <v>48</v>
      </c>
      <c r="M270" s="33" t="n">
        <f>2929</f>
        <v>2929.0</v>
      </c>
      <c r="N270" s="34" t="s">
        <v>70</v>
      </c>
      <c r="O270" s="33" t="n">
        <f>2811</f>
        <v>2811.0</v>
      </c>
      <c r="P270" s="34" t="s">
        <v>62</v>
      </c>
      <c r="Q270" s="33" t="n">
        <f>2909</f>
        <v>2909.0</v>
      </c>
      <c r="R270" s="34" t="s">
        <v>51</v>
      </c>
      <c r="S270" s="35" t="n">
        <f>2871.7</f>
        <v>2871.7</v>
      </c>
      <c r="T270" s="32" t="n">
        <f>1172580</f>
        <v>1172580.0</v>
      </c>
      <c r="U270" s="32" t="n">
        <f>201290</f>
        <v>201290.0</v>
      </c>
      <c r="V270" s="32" t="n">
        <f>3365435556</f>
        <v>3.365435556E9</v>
      </c>
      <c r="W270" s="32" t="n">
        <f>577546846</f>
        <v>5.77546846E8</v>
      </c>
      <c r="X270" s="36" t="n">
        <f>20</f>
        <v>20.0</v>
      </c>
    </row>
    <row r="271">
      <c r="A271" s="27" t="s">
        <v>42</v>
      </c>
      <c r="B271" s="27" t="s">
        <v>858</v>
      </c>
      <c r="C271" s="27" t="s">
        <v>859</v>
      </c>
      <c r="D271" s="27" t="s">
        <v>860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10.0</v>
      </c>
      <c r="K271" s="33" t="n">
        <f>1793</f>
        <v>1793.0</v>
      </c>
      <c r="L271" s="34" t="s">
        <v>48</v>
      </c>
      <c r="M271" s="33" t="n">
        <f>1818</f>
        <v>1818.0</v>
      </c>
      <c r="N271" s="34" t="s">
        <v>51</v>
      </c>
      <c r="O271" s="33" t="n">
        <f>1760</f>
        <v>1760.0</v>
      </c>
      <c r="P271" s="34" t="s">
        <v>62</v>
      </c>
      <c r="Q271" s="33" t="n">
        <f>1812</f>
        <v>1812.0</v>
      </c>
      <c r="R271" s="34" t="s">
        <v>51</v>
      </c>
      <c r="S271" s="35" t="n">
        <f>1792.58</f>
        <v>1792.58</v>
      </c>
      <c r="T271" s="32" t="n">
        <f>262290</f>
        <v>262290.0</v>
      </c>
      <c r="U271" s="32" t="n">
        <f>10</f>
        <v>10.0</v>
      </c>
      <c r="V271" s="32" t="n">
        <f>468369760</f>
        <v>4.6836976E8</v>
      </c>
      <c r="W271" s="32" t="n">
        <f>18040</f>
        <v>18040.0</v>
      </c>
      <c r="X271" s="36" t="n">
        <f>20</f>
        <v>20.0</v>
      </c>
    </row>
    <row r="272">
      <c r="A272" s="27" t="s">
        <v>42</v>
      </c>
      <c r="B272" s="27" t="s">
        <v>861</v>
      </c>
      <c r="C272" s="27" t="s">
        <v>862</v>
      </c>
      <c r="D272" s="27" t="s">
        <v>863</v>
      </c>
      <c r="E272" s="28" t="s">
        <v>46</v>
      </c>
      <c r="F272" s="29" t="s">
        <v>46</v>
      </c>
      <c r="G272" s="30" t="s">
        <v>46</v>
      </c>
      <c r="H272" s="31"/>
      <c r="I272" s="31" t="s">
        <v>47</v>
      </c>
      <c r="J272" s="32" t="n">
        <v>10.0</v>
      </c>
      <c r="K272" s="33" t="n">
        <f>1419</f>
        <v>1419.0</v>
      </c>
      <c r="L272" s="34" t="s">
        <v>48</v>
      </c>
      <c r="M272" s="33" t="n">
        <f>1425</f>
        <v>1425.0</v>
      </c>
      <c r="N272" s="34" t="s">
        <v>207</v>
      </c>
      <c r="O272" s="33" t="n">
        <f>1390</f>
        <v>1390.0</v>
      </c>
      <c r="P272" s="34" t="s">
        <v>62</v>
      </c>
      <c r="Q272" s="33" t="n">
        <f>1415.5</f>
        <v>1415.5</v>
      </c>
      <c r="R272" s="34" t="s">
        <v>51</v>
      </c>
      <c r="S272" s="35" t="n">
        <f>1411.5</f>
        <v>1411.5</v>
      </c>
      <c r="T272" s="32" t="n">
        <f>910150</f>
        <v>910150.0</v>
      </c>
      <c r="U272" s="32" t="n">
        <f>181620</f>
        <v>181620.0</v>
      </c>
      <c r="V272" s="32" t="n">
        <f>1283700329</f>
        <v>1.283700329E9</v>
      </c>
      <c r="W272" s="32" t="n">
        <f>255627504</f>
        <v>2.55627504E8</v>
      </c>
      <c r="X272" s="36" t="n">
        <f>20</f>
        <v>20.0</v>
      </c>
    </row>
    <row r="273">
      <c r="A273" s="27" t="s">
        <v>42</v>
      </c>
      <c r="B273" s="27" t="s">
        <v>864</v>
      </c>
      <c r="C273" s="27" t="s">
        <v>865</v>
      </c>
      <c r="D273" s="27" t="s">
        <v>866</v>
      </c>
      <c r="E273" s="28" t="s">
        <v>46</v>
      </c>
      <c r="F273" s="29" t="s">
        <v>46</v>
      </c>
      <c r="G273" s="30" t="s">
        <v>46</v>
      </c>
      <c r="H273" s="31"/>
      <c r="I273" s="31" t="s">
        <v>47</v>
      </c>
      <c r="J273" s="32" t="n">
        <v>10.0</v>
      </c>
      <c r="K273" s="33" t="n">
        <f>607.5</f>
        <v>607.5</v>
      </c>
      <c r="L273" s="34" t="s">
        <v>48</v>
      </c>
      <c r="M273" s="33" t="n">
        <f>616.9</f>
        <v>616.9</v>
      </c>
      <c r="N273" s="34" t="s">
        <v>199</v>
      </c>
      <c r="O273" s="33" t="n">
        <f>583.5</f>
        <v>583.5</v>
      </c>
      <c r="P273" s="34" t="s">
        <v>51</v>
      </c>
      <c r="Q273" s="33" t="n">
        <f>585</f>
        <v>585.0</v>
      </c>
      <c r="R273" s="34" t="s">
        <v>51</v>
      </c>
      <c r="S273" s="35" t="n">
        <f>601.25</f>
        <v>601.25</v>
      </c>
      <c r="T273" s="32" t="n">
        <f>11305350</f>
        <v>1.130535E7</v>
      </c>
      <c r="U273" s="32" t="n">
        <f>958770</f>
        <v>958770.0</v>
      </c>
      <c r="V273" s="32" t="n">
        <f>6809923341</f>
        <v>6.809923341E9</v>
      </c>
      <c r="W273" s="32" t="n">
        <f>586746500</f>
        <v>5.867465E8</v>
      </c>
      <c r="X273" s="36" t="n">
        <f>20</f>
        <v>20.0</v>
      </c>
    </row>
    <row r="274">
      <c r="A274" s="27" t="s">
        <v>42</v>
      </c>
      <c r="B274" s="27" t="s">
        <v>867</v>
      </c>
      <c r="C274" s="27" t="s">
        <v>868</v>
      </c>
      <c r="D274" s="27" t="s">
        <v>869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10.0</v>
      </c>
      <c r="K274" s="33" t="n">
        <f>1153.5</f>
        <v>1153.5</v>
      </c>
      <c r="L274" s="34" t="s">
        <v>48</v>
      </c>
      <c r="M274" s="33" t="n">
        <f>1181</f>
        <v>1181.0</v>
      </c>
      <c r="N274" s="34" t="s">
        <v>70</v>
      </c>
      <c r="O274" s="33" t="n">
        <f>1133</f>
        <v>1133.0</v>
      </c>
      <c r="P274" s="34" t="s">
        <v>103</v>
      </c>
      <c r="Q274" s="33" t="n">
        <f>1163</f>
        <v>1163.0</v>
      </c>
      <c r="R274" s="34" t="s">
        <v>51</v>
      </c>
      <c r="S274" s="35" t="n">
        <f>1158.2</f>
        <v>1158.2</v>
      </c>
      <c r="T274" s="32" t="n">
        <f>966740</f>
        <v>966740.0</v>
      </c>
      <c r="U274" s="32" t="n">
        <f>435910</f>
        <v>435910.0</v>
      </c>
      <c r="V274" s="32" t="n">
        <f>1118379483</f>
        <v>1.118379483E9</v>
      </c>
      <c r="W274" s="32" t="n">
        <f>503666388</f>
        <v>5.03666388E8</v>
      </c>
      <c r="X274" s="36" t="n">
        <f>20</f>
        <v>20.0</v>
      </c>
    </row>
    <row r="275">
      <c r="A275" s="27" t="s">
        <v>42</v>
      </c>
      <c r="B275" s="27" t="s">
        <v>870</v>
      </c>
      <c r="C275" s="27" t="s">
        <v>871</v>
      </c>
      <c r="D275" s="27" t="s">
        <v>872</v>
      </c>
      <c r="E275" s="28" t="s">
        <v>46</v>
      </c>
      <c r="F275" s="29" t="s">
        <v>46</v>
      </c>
      <c r="G275" s="30" t="s">
        <v>46</v>
      </c>
      <c r="H275" s="31"/>
      <c r="I275" s="31" t="s">
        <v>47</v>
      </c>
      <c r="J275" s="32" t="n">
        <v>1.0</v>
      </c>
      <c r="K275" s="33" t="n">
        <f>1748</f>
        <v>1748.0</v>
      </c>
      <c r="L275" s="34" t="s">
        <v>48</v>
      </c>
      <c r="M275" s="33" t="n">
        <f>1813</f>
        <v>1813.0</v>
      </c>
      <c r="N275" s="34" t="s">
        <v>49</v>
      </c>
      <c r="O275" s="33" t="n">
        <f>1732</f>
        <v>1732.0</v>
      </c>
      <c r="P275" s="34" t="s">
        <v>50</v>
      </c>
      <c r="Q275" s="33" t="n">
        <f>1800</f>
        <v>1800.0</v>
      </c>
      <c r="R275" s="34" t="s">
        <v>51</v>
      </c>
      <c r="S275" s="35" t="n">
        <f>1784.05</f>
        <v>1784.05</v>
      </c>
      <c r="T275" s="32" t="n">
        <f>8083</f>
        <v>8083.0</v>
      </c>
      <c r="U275" s="32" t="str">
        <f>"－"</f>
        <v>－</v>
      </c>
      <c r="V275" s="32" t="n">
        <f>14464140</f>
        <v>1.446414E7</v>
      </c>
      <c r="W275" s="32" t="str">
        <f>"－"</f>
        <v>－</v>
      </c>
      <c r="X275" s="36" t="n">
        <f>20</f>
        <v>20.0</v>
      </c>
    </row>
    <row r="276">
      <c r="A276" s="27" t="s">
        <v>42</v>
      </c>
      <c r="B276" s="27" t="s">
        <v>873</v>
      </c>
      <c r="C276" s="27" t="s">
        <v>874</v>
      </c>
      <c r="D276" s="27" t="s">
        <v>875</v>
      </c>
      <c r="E276" s="28" t="s">
        <v>46</v>
      </c>
      <c r="F276" s="29" t="s">
        <v>46</v>
      </c>
      <c r="G276" s="30" t="s">
        <v>46</v>
      </c>
      <c r="H276" s="31"/>
      <c r="I276" s="31" t="s">
        <v>47</v>
      </c>
      <c r="J276" s="32" t="n">
        <v>10.0</v>
      </c>
      <c r="K276" s="33" t="n">
        <f>1113</f>
        <v>1113.0</v>
      </c>
      <c r="L276" s="34" t="s">
        <v>48</v>
      </c>
      <c r="M276" s="33" t="n">
        <f>1144</f>
        <v>1144.0</v>
      </c>
      <c r="N276" s="34" t="s">
        <v>62</v>
      </c>
      <c r="O276" s="33" t="n">
        <f>1075</f>
        <v>1075.0</v>
      </c>
      <c r="P276" s="34" t="s">
        <v>62</v>
      </c>
      <c r="Q276" s="33" t="n">
        <f>1105</f>
        <v>1105.0</v>
      </c>
      <c r="R276" s="34" t="s">
        <v>51</v>
      </c>
      <c r="S276" s="35" t="n">
        <f>1096.33</f>
        <v>1096.33</v>
      </c>
      <c r="T276" s="32" t="n">
        <f>101600</f>
        <v>101600.0</v>
      </c>
      <c r="U276" s="32" t="n">
        <f>4580</f>
        <v>4580.0</v>
      </c>
      <c r="V276" s="32" t="n">
        <f>111378991</f>
        <v>1.11378991E8</v>
      </c>
      <c r="W276" s="32" t="n">
        <f>5040221</f>
        <v>5040221.0</v>
      </c>
      <c r="X276" s="36" t="n">
        <f>20</f>
        <v>20.0</v>
      </c>
    </row>
    <row r="277">
      <c r="A277" s="27" t="s">
        <v>42</v>
      </c>
      <c r="B277" s="27" t="s">
        <v>876</v>
      </c>
      <c r="C277" s="27" t="s">
        <v>877</v>
      </c>
      <c r="D277" s="27" t="s">
        <v>878</v>
      </c>
      <c r="E277" s="28" t="s">
        <v>46</v>
      </c>
      <c r="F277" s="29" t="s">
        <v>46</v>
      </c>
      <c r="G277" s="30" t="s">
        <v>46</v>
      </c>
      <c r="H277" s="31"/>
      <c r="I277" s="31" t="s">
        <v>47</v>
      </c>
      <c r="J277" s="32" t="n">
        <v>10.0</v>
      </c>
      <c r="K277" s="33" t="n">
        <f>1636.5</f>
        <v>1636.5</v>
      </c>
      <c r="L277" s="34" t="s">
        <v>48</v>
      </c>
      <c r="M277" s="33" t="n">
        <f>1760</f>
        <v>1760.0</v>
      </c>
      <c r="N277" s="34" t="s">
        <v>49</v>
      </c>
      <c r="O277" s="33" t="n">
        <f>1600</f>
        <v>1600.0</v>
      </c>
      <c r="P277" s="34" t="s">
        <v>199</v>
      </c>
      <c r="Q277" s="33" t="n">
        <f>1737.5</f>
        <v>1737.5</v>
      </c>
      <c r="R277" s="34" t="s">
        <v>51</v>
      </c>
      <c r="S277" s="35" t="n">
        <f>1698.55</f>
        <v>1698.55</v>
      </c>
      <c r="T277" s="32" t="n">
        <f>146100</f>
        <v>146100.0</v>
      </c>
      <c r="U277" s="32" t="n">
        <f>520</f>
        <v>520.0</v>
      </c>
      <c r="V277" s="32" t="n">
        <f>247642638</f>
        <v>2.47642638E8</v>
      </c>
      <c r="W277" s="32" t="n">
        <f>866123</f>
        <v>866123.0</v>
      </c>
      <c r="X277" s="36" t="n">
        <f>20</f>
        <v>20.0</v>
      </c>
    </row>
    <row r="278">
      <c r="A278" s="27" t="s">
        <v>42</v>
      </c>
      <c r="B278" s="27" t="s">
        <v>879</v>
      </c>
      <c r="C278" s="27" t="s">
        <v>880</v>
      </c>
      <c r="D278" s="27" t="s">
        <v>881</v>
      </c>
      <c r="E278" s="28" t="s">
        <v>46</v>
      </c>
      <c r="F278" s="29" t="s">
        <v>46</v>
      </c>
      <c r="G278" s="30" t="s">
        <v>46</v>
      </c>
      <c r="H278" s="31"/>
      <c r="I278" s="31" t="s">
        <v>47</v>
      </c>
      <c r="J278" s="32" t="n">
        <v>1.0</v>
      </c>
      <c r="K278" s="33" t="n">
        <f>1896</f>
        <v>1896.0</v>
      </c>
      <c r="L278" s="34" t="s">
        <v>48</v>
      </c>
      <c r="M278" s="33" t="n">
        <f>1950</f>
        <v>1950.0</v>
      </c>
      <c r="N278" s="34" t="s">
        <v>61</v>
      </c>
      <c r="O278" s="33" t="n">
        <f>1876</f>
        <v>1876.0</v>
      </c>
      <c r="P278" s="34" t="s">
        <v>50</v>
      </c>
      <c r="Q278" s="33" t="n">
        <f>1944</f>
        <v>1944.0</v>
      </c>
      <c r="R278" s="34" t="s">
        <v>51</v>
      </c>
      <c r="S278" s="35" t="n">
        <f>1919.75</f>
        <v>1919.75</v>
      </c>
      <c r="T278" s="32" t="n">
        <f>2725977</f>
        <v>2725977.0</v>
      </c>
      <c r="U278" s="32" t="n">
        <f>2205425</f>
        <v>2205425.0</v>
      </c>
      <c r="V278" s="32" t="n">
        <f>5278107698</f>
        <v>5.278107698E9</v>
      </c>
      <c r="W278" s="32" t="n">
        <f>4278235777</f>
        <v>4.278235777E9</v>
      </c>
      <c r="X278" s="36" t="n">
        <f>20</f>
        <v>20.0</v>
      </c>
    </row>
    <row r="279">
      <c r="A279" s="27" t="s">
        <v>42</v>
      </c>
      <c r="B279" s="27" t="s">
        <v>882</v>
      </c>
      <c r="C279" s="27" t="s">
        <v>883</v>
      </c>
      <c r="D279" s="27" t="s">
        <v>884</v>
      </c>
      <c r="E279" s="28" t="s">
        <v>46</v>
      </c>
      <c r="F279" s="29" t="s">
        <v>46</v>
      </c>
      <c r="G279" s="30" t="s">
        <v>46</v>
      </c>
      <c r="H279" s="31"/>
      <c r="I279" s="31" t="s">
        <v>47</v>
      </c>
      <c r="J279" s="32" t="n">
        <v>1.0</v>
      </c>
      <c r="K279" s="33" t="n">
        <f>6000</f>
        <v>6000.0</v>
      </c>
      <c r="L279" s="34" t="s">
        <v>48</v>
      </c>
      <c r="M279" s="33" t="n">
        <f>6200</f>
        <v>6200.0</v>
      </c>
      <c r="N279" s="34" t="s">
        <v>74</v>
      </c>
      <c r="O279" s="33" t="n">
        <f>5850</f>
        <v>5850.0</v>
      </c>
      <c r="P279" s="34" t="s">
        <v>50</v>
      </c>
      <c r="Q279" s="33" t="n">
        <f>6161</f>
        <v>6161.0</v>
      </c>
      <c r="R279" s="34" t="s">
        <v>51</v>
      </c>
      <c r="S279" s="35" t="n">
        <f>6023.95</f>
        <v>6023.95</v>
      </c>
      <c r="T279" s="32" t="n">
        <f>57551</f>
        <v>57551.0</v>
      </c>
      <c r="U279" s="32" t="str">
        <f>"－"</f>
        <v>－</v>
      </c>
      <c r="V279" s="32" t="n">
        <f>347547983</f>
        <v>3.47547983E8</v>
      </c>
      <c r="W279" s="32" t="str">
        <f>"－"</f>
        <v>－</v>
      </c>
      <c r="X279" s="36" t="n">
        <f>20</f>
        <v>20.0</v>
      </c>
    </row>
    <row r="280">
      <c r="A280" s="27" t="s">
        <v>42</v>
      </c>
      <c r="B280" s="27" t="s">
        <v>885</v>
      </c>
      <c r="C280" s="27" t="s">
        <v>886</v>
      </c>
      <c r="D280" s="27" t="s">
        <v>887</v>
      </c>
      <c r="E280" s="28" t="s">
        <v>46</v>
      </c>
      <c r="F280" s="29" t="s">
        <v>46</v>
      </c>
      <c r="G280" s="30" t="s">
        <v>46</v>
      </c>
      <c r="H280" s="31"/>
      <c r="I280" s="31" t="s">
        <v>47</v>
      </c>
      <c r="J280" s="32" t="n">
        <v>10.0</v>
      </c>
      <c r="K280" s="33" t="n">
        <f>2791</f>
        <v>2791.0</v>
      </c>
      <c r="L280" s="34" t="s">
        <v>155</v>
      </c>
      <c r="M280" s="33" t="n">
        <f>2841</f>
        <v>2841.0</v>
      </c>
      <c r="N280" s="34" t="s">
        <v>155</v>
      </c>
      <c r="O280" s="33" t="n">
        <f>2507</f>
        <v>2507.0</v>
      </c>
      <c r="P280" s="34" t="s">
        <v>51</v>
      </c>
      <c r="Q280" s="33" t="n">
        <f>2557.5</f>
        <v>2557.5</v>
      </c>
      <c r="R280" s="34" t="s">
        <v>51</v>
      </c>
      <c r="S280" s="35" t="n">
        <f>2632.5</f>
        <v>2632.5</v>
      </c>
      <c r="T280" s="32" t="n">
        <f>2040</f>
        <v>2040.0</v>
      </c>
      <c r="U280" s="32" t="str">
        <f>"－"</f>
        <v>－</v>
      </c>
      <c r="V280" s="32" t="n">
        <f>5171665</f>
        <v>5171665.0</v>
      </c>
      <c r="W280" s="32" t="str">
        <f>"－"</f>
        <v>－</v>
      </c>
      <c r="X280" s="36" t="n">
        <f>5</f>
        <v>5.0</v>
      </c>
    </row>
    <row r="281">
      <c r="A281" s="27" t="s">
        <v>42</v>
      </c>
      <c r="B281" s="27" t="s">
        <v>888</v>
      </c>
      <c r="C281" s="27" t="s">
        <v>889</v>
      </c>
      <c r="D281" s="27" t="s">
        <v>890</v>
      </c>
      <c r="E281" s="28" t="s">
        <v>46</v>
      </c>
      <c r="F281" s="29" t="s">
        <v>46</v>
      </c>
      <c r="G281" s="30" t="s">
        <v>46</v>
      </c>
      <c r="H281" s="31"/>
      <c r="I281" s="31" t="s">
        <v>47</v>
      </c>
      <c r="J281" s="32" t="n">
        <v>10.0</v>
      </c>
      <c r="K281" s="33" t="n">
        <f>3112</f>
        <v>3112.0</v>
      </c>
      <c r="L281" s="34" t="s">
        <v>48</v>
      </c>
      <c r="M281" s="33" t="n">
        <f>3255</f>
        <v>3255.0</v>
      </c>
      <c r="N281" s="34" t="s">
        <v>49</v>
      </c>
      <c r="O281" s="33" t="n">
        <f>3104</f>
        <v>3104.0</v>
      </c>
      <c r="P281" s="34" t="s">
        <v>48</v>
      </c>
      <c r="Q281" s="33" t="n">
        <f>3222</f>
        <v>3222.0</v>
      </c>
      <c r="R281" s="34" t="s">
        <v>51</v>
      </c>
      <c r="S281" s="35" t="n">
        <f>3193.25</f>
        <v>3193.25</v>
      </c>
      <c r="T281" s="32" t="n">
        <f>1273940</f>
        <v>1273940.0</v>
      </c>
      <c r="U281" s="32" t="n">
        <f>1080900</f>
        <v>1080900.0</v>
      </c>
      <c r="V281" s="32" t="n">
        <f>3984739370</f>
        <v>3.98473937E9</v>
      </c>
      <c r="W281" s="32" t="n">
        <f>3367210260</f>
        <v>3.36721026E9</v>
      </c>
      <c r="X281" s="36" t="n">
        <f>20</f>
        <v>20.0</v>
      </c>
    </row>
    <row r="282">
      <c r="A282" s="27" t="s">
        <v>42</v>
      </c>
      <c r="B282" s="27" t="s">
        <v>891</v>
      </c>
      <c r="C282" s="27" t="s">
        <v>892</v>
      </c>
      <c r="D282" s="27" t="s">
        <v>893</v>
      </c>
      <c r="E282" s="28" t="s">
        <v>46</v>
      </c>
      <c r="F282" s="29" t="s">
        <v>46</v>
      </c>
      <c r="G282" s="30" t="s">
        <v>46</v>
      </c>
      <c r="H282" s="31"/>
      <c r="I282" s="31" t="s">
        <v>47</v>
      </c>
      <c r="J282" s="32" t="n">
        <v>1.0</v>
      </c>
      <c r="K282" s="33" t="n">
        <f>42470</f>
        <v>42470.0</v>
      </c>
      <c r="L282" s="34" t="s">
        <v>48</v>
      </c>
      <c r="M282" s="33" t="n">
        <f>46120</f>
        <v>46120.0</v>
      </c>
      <c r="N282" s="34" t="s">
        <v>74</v>
      </c>
      <c r="O282" s="33" t="n">
        <f>42030</f>
        <v>42030.0</v>
      </c>
      <c r="P282" s="34" t="s">
        <v>48</v>
      </c>
      <c r="Q282" s="33" t="n">
        <f>45450</f>
        <v>45450.0</v>
      </c>
      <c r="R282" s="34" t="s">
        <v>51</v>
      </c>
      <c r="S282" s="35" t="n">
        <f>44413.5</f>
        <v>44413.5</v>
      </c>
      <c r="T282" s="32" t="n">
        <f>98173</f>
        <v>98173.0</v>
      </c>
      <c r="U282" s="32" t="n">
        <f>57740</f>
        <v>57740.0</v>
      </c>
      <c r="V282" s="32" t="n">
        <f>4330928877</f>
        <v>4.330928877E9</v>
      </c>
      <c r="W282" s="32" t="n">
        <f>2537566397</f>
        <v>2.537566397E9</v>
      </c>
      <c r="X282" s="36" t="n">
        <f>20</f>
        <v>20.0</v>
      </c>
    </row>
    <row r="283">
      <c r="A283" s="27" t="s">
        <v>42</v>
      </c>
      <c r="B283" s="27" t="s">
        <v>894</v>
      </c>
      <c r="C283" s="27" t="s">
        <v>895</v>
      </c>
      <c r="D283" s="27" t="s">
        <v>896</v>
      </c>
      <c r="E283" s="28" t="s">
        <v>46</v>
      </c>
      <c r="F283" s="29" t="s">
        <v>46</v>
      </c>
      <c r="G283" s="30" t="s">
        <v>46</v>
      </c>
      <c r="H283" s="31"/>
      <c r="I283" s="31" t="s">
        <v>47</v>
      </c>
      <c r="J283" s="32" t="n">
        <v>1.0</v>
      </c>
      <c r="K283" s="33" t="n">
        <f>27890</f>
        <v>27890.0</v>
      </c>
      <c r="L283" s="34" t="s">
        <v>207</v>
      </c>
      <c r="M283" s="33" t="n">
        <f>29050</f>
        <v>29050.0</v>
      </c>
      <c r="N283" s="34" t="s">
        <v>74</v>
      </c>
      <c r="O283" s="33" t="n">
        <f>27890</f>
        <v>27890.0</v>
      </c>
      <c r="P283" s="34" t="s">
        <v>207</v>
      </c>
      <c r="Q283" s="33" t="n">
        <f>28605</f>
        <v>28605.0</v>
      </c>
      <c r="R283" s="34" t="s">
        <v>51</v>
      </c>
      <c r="S283" s="35" t="n">
        <f>28570.63</f>
        <v>28570.63</v>
      </c>
      <c r="T283" s="32" t="n">
        <f>9572</f>
        <v>9572.0</v>
      </c>
      <c r="U283" s="32" t="str">
        <f>"－"</f>
        <v>－</v>
      </c>
      <c r="V283" s="32" t="n">
        <f>273872640</f>
        <v>2.7387264E8</v>
      </c>
      <c r="W283" s="32" t="str">
        <f>"－"</f>
        <v>－</v>
      </c>
      <c r="X283" s="36" t="n">
        <f>16</f>
        <v>16.0</v>
      </c>
    </row>
    <row r="284">
      <c r="A284" s="27" t="s">
        <v>42</v>
      </c>
      <c r="B284" s="27" t="s">
        <v>897</v>
      </c>
      <c r="C284" s="27" t="s">
        <v>898</v>
      </c>
      <c r="D284" s="27" t="s">
        <v>899</v>
      </c>
      <c r="E284" s="28" t="s">
        <v>46</v>
      </c>
      <c r="F284" s="29" t="s">
        <v>46</v>
      </c>
      <c r="G284" s="30" t="s">
        <v>46</v>
      </c>
      <c r="H284" s="31"/>
      <c r="I284" s="31" t="s">
        <v>47</v>
      </c>
      <c r="J284" s="32" t="n">
        <v>10.0</v>
      </c>
      <c r="K284" s="33" t="n">
        <f>1172.5</f>
        <v>1172.5</v>
      </c>
      <c r="L284" s="34" t="s">
        <v>207</v>
      </c>
      <c r="M284" s="33" t="n">
        <f>1184</f>
        <v>1184.0</v>
      </c>
      <c r="N284" s="34" t="s">
        <v>99</v>
      </c>
      <c r="O284" s="33" t="n">
        <f>1149</f>
        <v>1149.0</v>
      </c>
      <c r="P284" s="34" t="s">
        <v>50</v>
      </c>
      <c r="Q284" s="33" t="n">
        <f>1167</f>
        <v>1167.0</v>
      </c>
      <c r="R284" s="34" t="s">
        <v>51</v>
      </c>
      <c r="S284" s="35" t="n">
        <f>1167.26</f>
        <v>1167.26</v>
      </c>
      <c r="T284" s="32" t="n">
        <f>1417080</f>
        <v>1417080.0</v>
      </c>
      <c r="U284" s="32" t="n">
        <f>1238200</f>
        <v>1238200.0</v>
      </c>
      <c r="V284" s="32" t="n">
        <f>1666449985</f>
        <v>1.666449985E9</v>
      </c>
      <c r="W284" s="32" t="n">
        <f>1458574160</f>
        <v>1.45857416E9</v>
      </c>
      <c r="X284" s="36" t="n">
        <f>17</f>
        <v>17.0</v>
      </c>
    </row>
    <row r="285">
      <c r="A285" s="27" t="s">
        <v>42</v>
      </c>
      <c r="B285" s="27" t="s">
        <v>900</v>
      </c>
      <c r="C285" s="27" t="s">
        <v>901</v>
      </c>
      <c r="D285" s="27" t="s">
        <v>902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1.0</v>
      </c>
      <c r="K285" s="33" t="n">
        <f>1163</f>
        <v>1163.0</v>
      </c>
      <c r="L285" s="34" t="s">
        <v>48</v>
      </c>
      <c r="M285" s="33" t="n">
        <f>1250</f>
        <v>1250.0</v>
      </c>
      <c r="N285" s="34" t="s">
        <v>48</v>
      </c>
      <c r="O285" s="33" t="n">
        <f>1131</f>
        <v>1131.0</v>
      </c>
      <c r="P285" s="34" t="s">
        <v>155</v>
      </c>
      <c r="Q285" s="33" t="n">
        <f>1155</f>
        <v>1155.0</v>
      </c>
      <c r="R285" s="34" t="s">
        <v>51</v>
      </c>
      <c r="S285" s="35" t="n">
        <f>1155.8</f>
        <v>1155.8</v>
      </c>
      <c r="T285" s="32" t="n">
        <f>2855038</f>
        <v>2855038.0</v>
      </c>
      <c r="U285" s="32" t="n">
        <f>1911976</f>
        <v>1911976.0</v>
      </c>
      <c r="V285" s="32" t="n">
        <f>3313811699</f>
        <v>3.313811699E9</v>
      </c>
      <c r="W285" s="32" t="n">
        <f>2209032466</f>
        <v>2.209032466E9</v>
      </c>
      <c r="X285" s="36" t="n">
        <f>20</f>
        <v>20.0</v>
      </c>
    </row>
    <row r="286">
      <c r="A286" s="27" t="s">
        <v>42</v>
      </c>
      <c r="B286" s="27" t="s">
        <v>903</v>
      </c>
      <c r="C286" s="27" t="s">
        <v>904</v>
      </c>
      <c r="D286" s="27" t="s">
        <v>905</v>
      </c>
      <c r="E286" s="28" t="s">
        <v>46</v>
      </c>
      <c r="F286" s="29" t="s">
        <v>46</v>
      </c>
      <c r="G286" s="30" t="s">
        <v>46</v>
      </c>
      <c r="H286" s="31"/>
      <c r="I286" s="31" t="s">
        <v>47</v>
      </c>
      <c r="J286" s="32" t="n">
        <v>1.0</v>
      </c>
      <c r="K286" s="33" t="n">
        <f>1792</f>
        <v>1792.0</v>
      </c>
      <c r="L286" s="34" t="s">
        <v>48</v>
      </c>
      <c r="M286" s="33" t="n">
        <f>1885</f>
        <v>1885.0</v>
      </c>
      <c r="N286" s="34" t="s">
        <v>49</v>
      </c>
      <c r="O286" s="33" t="n">
        <f>1788</f>
        <v>1788.0</v>
      </c>
      <c r="P286" s="34" t="s">
        <v>48</v>
      </c>
      <c r="Q286" s="33" t="n">
        <f>1847</f>
        <v>1847.0</v>
      </c>
      <c r="R286" s="34" t="s">
        <v>51</v>
      </c>
      <c r="S286" s="35" t="n">
        <f>1850.25</f>
        <v>1850.25</v>
      </c>
      <c r="T286" s="32" t="n">
        <f>549860</f>
        <v>549860.0</v>
      </c>
      <c r="U286" s="32" t="n">
        <f>394761</f>
        <v>394761.0</v>
      </c>
      <c r="V286" s="32" t="n">
        <f>1024964139</f>
        <v>1.024964139E9</v>
      </c>
      <c r="W286" s="32" t="n">
        <f>737248905</f>
        <v>7.37248905E8</v>
      </c>
      <c r="X286" s="36" t="n">
        <f>20</f>
        <v>20.0</v>
      </c>
    </row>
    <row r="287">
      <c r="A287" s="27" t="s">
        <v>42</v>
      </c>
      <c r="B287" s="27" t="s">
        <v>906</v>
      </c>
      <c r="C287" s="27" t="s">
        <v>907</v>
      </c>
      <c r="D287" s="27" t="s">
        <v>908</v>
      </c>
      <c r="E287" s="28" t="s">
        <v>46</v>
      </c>
      <c r="F287" s="29" t="s">
        <v>46</v>
      </c>
      <c r="G287" s="30" t="s">
        <v>46</v>
      </c>
      <c r="H287" s="31"/>
      <c r="I287" s="31" t="s">
        <v>47</v>
      </c>
      <c r="J287" s="32" t="n">
        <v>1.0</v>
      </c>
      <c r="K287" s="33" t="n">
        <f>16075</f>
        <v>16075.0</v>
      </c>
      <c r="L287" s="34" t="s">
        <v>48</v>
      </c>
      <c r="M287" s="33" t="n">
        <f>19560</f>
        <v>19560.0</v>
      </c>
      <c r="N287" s="34" t="s">
        <v>70</v>
      </c>
      <c r="O287" s="33" t="n">
        <f>15500</f>
        <v>15500.0</v>
      </c>
      <c r="P287" s="34" t="s">
        <v>103</v>
      </c>
      <c r="Q287" s="33" t="n">
        <f>17055</f>
        <v>17055.0</v>
      </c>
      <c r="R287" s="34" t="s">
        <v>51</v>
      </c>
      <c r="S287" s="35" t="n">
        <f>16389</f>
        <v>16389.0</v>
      </c>
      <c r="T287" s="32" t="n">
        <f>57867</f>
        <v>57867.0</v>
      </c>
      <c r="U287" s="32" t="str">
        <f>"－"</f>
        <v>－</v>
      </c>
      <c r="V287" s="32" t="n">
        <f>1009714940</f>
        <v>1.00971494E9</v>
      </c>
      <c r="W287" s="32" t="str">
        <f>"－"</f>
        <v>－</v>
      </c>
      <c r="X287" s="36" t="n">
        <f>20</f>
        <v>20.0</v>
      </c>
    </row>
    <row r="288">
      <c r="A288" s="27" t="s">
        <v>42</v>
      </c>
      <c r="B288" s="27" t="s">
        <v>909</v>
      </c>
      <c r="C288" s="27" t="s">
        <v>910</v>
      </c>
      <c r="D288" s="27" t="s">
        <v>911</v>
      </c>
      <c r="E288" s="28" t="s">
        <v>46</v>
      </c>
      <c r="F288" s="29" t="s">
        <v>46</v>
      </c>
      <c r="G288" s="30" t="s">
        <v>46</v>
      </c>
      <c r="H288" s="31"/>
      <c r="I288" s="31" t="s">
        <v>47</v>
      </c>
      <c r="J288" s="32" t="n">
        <v>1.0</v>
      </c>
      <c r="K288" s="33" t="n">
        <f>2077</f>
        <v>2077.0</v>
      </c>
      <c r="L288" s="34" t="s">
        <v>48</v>
      </c>
      <c r="M288" s="33" t="n">
        <f>2110</f>
        <v>2110.0</v>
      </c>
      <c r="N288" s="34" t="s">
        <v>99</v>
      </c>
      <c r="O288" s="33" t="n">
        <f>2034</f>
        <v>2034.0</v>
      </c>
      <c r="P288" s="34" t="s">
        <v>103</v>
      </c>
      <c r="Q288" s="33" t="n">
        <f>2082</f>
        <v>2082.0</v>
      </c>
      <c r="R288" s="34" t="s">
        <v>51</v>
      </c>
      <c r="S288" s="35" t="n">
        <f>2076.15</f>
        <v>2076.15</v>
      </c>
      <c r="T288" s="32" t="n">
        <f>420155</f>
        <v>420155.0</v>
      </c>
      <c r="U288" s="32" t="n">
        <f>341942</f>
        <v>341942.0</v>
      </c>
      <c r="V288" s="32" t="n">
        <f>866737789</f>
        <v>8.66737789E8</v>
      </c>
      <c r="W288" s="32" t="n">
        <f>704356602</f>
        <v>7.04356602E8</v>
      </c>
      <c r="X288" s="36" t="n">
        <f>20</f>
        <v>20.0</v>
      </c>
    </row>
    <row r="289">
      <c r="A289" s="27" t="s">
        <v>42</v>
      </c>
      <c r="B289" s="27" t="s">
        <v>912</v>
      </c>
      <c r="C289" s="27" t="s">
        <v>913</v>
      </c>
      <c r="D289" s="27" t="s">
        <v>914</v>
      </c>
      <c r="E289" s="28" t="s">
        <v>46</v>
      </c>
      <c r="F289" s="29" t="s">
        <v>46</v>
      </c>
      <c r="G289" s="30" t="s">
        <v>46</v>
      </c>
      <c r="H289" s="31"/>
      <c r="I289" s="31" t="s">
        <v>47</v>
      </c>
      <c r="J289" s="32" t="n">
        <v>10.0</v>
      </c>
      <c r="K289" s="33" t="n">
        <f>2000</f>
        <v>2000.0</v>
      </c>
      <c r="L289" s="34" t="s">
        <v>48</v>
      </c>
      <c r="M289" s="33" t="n">
        <f>2898.5</f>
        <v>2898.5</v>
      </c>
      <c r="N289" s="34" t="s">
        <v>398</v>
      </c>
      <c r="O289" s="33" t="n">
        <f>1840.5</f>
        <v>1840.5</v>
      </c>
      <c r="P289" s="34" t="s">
        <v>103</v>
      </c>
      <c r="Q289" s="33" t="n">
        <f>2247</f>
        <v>2247.0</v>
      </c>
      <c r="R289" s="34" t="s">
        <v>51</v>
      </c>
      <c r="S289" s="35" t="n">
        <f>2089.28</f>
        <v>2089.28</v>
      </c>
      <c r="T289" s="32" t="n">
        <f>3356260</f>
        <v>3356260.0</v>
      </c>
      <c r="U289" s="32" t="n">
        <f>15000</f>
        <v>15000.0</v>
      </c>
      <c r="V289" s="32" t="n">
        <f>7705056275</f>
        <v>7.705056275E9</v>
      </c>
      <c r="W289" s="32" t="n">
        <f>32487500</f>
        <v>3.24875E7</v>
      </c>
      <c r="X289" s="36" t="n">
        <f>20</f>
        <v>20.0</v>
      </c>
    </row>
    <row r="290">
      <c r="A290" s="27" t="s">
        <v>42</v>
      </c>
      <c r="B290" s="27" t="s">
        <v>915</v>
      </c>
      <c r="C290" s="27" t="s">
        <v>916</v>
      </c>
      <c r="D290" s="27" t="s">
        <v>917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10.0</v>
      </c>
      <c r="K290" s="33" t="n">
        <f>790.4</f>
        <v>790.4</v>
      </c>
      <c r="L290" s="34" t="s">
        <v>48</v>
      </c>
      <c r="M290" s="33" t="n">
        <f>794</f>
        <v>794.0</v>
      </c>
      <c r="N290" s="34" t="s">
        <v>103</v>
      </c>
      <c r="O290" s="33" t="n">
        <f>782.2</f>
        <v>782.2</v>
      </c>
      <c r="P290" s="34" t="s">
        <v>62</v>
      </c>
      <c r="Q290" s="33" t="n">
        <f>785</f>
        <v>785.0</v>
      </c>
      <c r="R290" s="34" t="s">
        <v>51</v>
      </c>
      <c r="S290" s="35" t="n">
        <f>787.21</f>
        <v>787.21</v>
      </c>
      <c r="T290" s="32" t="n">
        <f>39200</f>
        <v>39200.0</v>
      </c>
      <c r="U290" s="32" t="n">
        <f>60</f>
        <v>60.0</v>
      </c>
      <c r="V290" s="32" t="n">
        <f>30887266</f>
        <v>3.0887266E7</v>
      </c>
      <c r="W290" s="32" t="n">
        <f>47166</f>
        <v>47166.0</v>
      </c>
      <c r="X290" s="36" t="n">
        <f>20</f>
        <v>20.0</v>
      </c>
    </row>
    <row r="291">
      <c r="A291" s="27" t="s">
        <v>42</v>
      </c>
      <c r="B291" s="27" t="s">
        <v>918</v>
      </c>
      <c r="C291" s="27" t="s">
        <v>919</v>
      </c>
      <c r="D291" s="27" t="s">
        <v>920</v>
      </c>
      <c r="E291" s="28" t="s">
        <v>46</v>
      </c>
      <c r="F291" s="29" t="s">
        <v>46</v>
      </c>
      <c r="G291" s="30" t="s">
        <v>46</v>
      </c>
      <c r="H291" s="31"/>
      <c r="I291" s="31" t="s">
        <v>47</v>
      </c>
      <c r="J291" s="32" t="n">
        <v>10.0</v>
      </c>
      <c r="K291" s="33" t="n">
        <f>1990</f>
        <v>1990.0</v>
      </c>
      <c r="L291" s="34" t="s">
        <v>48</v>
      </c>
      <c r="M291" s="33" t="n">
        <f>2033</f>
        <v>2033.0</v>
      </c>
      <c r="N291" s="34" t="s">
        <v>70</v>
      </c>
      <c r="O291" s="33" t="n">
        <f>1950</f>
        <v>1950.0</v>
      </c>
      <c r="P291" s="34" t="s">
        <v>103</v>
      </c>
      <c r="Q291" s="33" t="n">
        <f>1995</f>
        <v>1995.0</v>
      </c>
      <c r="R291" s="34" t="s">
        <v>51</v>
      </c>
      <c r="S291" s="35" t="n">
        <f>1993.63</f>
        <v>1993.63</v>
      </c>
      <c r="T291" s="32" t="n">
        <f>3410300</f>
        <v>3410300.0</v>
      </c>
      <c r="U291" s="32" t="n">
        <f>3192140</f>
        <v>3192140.0</v>
      </c>
      <c r="V291" s="32" t="n">
        <f>6768838180</f>
        <v>6.76883818E9</v>
      </c>
      <c r="W291" s="32" t="n">
        <f>6336164760</f>
        <v>6.33616476E9</v>
      </c>
      <c r="X291" s="36" t="n">
        <f>20</f>
        <v>20.0</v>
      </c>
    </row>
    <row r="292">
      <c r="A292" s="27" t="s">
        <v>42</v>
      </c>
      <c r="B292" s="27" t="s">
        <v>921</v>
      </c>
      <c r="C292" s="27" t="s">
        <v>922</v>
      </c>
      <c r="D292" s="27" t="s">
        <v>923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10.0</v>
      </c>
      <c r="K292" s="33" t="n">
        <f>1988</f>
        <v>1988.0</v>
      </c>
      <c r="L292" s="34" t="s">
        <v>48</v>
      </c>
      <c r="M292" s="33" t="n">
        <f>2019</f>
        <v>2019.0</v>
      </c>
      <c r="N292" s="34" t="s">
        <v>99</v>
      </c>
      <c r="O292" s="33" t="n">
        <f>1947</f>
        <v>1947.0</v>
      </c>
      <c r="P292" s="34" t="s">
        <v>103</v>
      </c>
      <c r="Q292" s="33" t="n">
        <f>2000</f>
        <v>2000.0</v>
      </c>
      <c r="R292" s="34" t="s">
        <v>51</v>
      </c>
      <c r="S292" s="35" t="n">
        <f>1989.93</f>
        <v>1989.93</v>
      </c>
      <c r="T292" s="32" t="n">
        <f>4605690</f>
        <v>4605690.0</v>
      </c>
      <c r="U292" s="32" t="n">
        <f>3904630</f>
        <v>3904630.0</v>
      </c>
      <c r="V292" s="32" t="n">
        <f>9174810915</f>
        <v>9.174810915E9</v>
      </c>
      <c r="W292" s="32" t="n">
        <f>7781682570</f>
        <v>7.78168257E9</v>
      </c>
      <c r="X292" s="36" t="n">
        <f>20</f>
        <v>20.0</v>
      </c>
    </row>
    <row r="293">
      <c r="A293" s="27" t="s">
        <v>42</v>
      </c>
      <c r="B293" s="27" t="s">
        <v>924</v>
      </c>
      <c r="C293" s="27" t="s">
        <v>925</v>
      </c>
      <c r="D293" s="27" t="s">
        <v>926</v>
      </c>
      <c r="E293" s="28" t="s">
        <v>46</v>
      </c>
      <c r="F293" s="29" t="s">
        <v>46</v>
      </c>
      <c r="G293" s="30" t="s">
        <v>46</v>
      </c>
      <c r="H293" s="31"/>
      <c r="I293" s="31" t="s">
        <v>47</v>
      </c>
      <c r="J293" s="32" t="n">
        <v>10.0</v>
      </c>
      <c r="K293" s="33" t="n">
        <f>3092</f>
        <v>3092.0</v>
      </c>
      <c r="L293" s="34" t="s">
        <v>48</v>
      </c>
      <c r="M293" s="33" t="n">
        <f>3253</f>
        <v>3253.0</v>
      </c>
      <c r="N293" s="34" t="s">
        <v>51</v>
      </c>
      <c r="O293" s="33" t="n">
        <f>3077</f>
        <v>3077.0</v>
      </c>
      <c r="P293" s="34" t="s">
        <v>50</v>
      </c>
      <c r="Q293" s="33" t="n">
        <f>3208</f>
        <v>3208.0</v>
      </c>
      <c r="R293" s="34" t="s">
        <v>51</v>
      </c>
      <c r="S293" s="35" t="n">
        <f>3167.7</f>
        <v>3167.7</v>
      </c>
      <c r="T293" s="32" t="n">
        <f>786440</f>
        <v>786440.0</v>
      </c>
      <c r="U293" s="32" t="n">
        <f>652420</f>
        <v>652420.0</v>
      </c>
      <c r="V293" s="32" t="n">
        <f>2504569128</f>
        <v>2.504569128E9</v>
      </c>
      <c r="W293" s="32" t="n">
        <f>2081034758</f>
        <v>2.081034758E9</v>
      </c>
      <c r="X293" s="36" t="n">
        <f>20</f>
        <v>20.0</v>
      </c>
    </row>
    <row r="294">
      <c r="A294" s="27" t="s">
        <v>42</v>
      </c>
      <c r="B294" s="27" t="s">
        <v>927</v>
      </c>
      <c r="C294" s="27" t="s">
        <v>928</v>
      </c>
      <c r="D294" s="27" t="s">
        <v>929</v>
      </c>
      <c r="E294" s="28" t="s">
        <v>46</v>
      </c>
      <c r="F294" s="29" t="s">
        <v>46</v>
      </c>
      <c r="G294" s="30" t="s">
        <v>46</v>
      </c>
      <c r="H294" s="31"/>
      <c r="I294" s="31" t="s">
        <v>47</v>
      </c>
      <c r="J294" s="32" t="n">
        <v>1.0</v>
      </c>
      <c r="K294" s="33" t="n">
        <f>27400</f>
        <v>27400.0</v>
      </c>
      <c r="L294" s="34" t="s">
        <v>48</v>
      </c>
      <c r="M294" s="33" t="n">
        <f>28605</f>
        <v>28605.0</v>
      </c>
      <c r="N294" s="34" t="s">
        <v>70</v>
      </c>
      <c r="O294" s="33" t="n">
        <f>27245</f>
        <v>27245.0</v>
      </c>
      <c r="P294" s="34" t="s">
        <v>48</v>
      </c>
      <c r="Q294" s="33" t="n">
        <f>28495</f>
        <v>28495.0</v>
      </c>
      <c r="R294" s="34" t="s">
        <v>51</v>
      </c>
      <c r="S294" s="35" t="n">
        <f>27947.75</f>
        <v>27947.75</v>
      </c>
      <c r="T294" s="32" t="n">
        <f>506502</f>
        <v>506502.0</v>
      </c>
      <c r="U294" s="32" t="n">
        <f>60061</f>
        <v>60061.0</v>
      </c>
      <c r="V294" s="32" t="n">
        <f>14131361198</f>
        <v>1.4131361198E10</v>
      </c>
      <c r="W294" s="32" t="n">
        <f>1675452808</f>
        <v>1.675452808E9</v>
      </c>
      <c r="X294" s="36" t="n">
        <f>20</f>
        <v>20.0</v>
      </c>
    </row>
    <row r="295">
      <c r="A295" s="27" t="s">
        <v>42</v>
      </c>
      <c r="B295" s="27" t="s">
        <v>930</v>
      </c>
      <c r="C295" s="27" t="s">
        <v>931</v>
      </c>
      <c r="D295" s="27" t="s">
        <v>932</v>
      </c>
      <c r="E295" s="28" t="s">
        <v>46</v>
      </c>
      <c r="F295" s="29" t="s">
        <v>46</v>
      </c>
      <c r="G295" s="30" t="s">
        <v>46</v>
      </c>
      <c r="H295" s="31"/>
      <c r="I295" s="31" t="s">
        <v>47</v>
      </c>
      <c r="J295" s="32" t="n">
        <v>1.0</v>
      </c>
      <c r="K295" s="33" t="n">
        <f>23040</f>
        <v>23040.0</v>
      </c>
      <c r="L295" s="34" t="s">
        <v>48</v>
      </c>
      <c r="M295" s="33" t="n">
        <f>24070</f>
        <v>24070.0</v>
      </c>
      <c r="N295" s="34" t="s">
        <v>70</v>
      </c>
      <c r="O295" s="33" t="n">
        <f>22975</f>
        <v>22975.0</v>
      </c>
      <c r="P295" s="34" t="s">
        <v>48</v>
      </c>
      <c r="Q295" s="33" t="n">
        <f>24000</f>
        <v>24000.0</v>
      </c>
      <c r="R295" s="34" t="s">
        <v>51</v>
      </c>
      <c r="S295" s="35" t="n">
        <f>23545</f>
        <v>23545.0</v>
      </c>
      <c r="T295" s="32" t="n">
        <f>380021</f>
        <v>380021.0</v>
      </c>
      <c r="U295" s="32" t="n">
        <f>85683</f>
        <v>85683.0</v>
      </c>
      <c r="V295" s="32" t="n">
        <f>9007778650</f>
        <v>9.00777865E9</v>
      </c>
      <c r="W295" s="32" t="n">
        <f>2062367860</f>
        <v>2.06236786E9</v>
      </c>
      <c r="X295" s="36" t="n">
        <f>20</f>
        <v>20.0</v>
      </c>
    </row>
    <row r="296">
      <c r="A296" s="27" t="s">
        <v>42</v>
      </c>
      <c r="B296" s="27" t="s">
        <v>933</v>
      </c>
      <c r="C296" s="27" t="s">
        <v>934</v>
      </c>
      <c r="D296" s="27" t="s">
        <v>935</v>
      </c>
      <c r="E296" s="28" t="s">
        <v>46</v>
      </c>
      <c r="F296" s="29" t="s">
        <v>46</v>
      </c>
      <c r="G296" s="30" t="s">
        <v>46</v>
      </c>
      <c r="H296" s="31"/>
      <c r="I296" s="31" t="s">
        <v>47</v>
      </c>
      <c r="J296" s="32" t="n">
        <v>1.0</v>
      </c>
      <c r="K296" s="33" t="n">
        <f>40820</f>
        <v>40820.0</v>
      </c>
      <c r="L296" s="34" t="s">
        <v>48</v>
      </c>
      <c r="M296" s="33" t="n">
        <f>42000</f>
        <v>42000.0</v>
      </c>
      <c r="N296" s="34" t="s">
        <v>69</v>
      </c>
      <c r="O296" s="33" t="n">
        <f>40820</f>
        <v>40820.0</v>
      </c>
      <c r="P296" s="34" t="s">
        <v>48</v>
      </c>
      <c r="Q296" s="33" t="n">
        <f>41880</f>
        <v>41880.0</v>
      </c>
      <c r="R296" s="34" t="s">
        <v>61</v>
      </c>
      <c r="S296" s="35" t="n">
        <f>41688.33</f>
        <v>41688.33</v>
      </c>
      <c r="T296" s="32" t="n">
        <f>16</f>
        <v>16.0</v>
      </c>
      <c r="U296" s="32" t="str">
        <f>"－"</f>
        <v>－</v>
      </c>
      <c r="V296" s="32" t="n">
        <f>669180</f>
        <v>669180.0</v>
      </c>
      <c r="W296" s="32" t="str">
        <f>"－"</f>
        <v>－</v>
      </c>
      <c r="X296" s="36" t="n">
        <f>6</f>
        <v>6.0</v>
      </c>
    </row>
    <row r="297">
      <c r="A297" s="27" t="s">
        <v>42</v>
      </c>
      <c r="B297" s="27" t="s">
        <v>936</v>
      </c>
      <c r="C297" s="27" t="s">
        <v>937</v>
      </c>
      <c r="D297" s="27" t="s">
        <v>938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1.0</v>
      </c>
      <c r="K297" s="33" t="n">
        <f>2178</f>
        <v>2178.0</v>
      </c>
      <c r="L297" s="34" t="s">
        <v>48</v>
      </c>
      <c r="M297" s="33" t="n">
        <f>2189</f>
        <v>2189.0</v>
      </c>
      <c r="N297" s="34" t="s">
        <v>51</v>
      </c>
      <c r="O297" s="33" t="n">
        <f>2169</f>
        <v>2169.0</v>
      </c>
      <c r="P297" s="34" t="s">
        <v>50</v>
      </c>
      <c r="Q297" s="33" t="n">
        <f>2185</f>
        <v>2185.0</v>
      </c>
      <c r="R297" s="34" t="s">
        <v>51</v>
      </c>
      <c r="S297" s="35" t="n">
        <f>2182.1</f>
        <v>2182.1</v>
      </c>
      <c r="T297" s="32" t="n">
        <f>911711</f>
        <v>911711.0</v>
      </c>
      <c r="U297" s="32" t="n">
        <f>637752</f>
        <v>637752.0</v>
      </c>
      <c r="V297" s="32" t="n">
        <f>1988347973</f>
        <v>1.988347973E9</v>
      </c>
      <c r="W297" s="32" t="n">
        <f>1392204645</f>
        <v>1.392204645E9</v>
      </c>
      <c r="X297" s="36" t="n">
        <f>20</f>
        <v>20.0</v>
      </c>
    </row>
    <row r="298">
      <c r="A298" s="27" t="s">
        <v>42</v>
      </c>
      <c r="B298" s="27" t="s">
        <v>939</v>
      </c>
      <c r="C298" s="27" t="s">
        <v>940</v>
      </c>
      <c r="D298" s="27" t="s">
        <v>941</v>
      </c>
      <c r="E298" s="28" t="s">
        <v>46</v>
      </c>
      <c r="F298" s="29" t="s">
        <v>46</v>
      </c>
      <c r="G298" s="30" t="s">
        <v>46</v>
      </c>
      <c r="H298" s="31"/>
      <c r="I298" s="31" t="s">
        <v>47</v>
      </c>
      <c r="J298" s="32" t="n">
        <v>1.0</v>
      </c>
      <c r="K298" s="33" t="n">
        <f>3260</f>
        <v>3260.0</v>
      </c>
      <c r="L298" s="34" t="s">
        <v>48</v>
      </c>
      <c r="M298" s="33" t="n">
        <f>3329</f>
        <v>3329.0</v>
      </c>
      <c r="N298" s="34" t="s">
        <v>61</v>
      </c>
      <c r="O298" s="33" t="n">
        <f>3242</f>
        <v>3242.0</v>
      </c>
      <c r="P298" s="34" t="s">
        <v>50</v>
      </c>
      <c r="Q298" s="33" t="n">
        <f>3318</f>
        <v>3318.0</v>
      </c>
      <c r="R298" s="34" t="s">
        <v>51</v>
      </c>
      <c r="S298" s="35" t="n">
        <f>3287.7</f>
        <v>3287.7</v>
      </c>
      <c r="T298" s="32" t="n">
        <f>1591098</f>
        <v>1591098.0</v>
      </c>
      <c r="U298" s="32" t="n">
        <f>1358164</f>
        <v>1358164.0</v>
      </c>
      <c r="V298" s="32" t="n">
        <f>5254769305</f>
        <v>5.254769305E9</v>
      </c>
      <c r="W298" s="32" t="n">
        <f>4487358560</f>
        <v>4.48735856E9</v>
      </c>
      <c r="X298" s="36" t="n">
        <f>20</f>
        <v>20.0</v>
      </c>
    </row>
    <row r="299">
      <c r="A299" s="27" t="s">
        <v>42</v>
      </c>
      <c r="B299" s="27" t="s">
        <v>942</v>
      </c>
      <c r="C299" s="27" t="s">
        <v>943</v>
      </c>
      <c r="D299" s="27" t="s">
        <v>944</v>
      </c>
      <c r="E299" s="28" t="s">
        <v>46</v>
      </c>
      <c r="F299" s="29" t="s">
        <v>46</v>
      </c>
      <c r="G299" s="30" t="s">
        <v>46</v>
      </c>
      <c r="H299" s="31"/>
      <c r="I299" s="31" t="s">
        <v>47</v>
      </c>
      <c r="J299" s="32" t="n">
        <v>10.0</v>
      </c>
      <c r="K299" s="33" t="n">
        <f>353.8</f>
        <v>353.8</v>
      </c>
      <c r="L299" s="34" t="s">
        <v>48</v>
      </c>
      <c r="M299" s="33" t="n">
        <f>364.2</f>
        <v>364.2</v>
      </c>
      <c r="N299" s="34" t="s">
        <v>70</v>
      </c>
      <c r="O299" s="33" t="n">
        <f>350.3</f>
        <v>350.3</v>
      </c>
      <c r="P299" s="34" t="s">
        <v>50</v>
      </c>
      <c r="Q299" s="33" t="n">
        <f>362.9</f>
        <v>362.9</v>
      </c>
      <c r="R299" s="34" t="s">
        <v>51</v>
      </c>
      <c r="S299" s="35" t="n">
        <f>358.41</f>
        <v>358.41</v>
      </c>
      <c r="T299" s="32" t="n">
        <f>20615540</f>
        <v>2.061554E7</v>
      </c>
      <c r="U299" s="32" t="n">
        <f>10871110</f>
        <v>1.087111E7</v>
      </c>
      <c r="V299" s="32" t="n">
        <f>7413515904</f>
        <v>7.413515904E9</v>
      </c>
      <c r="W299" s="32" t="n">
        <f>3913571947</f>
        <v>3.913571947E9</v>
      </c>
      <c r="X299" s="36" t="n">
        <f>20</f>
        <v>20.0</v>
      </c>
    </row>
    <row r="300">
      <c r="A300" s="27" t="s">
        <v>42</v>
      </c>
      <c r="B300" s="27" t="s">
        <v>945</v>
      </c>
      <c r="C300" s="27" t="s">
        <v>946</v>
      </c>
      <c r="D300" s="27" t="s">
        <v>947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1.0</v>
      </c>
      <c r="K300" s="33" t="n">
        <f>3125</f>
        <v>3125.0</v>
      </c>
      <c r="L300" s="34" t="s">
        <v>48</v>
      </c>
      <c r="M300" s="33" t="n">
        <f>3235</f>
        <v>3235.0</v>
      </c>
      <c r="N300" s="34" t="s">
        <v>214</v>
      </c>
      <c r="O300" s="33" t="n">
        <f>3100</f>
        <v>3100.0</v>
      </c>
      <c r="P300" s="34" t="s">
        <v>70</v>
      </c>
      <c r="Q300" s="33" t="n">
        <f>3163</f>
        <v>3163.0</v>
      </c>
      <c r="R300" s="34" t="s">
        <v>51</v>
      </c>
      <c r="S300" s="35" t="n">
        <f>3174.3</f>
        <v>3174.3</v>
      </c>
      <c r="T300" s="32" t="n">
        <f>6093741</f>
        <v>6093741.0</v>
      </c>
      <c r="U300" s="32" t="n">
        <f>284020</f>
        <v>284020.0</v>
      </c>
      <c r="V300" s="32" t="n">
        <f>19307868854</f>
        <v>1.9307868854E10</v>
      </c>
      <c r="W300" s="32" t="n">
        <f>903330718</f>
        <v>9.03330718E8</v>
      </c>
      <c r="X300" s="36" t="n">
        <f>20</f>
        <v>20.0</v>
      </c>
    </row>
    <row r="301">
      <c r="A301" s="27" t="s">
        <v>42</v>
      </c>
      <c r="B301" s="27" t="s">
        <v>948</v>
      </c>
      <c r="C301" s="27" t="s">
        <v>949</v>
      </c>
      <c r="D301" s="27" t="s">
        <v>950</v>
      </c>
      <c r="E301" s="28" t="s">
        <v>46</v>
      </c>
      <c r="F301" s="29" t="s">
        <v>46</v>
      </c>
      <c r="G301" s="30" t="s">
        <v>46</v>
      </c>
      <c r="H301" s="31"/>
      <c r="I301" s="31" t="s">
        <v>47</v>
      </c>
      <c r="J301" s="32" t="n">
        <v>1.0</v>
      </c>
      <c r="K301" s="33" t="n">
        <f>916</f>
        <v>916.0</v>
      </c>
      <c r="L301" s="34" t="s">
        <v>48</v>
      </c>
      <c r="M301" s="33" t="n">
        <f>950</f>
        <v>950.0</v>
      </c>
      <c r="N301" s="34" t="s">
        <v>70</v>
      </c>
      <c r="O301" s="33" t="n">
        <f>888</f>
        <v>888.0</v>
      </c>
      <c r="P301" s="34" t="s">
        <v>103</v>
      </c>
      <c r="Q301" s="33" t="n">
        <f>916</f>
        <v>916.0</v>
      </c>
      <c r="R301" s="34" t="s">
        <v>51</v>
      </c>
      <c r="S301" s="35" t="n">
        <f>908.5</f>
        <v>908.5</v>
      </c>
      <c r="T301" s="32" t="n">
        <f>428540</f>
        <v>428540.0</v>
      </c>
      <c r="U301" s="32" t="n">
        <f>135758</f>
        <v>135758.0</v>
      </c>
      <c r="V301" s="32" t="n">
        <f>386463851</f>
        <v>3.86463851E8</v>
      </c>
      <c r="W301" s="32" t="n">
        <f>121340528</f>
        <v>1.21340528E8</v>
      </c>
      <c r="X301" s="36" t="n">
        <f>20</f>
        <v>20.0</v>
      </c>
    </row>
    <row r="302">
      <c r="A302" s="27" t="s">
        <v>42</v>
      </c>
      <c r="B302" s="27" t="s">
        <v>951</v>
      </c>
      <c r="C302" s="27" t="s">
        <v>952</v>
      </c>
      <c r="D302" s="27" t="s">
        <v>953</v>
      </c>
      <c r="E302" s="28" t="s">
        <v>46</v>
      </c>
      <c r="F302" s="29" t="s">
        <v>46</v>
      </c>
      <c r="G302" s="30" t="s">
        <v>46</v>
      </c>
      <c r="H302" s="31"/>
      <c r="I302" s="31" t="s">
        <v>47</v>
      </c>
      <c r="J302" s="32" t="n">
        <v>1.0</v>
      </c>
      <c r="K302" s="33" t="n">
        <f>1092</f>
        <v>1092.0</v>
      </c>
      <c r="L302" s="34" t="s">
        <v>48</v>
      </c>
      <c r="M302" s="33" t="n">
        <f>1114</f>
        <v>1114.0</v>
      </c>
      <c r="N302" s="34" t="s">
        <v>70</v>
      </c>
      <c r="O302" s="33" t="n">
        <f>1069</f>
        <v>1069.0</v>
      </c>
      <c r="P302" s="34" t="s">
        <v>103</v>
      </c>
      <c r="Q302" s="33" t="n">
        <f>1094</f>
        <v>1094.0</v>
      </c>
      <c r="R302" s="34" t="s">
        <v>51</v>
      </c>
      <c r="S302" s="35" t="n">
        <f>1093.35</f>
        <v>1093.35</v>
      </c>
      <c r="T302" s="32" t="n">
        <f>1736201</f>
        <v>1736201.0</v>
      </c>
      <c r="U302" s="32" t="n">
        <f>1667630</f>
        <v>1667630.0</v>
      </c>
      <c r="V302" s="32" t="n">
        <f>1885986907</f>
        <v>1.885986907E9</v>
      </c>
      <c r="W302" s="32" t="n">
        <f>1811344439</f>
        <v>1.811344439E9</v>
      </c>
      <c r="X302" s="36" t="n">
        <f>20</f>
        <v>20.0</v>
      </c>
    </row>
    <row r="303">
      <c r="A303" s="27" t="s">
        <v>42</v>
      </c>
      <c r="B303" s="27" t="s">
        <v>954</v>
      </c>
      <c r="C303" s="27" t="s">
        <v>955</v>
      </c>
      <c r="D303" s="27" t="s">
        <v>956</v>
      </c>
      <c r="E303" s="28" t="s">
        <v>46</v>
      </c>
      <c r="F303" s="29" t="s">
        <v>46</v>
      </c>
      <c r="G303" s="30" t="s">
        <v>46</v>
      </c>
      <c r="H303" s="31"/>
      <c r="I303" s="31" t="s">
        <v>47</v>
      </c>
      <c r="J303" s="32" t="n">
        <v>10.0</v>
      </c>
      <c r="K303" s="33" t="n">
        <f>417.1</f>
        <v>417.1</v>
      </c>
      <c r="L303" s="34" t="s">
        <v>48</v>
      </c>
      <c r="M303" s="33" t="n">
        <f>425</f>
        <v>425.0</v>
      </c>
      <c r="N303" s="34" t="s">
        <v>70</v>
      </c>
      <c r="O303" s="33" t="n">
        <f>399.4</f>
        <v>399.4</v>
      </c>
      <c r="P303" s="34" t="s">
        <v>50</v>
      </c>
      <c r="Q303" s="33" t="n">
        <f>415.5</f>
        <v>415.5</v>
      </c>
      <c r="R303" s="34" t="s">
        <v>70</v>
      </c>
      <c r="S303" s="35" t="n">
        <f>412.69</f>
        <v>412.69</v>
      </c>
      <c r="T303" s="32" t="n">
        <f>5320</f>
        <v>5320.0</v>
      </c>
      <c r="U303" s="32" t="str">
        <f>"－"</f>
        <v>－</v>
      </c>
      <c r="V303" s="32" t="n">
        <f>2192327</f>
        <v>2192327.0</v>
      </c>
      <c r="W303" s="32" t="str">
        <f>"－"</f>
        <v>－</v>
      </c>
      <c r="X303" s="36" t="n">
        <f>14</f>
        <v>14.0</v>
      </c>
    </row>
    <row r="304">
      <c r="A304" s="27" t="s">
        <v>42</v>
      </c>
      <c r="B304" s="27" t="s">
        <v>957</v>
      </c>
      <c r="C304" s="27" t="s">
        <v>958</v>
      </c>
      <c r="D304" s="27" t="s">
        <v>959</v>
      </c>
      <c r="E304" s="28" t="s">
        <v>46</v>
      </c>
      <c r="F304" s="29" t="s">
        <v>46</v>
      </c>
      <c r="G304" s="30" t="s">
        <v>46</v>
      </c>
      <c r="H304" s="31"/>
      <c r="I304" s="31" t="s">
        <v>47</v>
      </c>
      <c r="J304" s="32" t="n">
        <v>1.0</v>
      </c>
      <c r="K304" s="33" t="n">
        <f>5931</f>
        <v>5931.0</v>
      </c>
      <c r="L304" s="34" t="s">
        <v>48</v>
      </c>
      <c r="M304" s="33" t="n">
        <f>6298</f>
        <v>6298.0</v>
      </c>
      <c r="N304" s="34" t="s">
        <v>70</v>
      </c>
      <c r="O304" s="33" t="n">
        <f>5826</f>
        <v>5826.0</v>
      </c>
      <c r="P304" s="34" t="s">
        <v>48</v>
      </c>
      <c r="Q304" s="33" t="n">
        <f>6260</f>
        <v>6260.0</v>
      </c>
      <c r="R304" s="34" t="s">
        <v>51</v>
      </c>
      <c r="S304" s="35" t="n">
        <f>6099.55</f>
        <v>6099.55</v>
      </c>
      <c r="T304" s="32" t="n">
        <f>242410</f>
        <v>242410.0</v>
      </c>
      <c r="U304" s="32" t="n">
        <f>230</f>
        <v>230.0</v>
      </c>
      <c r="V304" s="32" t="n">
        <f>1478560015</f>
        <v>1.478560015E9</v>
      </c>
      <c r="W304" s="32" t="n">
        <f>1368020</f>
        <v>1368020.0</v>
      </c>
      <c r="X304" s="36" t="n">
        <f>20</f>
        <v>20.0</v>
      </c>
    </row>
    <row r="305">
      <c r="A305" s="27" t="s">
        <v>42</v>
      </c>
      <c r="B305" s="27" t="s">
        <v>960</v>
      </c>
      <c r="C305" s="27" t="s">
        <v>961</v>
      </c>
      <c r="D305" s="27" t="s">
        <v>962</v>
      </c>
      <c r="E305" s="28" t="s">
        <v>46</v>
      </c>
      <c r="F305" s="29" t="s">
        <v>46</v>
      </c>
      <c r="G305" s="30" t="s">
        <v>46</v>
      </c>
      <c r="H305" s="31"/>
      <c r="I305" s="31" t="s">
        <v>47</v>
      </c>
      <c r="J305" s="32" t="n">
        <v>1.0</v>
      </c>
      <c r="K305" s="33" t="n">
        <f>3536</f>
        <v>3536.0</v>
      </c>
      <c r="L305" s="34" t="s">
        <v>48</v>
      </c>
      <c r="M305" s="33" t="n">
        <f>3702</f>
        <v>3702.0</v>
      </c>
      <c r="N305" s="34" t="s">
        <v>195</v>
      </c>
      <c r="O305" s="33" t="n">
        <f>3501</f>
        <v>3501.0</v>
      </c>
      <c r="P305" s="34" t="s">
        <v>50</v>
      </c>
      <c r="Q305" s="33" t="n">
        <f>3693</f>
        <v>3693.0</v>
      </c>
      <c r="R305" s="34" t="s">
        <v>51</v>
      </c>
      <c r="S305" s="35" t="n">
        <f>3618.45</f>
        <v>3618.45</v>
      </c>
      <c r="T305" s="32" t="n">
        <f>1164933</f>
        <v>1164933.0</v>
      </c>
      <c r="U305" s="32" t="n">
        <f>445700</f>
        <v>445700.0</v>
      </c>
      <c r="V305" s="32" t="n">
        <f>4238008820</f>
        <v>4.23800882E9</v>
      </c>
      <c r="W305" s="32" t="n">
        <f>1632515848</f>
        <v>1.632515848E9</v>
      </c>
      <c r="X305" s="36" t="n">
        <f>20</f>
        <v>20.0</v>
      </c>
    </row>
    <row r="306">
      <c r="A306" s="27" t="s">
        <v>42</v>
      </c>
      <c r="B306" s="27" t="s">
        <v>963</v>
      </c>
      <c r="C306" s="27" t="s">
        <v>964</v>
      </c>
      <c r="D306" s="27" t="s">
        <v>965</v>
      </c>
      <c r="E306" s="28" t="s">
        <v>46</v>
      </c>
      <c r="F306" s="29" t="s">
        <v>46</v>
      </c>
      <c r="G306" s="30" t="s">
        <v>46</v>
      </c>
      <c r="H306" s="31"/>
      <c r="I306" s="31" t="s">
        <v>47</v>
      </c>
      <c r="J306" s="32" t="n">
        <v>1.0</v>
      </c>
      <c r="K306" s="33" t="n">
        <f>2430</f>
        <v>2430.0</v>
      </c>
      <c r="L306" s="34" t="s">
        <v>48</v>
      </c>
      <c r="M306" s="33" t="n">
        <f>2600</f>
        <v>2600.0</v>
      </c>
      <c r="N306" s="34" t="s">
        <v>70</v>
      </c>
      <c r="O306" s="33" t="n">
        <f>2349</f>
        <v>2349.0</v>
      </c>
      <c r="P306" s="34" t="s">
        <v>50</v>
      </c>
      <c r="Q306" s="33" t="n">
        <f>2507</f>
        <v>2507.0</v>
      </c>
      <c r="R306" s="34" t="s">
        <v>51</v>
      </c>
      <c r="S306" s="35" t="n">
        <f>2456.8</f>
        <v>2456.8</v>
      </c>
      <c r="T306" s="32" t="n">
        <f>3809</f>
        <v>3809.0</v>
      </c>
      <c r="U306" s="32" t="str">
        <f>"－"</f>
        <v>－</v>
      </c>
      <c r="V306" s="32" t="n">
        <f>9408758</f>
        <v>9408758.0</v>
      </c>
      <c r="W306" s="32" t="str">
        <f>"－"</f>
        <v>－</v>
      </c>
      <c r="X306" s="36" t="n">
        <f>20</f>
        <v>20.0</v>
      </c>
    </row>
    <row r="307">
      <c r="A307" s="27" t="s">
        <v>42</v>
      </c>
      <c r="B307" s="27" t="s">
        <v>966</v>
      </c>
      <c r="C307" s="27" t="s">
        <v>967</v>
      </c>
      <c r="D307" s="27" t="s">
        <v>968</v>
      </c>
      <c r="E307" s="28" t="s">
        <v>46</v>
      </c>
      <c r="F307" s="29" t="s">
        <v>46</v>
      </c>
      <c r="G307" s="30" t="s">
        <v>46</v>
      </c>
      <c r="H307" s="31"/>
      <c r="I307" s="31" t="s">
        <v>47</v>
      </c>
      <c r="J307" s="32" t="n">
        <v>1.0</v>
      </c>
      <c r="K307" s="33" t="n">
        <f>2204</f>
        <v>2204.0</v>
      </c>
      <c r="L307" s="34" t="s">
        <v>48</v>
      </c>
      <c r="M307" s="33" t="n">
        <f>2261</f>
        <v>2261.0</v>
      </c>
      <c r="N307" s="34" t="s">
        <v>50</v>
      </c>
      <c r="O307" s="33" t="n">
        <f>2165</f>
        <v>2165.0</v>
      </c>
      <c r="P307" s="34" t="s">
        <v>103</v>
      </c>
      <c r="Q307" s="33" t="n">
        <f>2212</f>
        <v>2212.0</v>
      </c>
      <c r="R307" s="34" t="s">
        <v>51</v>
      </c>
      <c r="S307" s="35" t="n">
        <f>2205.55</f>
        <v>2205.55</v>
      </c>
      <c r="T307" s="32" t="n">
        <f>14113</f>
        <v>14113.0</v>
      </c>
      <c r="U307" s="32" t="str">
        <f>"－"</f>
        <v>－</v>
      </c>
      <c r="V307" s="32" t="n">
        <f>31289643</f>
        <v>3.1289643E7</v>
      </c>
      <c r="W307" s="32" t="str">
        <f>"－"</f>
        <v>－</v>
      </c>
      <c r="X307" s="36" t="n">
        <f>20</f>
        <v>20.0</v>
      </c>
    </row>
    <row r="308">
      <c r="A308" s="27" t="s">
        <v>42</v>
      </c>
      <c r="B308" s="27" t="s">
        <v>969</v>
      </c>
      <c r="C308" s="27" t="s">
        <v>970</v>
      </c>
      <c r="D308" s="27" t="s">
        <v>971</v>
      </c>
      <c r="E308" s="28" t="s">
        <v>46</v>
      </c>
      <c r="F308" s="29" t="s">
        <v>46</v>
      </c>
      <c r="G308" s="30" t="s">
        <v>46</v>
      </c>
      <c r="H308" s="31"/>
      <c r="I308" s="31" t="s">
        <v>47</v>
      </c>
      <c r="J308" s="32" t="n">
        <v>10.0</v>
      </c>
      <c r="K308" s="33" t="n">
        <f>342</f>
        <v>342.0</v>
      </c>
      <c r="L308" s="34" t="s">
        <v>48</v>
      </c>
      <c r="M308" s="33" t="n">
        <f>349.6</f>
        <v>349.6</v>
      </c>
      <c r="N308" s="34" t="s">
        <v>49</v>
      </c>
      <c r="O308" s="33" t="n">
        <f>341.2</f>
        <v>341.2</v>
      </c>
      <c r="P308" s="34" t="s">
        <v>99</v>
      </c>
      <c r="Q308" s="33" t="n">
        <f>346</f>
        <v>346.0</v>
      </c>
      <c r="R308" s="34" t="s">
        <v>51</v>
      </c>
      <c r="S308" s="35" t="n">
        <f>344.8</f>
        <v>344.8</v>
      </c>
      <c r="T308" s="32" t="n">
        <f>9681190</f>
        <v>9681190.0</v>
      </c>
      <c r="U308" s="32" t="n">
        <f>7791330</f>
        <v>7791330.0</v>
      </c>
      <c r="V308" s="32" t="n">
        <f>3325055118</f>
        <v>3.325055118E9</v>
      </c>
      <c r="W308" s="32" t="n">
        <f>2672799000</f>
        <v>2.672799E9</v>
      </c>
      <c r="X308" s="36" t="n">
        <f>20</f>
        <v>20.0</v>
      </c>
    </row>
    <row r="309">
      <c r="A309" s="27" t="s">
        <v>42</v>
      </c>
      <c r="B309" s="27" t="s">
        <v>972</v>
      </c>
      <c r="C309" s="27" t="s">
        <v>973</v>
      </c>
      <c r="D309" s="27" t="s">
        <v>974</v>
      </c>
      <c r="E309" s="28" t="s">
        <v>46</v>
      </c>
      <c r="F309" s="29" t="s">
        <v>46</v>
      </c>
      <c r="G309" s="30" t="s">
        <v>46</v>
      </c>
      <c r="H309" s="31"/>
      <c r="I309" s="31" t="s">
        <v>47</v>
      </c>
      <c r="J309" s="32" t="n">
        <v>1.0</v>
      </c>
      <c r="K309" s="33" t="n">
        <f>1081</f>
        <v>1081.0</v>
      </c>
      <c r="L309" s="34" t="s">
        <v>48</v>
      </c>
      <c r="M309" s="33" t="n">
        <f>1134</f>
        <v>1134.0</v>
      </c>
      <c r="N309" s="34" t="s">
        <v>99</v>
      </c>
      <c r="O309" s="33" t="n">
        <f>1070</f>
        <v>1070.0</v>
      </c>
      <c r="P309" s="34" t="s">
        <v>50</v>
      </c>
      <c r="Q309" s="33" t="n">
        <f>1120</f>
        <v>1120.0</v>
      </c>
      <c r="R309" s="34" t="s">
        <v>51</v>
      </c>
      <c r="S309" s="35" t="n">
        <f>1110.25</f>
        <v>1110.25</v>
      </c>
      <c r="T309" s="32" t="n">
        <f>18959762</f>
        <v>1.8959762E7</v>
      </c>
      <c r="U309" s="32" t="n">
        <f>17099</f>
        <v>17099.0</v>
      </c>
      <c r="V309" s="32" t="n">
        <f>21088244798</f>
        <v>2.1088244798E10</v>
      </c>
      <c r="W309" s="32" t="n">
        <f>19224436</f>
        <v>1.9224436E7</v>
      </c>
      <c r="X309" s="36" t="n">
        <f>20</f>
        <v>20.0</v>
      </c>
    </row>
    <row r="310">
      <c r="A310" s="27" t="s">
        <v>42</v>
      </c>
      <c r="B310" s="27" t="s">
        <v>975</v>
      </c>
      <c r="C310" s="27" t="s">
        <v>976</v>
      </c>
      <c r="D310" s="27" t="s">
        <v>977</v>
      </c>
      <c r="E310" s="28" t="s">
        <v>46</v>
      </c>
      <c r="F310" s="29" t="s">
        <v>46</v>
      </c>
      <c r="G310" s="30" t="s">
        <v>46</v>
      </c>
      <c r="H310" s="31"/>
      <c r="I310" s="31" t="s">
        <v>47</v>
      </c>
      <c r="J310" s="32" t="n">
        <v>1.0</v>
      </c>
      <c r="K310" s="33" t="n">
        <f>1748</f>
        <v>1748.0</v>
      </c>
      <c r="L310" s="34" t="s">
        <v>48</v>
      </c>
      <c r="M310" s="33" t="n">
        <f>1778</f>
        <v>1778.0</v>
      </c>
      <c r="N310" s="34" t="s">
        <v>203</v>
      </c>
      <c r="O310" s="33" t="n">
        <f>1735</f>
        <v>1735.0</v>
      </c>
      <c r="P310" s="34" t="s">
        <v>50</v>
      </c>
      <c r="Q310" s="33" t="n">
        <f>1771</f>
        <v>1771.0</v>
      </c>
      <c r="R310" s="34" t="s">
        <v>51</v>
      </c>
      <c r="S310" s="35" t="n">
        <f>1762.45</f>
        <v>1762.45</v>
      </c>
      <c r="T310" s="32" t="n">
        <f>39207</f>
        <v>39207.0</v>
      </c>
      <c r="U310" s="32" t="str">
        <f>"－"</f>
        <v>－</v>
      </c>
      <c r="V310" s="32" t="n">
        <f>69142005</f>
        <v>6.9142005E7</v>
      </c>
      <c r="W310" s="32" t="str">
        <f>"－"</f>
        <v>－</v>
      </c>
      <c r="X310" s="36" t="n">
        <f>20</f>
        <v>20.0</v>
      </c>
    </row>
    <row r="311">
      <c r="A311" s="27" t="s">
        <v>42</v>
      </c>
      <c r="B311" s="27" t="s">
        <v>978</v>
      </c>
      <c r="C311" s="27" t="s">
        <v>979</v>
      </c>
      <c r="D311" s="27" t="s">
        <v>980</v>
      </c>
      <c r="E311" s="28" t="s">
        <v>46</v>
      </c>
      <c r="F311" s="29" t="s">
        <v>46</v>
      </c>
      <c r="G311" s="30" t="s">
        <v>46</v>
      </c>
      <c r="H311" s="31"/>
      <c r="I311" s="31" t="s">
        <v>47</v>
      </c>
      <c r="J311" s="32" t="n">
        <v>1.0</v>
      </c>
      <c r="K311" s="33" t="n">
        <f>2048</f>
        <v>2048.0</v>
      </c>
      <c r="L311" s="34" t="s">
        <v>48</v>
      </c>
      <c r="M311" s="33" t="n">
        <f>2075</f>
        <v>2075.0</v>
      </c>
      <c r="N311" s="34" t="s">
        <v>195</v>
      </c>
      <c r="O311" s="33" t="n">
        <f>2043</f>
        <v>2043.0</v>
      </c>
      <c r="P311" s="34" t="s">
        <v>50</v>
      </c>
      <c r="Q311" s="33" t="n">
        <f>2072</f>
        <v>2072.0</v>
      </c>
      <c r="R311" s="34" t="s">
        <v>51</v>
      </c>
      <c r="S311" s="35" t="n">
        <f>2054.25</f>
        <v>2054.25</v>
      </c>
      <c r="T311" s="32" t="n">
        <f>155111</f>
        <v>155111.0</v>
      </c>
      <c r="U311" s="32" t="n">
        <f>145000</f>
        <v>145000.0</v>
      </c>
      <c r="V311" s="32" t="n">
        <f>317674280</f>
        <v>3.1767428E8</v>
      </c>
      <c r="W311" s="32" t="n">
        <f>296887500</f>
        <v>2.968875E8</v>
      </c>
      <c r="X311" s="36" t="n">
        <f>20</f>
        <v>20.0</v>
      </c>
    </row>
    <row r="312">
      <c r="A312" s="27" t="s">
        <v>42</v>
      </c>
      <c r="B312" s="27" t="s">
        <v>981</v>
      </c>
      <c r="C312" s="27" t="s">
        <v>982</v>
      </c>
      <c r="D312" s="27" t="s">
        <v>983</v>
      </c>
      <c r="E312" s="28" t="s">
        <v>46</v>
      </c>
      <c r="F312" s="29" t="s">
        <v>46</v>
      </c>
      <c r="G312" s="30" t="s">
        <v>46</v>
      </c>
      <c r="H312" s="31"/>
      <c r="I312" s="31" t="s">
        <v>47</v>
      </c>
      <c r="J312" s="32" t="n">
        <v>1.0</v>
      </c>
      <c r="K312" s="33" t="n">
        <f>4250</f>
        <v>4250.0</v>
      </c>
      <c r="L312" s="34" t="s">
        <v>48</v>
      </c>
      <c r="M312" s="33" t="n">
        <f>4716</f>
        <v>4716.0</v>
      </c>
      <c r="N312" s="34" t="s">
        <v>195</v>
      </c>
      <c r="O312" s="33" t="n">
        <f>4204</f>
        <v>4204.0</v>
      </c>
      <c r="P312" s="34" t="s">
        <v>48</v>
      </c>
      <c r="Q312" s="33" t="n">
        <f>4548</f>
        <v>4548.0</v>
      </c>
      <c r="R312" s="34" t="s">
        <v>51</v>
      </c>
      <c r="S312" s="35" t="n">
        <f>4453</f>
        <v>4453.0</v>
      </c>
      <c r="T312" s="32" t="n">
        <f>796610</f>
        <v>796610.0</v>
      </c>
      <c r="U312" s="32" t="n">
        <f>489165</f>
        <v>489165.0</v>
      </c>
      <c r="V312" s="32" t="n">
        <f>3524345281</f>
        <v>3.524345281E9</v>
      </c>
      <c r="W312" s="32" t="n">
        <f>2177230155</f>
        <v>2.177230155E9</v>
      </c>
      <c r="X312" s="36" t="n">
        <f>20</f>
        <v>20.0</v>
      </c>
    </row>
    <row r="313">
      <c r="A313" s="27" t="s">
        <v>42</v>
      </c>
      <c r="B313" s="27" t="s">
        <v>984</v>
      </c>
      <c r="C313" s="27" t="s">
        <v>985</v>
      </c>
      <c r="D313" s="27" t="s">
        <v>986</v>
      </c>
      <c r="E313" s="28" t="s">
        <v>46</v>
      </c>
      <c r="F313" s="29" t="s">
        <v>46</v>
      </c>
      <c r="G313" s="30" t="s">
        <v>46</v>
      </c>
      <c r="H313" s="31"/>
      <c r="I313" s="31" t="s">
        <v>47</v>
      </c>
      <c r="J313" s="32" t="n">
        <v>1.0</v>
      </c>
      <c r="K313" s="33" t="n">
        <f>3069</f>
        <v>3069.0</v>
      </c>
      <c r="L313" s="34" t="s">
        <v>48</v>
      </c>
      <c r="M313" s="33" t="n">
        <f>3211</f>
        <v>3211.0</v>
      </c>
      <c r="N313" s="34" t="s">
        <v>49</v>
      </c>
      <c r="O313" s="33" t="n">
        <f>3048</f>
        <v>3048.0</v>
      </c>
      <c r="P313" s="34" t="s">
        <v>48</v>
      </c>
      <c r="Q313" s="33" t="n">
        <f>3180</f>
        <v>3180.0</v>
      </c>
      <c r="R313" s="34" t="s">
        <v>51</v>
      </c>
      <c r="S313" s="35" t="n">
        <f>3143.1</f>
        <v>3143.1</v>
      </c>
      <c r="T313" s="32" t="n">
        <f>667103</f>
        <v>667103.0</v>
      </c>
      <c r="U313" s="32" t="n">
        <f>237539</f>
        <v>237539.0</v>
      </c>
      <c r="V313" s="32" t="n">
        <f>2079378662</f>
        <v>2.079378662E9</v>
      </c>
      <c r="W313" s="32" t="n">
        <f>738134891</f>
        <v>7.38134891E8</v>
      </c>
      <c r="X313" s="36" t="n">
        <f>20</f>
        <v>20.0</v>
      </c>
    </row>
    <row r="314">
      <c r="A314" s="27" t="s">
        <v>42</v>
      </c>
      <c r="B314" s="27" t="s">
        <v>987</v>
      </c>
      <c r="C314" s="27" t="s">
        <v>988</v>
      </c>
      <c r="D314" s="27" t="s">
        <v>989</v>
      </c>
      <c r="E314" s="28" t="s">
        <v>46</v>
      </c>
      <c r="F314" s="29" t="s">
        <v>46</v>
      </c>
      <c r="G314" s="30" t="s">
        <v>46</v>
      </c>
      <c r="H314" s="31"/>
      <c r="I314" s="31" t="s">
        <v>47</v>
      </c>
      <c r="J314" s="32" t="n">
        <v>1.0</v>
      </c>
      <c r="K314" s="33" t="n">
        <f>2997</f>
        <v>2997.0</v>
      </c>
      <c r="L314" s="34" t="s">
        <v>48</v>
      </c>
      <c r="M314" s="33" t="n">
        <f>3170</f>
        <v>3170.0</v>
      </c>
      <c r="N314" s="34" t="s">
        <v>70</v>
      </c>
      <c r="O314" s="33" t="n">
        <f>2943</f>
        <v>2943.0</v>
      </c>
      <c r="P314" s="34" t="s">
        <v>50</v>
      </c>
      <c r="Q314" s="33" t="n">
        <f>3044</f>
        <v>3044.0</v>
      </c>
      <c r="R314" s="34" t="s">
        <v>51</v>
      </c>
      <c r="S314" s="35" t="n">
        <f>3040.2</f>
        <v>3040.2</v>
      </c>
      <c r="T314" s="32" t="n">
        <f>41519</f>
        <v>41519.0</v>
      </c>
      <c r="U314" s="32" t="str">
        <f>"－"</f>
        <v>－</v>
      </c>
      <c r="V314" s="32" t="n">
        <f>125901070</f>
        <v>1.2590107E8</v>
      </c>
      <c r="W314" s="32" t="str">
        <f>"－"</f>
        <v>－</v>
      </c>
      <c r="X314" s="36" t="n">
        <f>20</f>
        <v>20.0</v>
      </c>
    </row>
    <row r="315">
      <c r="A315" s="27" t="s">
        <v>42</v>
      </c>
      <c r="B315" s="27" t="s">
        <v>990</v>
      </c>
      <c r="C315" s="27" t="s">
        <v>991</v>
      </c>
      <c r="D315" s="27" t="s">
        <v>992</v>
      </c>
      <c r="E315" s="28" t="s">
        <v>46</v>
      </c>
      <c r="F315" s="29" t="s">
        <v>46</v>
      </c>
      <c r="G315" s="30" t="s">
        <v>46</v>
      </c>
      <c r="H315" s="31"/>
      <c r="I315" s="31" t="s">
        <v>47</v>
      </c>
      <c r="J315" s="32" t="n">
        <v>1.0</v>
      </c>
      <c r="K315" s="33" t="n">
        <f>1545</f>
        <v>1545.0</v>
      </c>
      <c r="L315" s="34" t="s">
        <v>48</v>
      </c>
      <c r="M315" s="33" t="n">
        <f>1582</f>
        <v>1582.0</v>
      </c>
      <c r="N315" s="34" t="s">
        <v>69</v>
      </c>
      <c r="O315" s="33" t="n">
        <f>1491</f>
        <v>1491.0</v>
      </c>
      <c r="P315" s="34" t="s">
        <v>424</v>
      </c>
      <c r="Q315" s="33" t="n">
        <f>1527</f>
        <v>1527.0</v>
      </c>
      <c r="R315" s="34" t="s">
        <v>51</v>
      </c>
      <c r="S315" s="35" t="n">
        <f>1543.1</f>
        <v>1543.1</v>
      </c>
      <c r="T315" s="32" t="n">
        <f>29618</f>
        <v>29618.0</v>
      </c>
      <c r="U315" s="32" t="n">
        <f>20</f>
        <v>20.0</v>
      </c>
      <c r="V315" s="32" t="n">
        <f>46056190</f>
        <v>4.605619E7</v>
      </c>
      <c r="W315" s="32" t="n">
        <f>30842</f>
        <v>30842.0</v>
      </c>
      <c r="X315" s="36" t="n">
        <f>20</f>
        <v>20.0</v>
      </c>
    </row>
    <row r="316">
      <c r="A316" s="27" t="s">
        <v>42</v>
      </c>
      <c r="B316" s="27" t="s">
        <v>993</v>
      </c>
      <c r="C316" s="27" t="s">
        <v>994</v>
      </c>
      <c r="D316" s="27" t="s">
        <v>995</v>
      </c>
      <c r="E316" s="28" t="s">
        <v>46</v>
      </c>
      <c r="F316" s="29" t="s">
        <v>46</v>
      </c>
      <c r="G316" s="30" t="s">
        <v>46</v>
      </c>
      <c r="H316" s="31"/>
      <c r="I316" s="31" t="s">
        <v>47</v>
      </c>
      <c r="J316" s="32" t="n">
        <v>1.0</v>
      </c>
      <c r="K316" s="33" t="n">
        <f>2699</f>
        <v>2699.0</v>
      </c>
      <c r="L316" s="34" t="s">
        <v>48</v>
      </c>
      <c r="M316" s="33" t="n">
        <f>4745</f>
        <v>4745.0</v>
      </c>
      <c r="N316" s="34" t="s">
        <v>51</v>
      </c>
      <c r="O316" s="33" t="n">
        <f>2410</f>
        <v>2410.0</v>
      </c>
      <c r="P316" s="34" t="s">
        <v>62</v>
      </c>
      <c r="Q316" s="33" t="n">
        <f>3880</f>
        <v>3880.0</v>
      </c>
      <c r="R316" s="34" t="s">
        <v>51</v>
      </c>
      <c r="S316" s="35" t="n">
        <f>2891.9</f>
        <v>2891.9</v>
      </c>
      <c r="T316" s="32" t="n">
        <f>1250876</f>
        <v>1250876.0</v>
      </c>
      <c r="U316" s="32" t="n">
        <f>7000</f>
        <v>7000.0</v>
      </c>
      <c r="V316" s="32" t="n">
        <f>4318800049</f>
        <v>4.318800049E9</v>
      </c>
      <c r="W316" s="32" t="n">
        <f>25908000</f>
        <v>2.5908E7</v>
      </c>
      <c r="X316" s="36" t="n">
        <f>20</f>
        <v>20.0</v>
      </c>
    </row>
    <row r="317">
      <c r="A317" s="27" t="s">
        <v>42</v>
      </c>
      <c r="B317" s="27" t="s">
        <v>996</v>
      </c>
      <c r="C317" s="27" t="s">
        <v>997</v>
      </c>
      <c r="D317" s="27" t="s">
        <v>998</v>
      </c>
      <c r="E317" s="28" t="s">
        <v>46</v>
      </c>
      <c r="F317" s="29" t="s">
        <v>46</v>
      </c>
      <c r="G317" s="30" t="s">
        <v>46</v>
      </c>
      <c r="H317" s="31"/>
      <c r="I317" s="31" t="s">
        <v>47</v>
      </c>
      <c r="J317" s="32" t="n">
        <v>1.0</v>
      </c>
      <c r="K317" s="33" t="n">
        <f>3410</f>
        <v>3410.0</v>
      </c>
      <c r="L317" s="34" t="s">
        <v>48</v>
      </c>
      <c r="M317" s="33" t="n">
        <f>12500</f>
        <v>12500.0</v>
      </c>
      <c r="N317" s="34" t="s">
        <v>51</v>
      </c>
      <c r="O317" s="33" t="n">
        <f>3284</f>
        <v>3284.0</v>
      </c>
      <c r="P317" s="34" t="s">
        <v>103</v>
      </c>
      <c r="Q317" s="33" t="n">
        <f>9305</f>
        <v>9305.0</v>
      </c>
      <c r="R317" s="34" t="s">
        <v>51</v>
      </c>
      <c r="S317" s="35" t="n">
        <f>4066.1</f>
        <v>4066.1</v>
      </c>
      <c r="T317" s="32" t="n">
        <f>514331</f>
        <v>514331.0</v>
      </c>
      <c r="U317" s="32" t="n">
        <f>1800</f>
        <v>1800.0</v>
      </c>
      <c r="V317" s="32" t="n">
        <f>3360536885</f>
        <v>3.360536885E9</v>
      </c>
      <c r="W317" s="32" t="n">
        <f>13392000</f>
        <v>1.3392E7</v>
      </c>
      <c r="X317" s="36" t="n">
        <f>20</f>
        <v>20.0</v>
      </c>
    </row>
    <row r="318">
      <c r="A318" s="27" t="s">
        <v>42</v>
      </c>
      <c r="B318" s="27" t="s">
        <v>999</v>
      </c>
      <c r="C318" s="27" t="s">
        <v>1000</v>
      </c>
      <c r="D318" s="27" t="s">
        <v>1001</v>
      </c>
      <c r="E318" s="28" t="s">
        <v>46</v>
      </c>
      <c r="F318" s="29" t="s">
        <v>46</v>
      </c>
      <c r="G318" s="30" t="s">
        <v>46</v>
      </c>
      <c r="H318" s="31"/>
      <c r="I318" s="31" t="s">
        <v>47</v>
      </c>
      <c r="J318" s="32" t="n">
        <v>1.0</v>
      </c>
      <c r="K318" s="33" t="n">
        <f>14025</f>
        <v>14025.0</v>
      </c>
      <c r="L318" s="34" t="s">
        <v>48</v>
      </c>
      <c r="M318" s="33" t="n">
        <f>14415</f>
        <v>14415.0</v>
      </c>
      <c r="N318" s="34" t="s">
        <v>61</v>
      </c>
      <c r="O318" s="33" t="n">
        <f>13880</f>
        <v>13880.0</v>
      </c>
      <c r="P318" s="34" t="s">
        <v>50</v>
      </c>
      <c r="Q318" s="33" t="n">
        <f>14385</f>
        <v>14385.0</v>
      </c>
      <c r="R318" s="34" t="s">
        <v>51</v>
      </c>
      <c r="S318" s="35" t="n">
        <f>14204.5</f>
        <v>14204.5</v>
      </c>
      <c r="T318" s="32" t="n">
        <f>384052</f>
        <v>384052.0</v>
      </c>
      <c r="U318" s="32" t="n">
        <f>202283</f>
        <v>202283.0</v>
      </c>
      <c r="V318" s="32" t="n">
        <f>5452758364</f>
        <v>5.452758364E9</v>
      </c>
      <c r="W318" s="32" t="n">
        <f>2866470514</f>
        <v>2.866470514E9</v>
      </c>
      <c r="X318" s="36" t="n">
        <f>20</f>
        <v>20.0</v>
      </c>
    </row>
    <row r="319">
      <c r="A319" s="27" t="s">
        <v>42</v>
      </c>
      <c r="B319" s="27" t="s">
        <v>1002</v>
      </c>
      <c r="C319" s="27" t="s">
        <v>1003</v>
      </c>
      <c r="D319" s="27" t="s">
        <v>1004</v>
      </c>
      <c r="E319" s="28" t="s">
        <v>46</v>
      </c>
      <c r="F319" s="29" t="s">
        <v>46</v>
      </c>
      <c r="G319" s="30" t="s">
        <v>46</v>
      </c>
      <c r="H319" s="31"/>
      <c r="I319" s="31" t="s">
        <v>47</v>
      </c>
      <c r="J319" s="32" t="n">
        <v>1.0</v>
      </c>
      <c r="K319" s="33" t="n">
        <f>24785</f>
        <v>24785.0</v>
      </c>
      <c r="L319" s="34" t="s">
        <v>48</v>
      </c>
      <c r="M319" s="33" t="n">
        <f>26275</f>
        <v>26275.0</v>
      </c>
      <c r="N319" s="34" t="s">
        <v>70</v>
      </c>
      <c r="O319" s="33" t="n">
        <f>24540</f>
        <v>24540.0</v>
      </c>
      <c r="P319" s="34" t="s">
        <v>48</v>
      </c>
      <c r="Q319" s="33" t="n">
        <f>26155</f>
        <v>26155.0</v>
      </c>
      <c r="R319" s="34" t="s">
        <v>51</v>
      </c>
      <c r="S319" s="35" t="n">
        <f>25489.5</f>
        <v>25489.5</v>
      </c>
      <c r="T319" s="32" t="n">
        <f>191717</f>
        <v>191717.0</v>
      </c>
      <c r="U319" s="32" t="n">
        <f>22712</f>
        <v>22712.0</v>
      </c>
      <c r="V319" s="32" t="n">
        <f>4907075254</f>
        <v>4.907075254E9</v>
      </c>
      <c r="W319" s="32" t="n">
        <f>577949414</f>
        <v>5.77949414E8</v>
      </c>
      <c r="X319" s="36" t="n">
        <f>20</f>
        <v>20.0</v>
      </c>
    </row>
    <row r="320">
      <c r="A320" s="27" t="s">
        <v>42</v>
      </c>
      <c r="B320" s="27" t="s">
        <v>1005</v>
      </c>
      <c r="C320" s="27" t="s">
        <v>1006</v>
      </c>
      <c r="D320" s="27" t="s">
        <v>1007</v>
      </c>
      <c r="E320" s="28" t="s">
        <v>46</v>
      </c>
      <c r="F320" s="29" t="s">
        <v>46</v>
      </c>
      <c r="G320" s="30" t="s">
        <v>46</v>
      </c>
      <c r="H320" s="31"/>
      <c r="I320" s="31" t="s">
        <v>47</v>
      </c>
      <c r="J320" s="32" t="n">
        <v>1.0</v>
      </c>
      <c r="K320" s="33" t="n">
        <f>14780</f>
        <v>14780.0</v>
      </c>
      <c r="L320" s="34" t="s">
        <v>48</v>
      </c>
      <c r="M320" s="33" t="n">
        <f>15505</f>
        <v>15505.0</v>
      </c>
      <c r="N320" s="34" t="s">
        <v>398</v>
      </c>
      <c r="O320" s="33" t="n">
        <f>14625</f>
        <v>14625.0</v>
      </c>
      <c r="P320" s="34" t="s">
        <v>50</v>
      </c>
      <c r="Q320" s="33" t="n">
        <f>15425</f>
        <v>15425.0</v>
      </c>
      <c r="R320" s="34" t="s">
        <v>51</v>
      </c>
      <c r="S320" s="35" t="n">
        <f>15117.5</f>
        <v>15117.5</v>
      </c>
      <c r="T320" s="32" t="n">
        <f>204819</f>
        <v>204819.0</v>
      </c>
      <c r="U320" s="32" t="n">
        <f>103426</f>
        <v>103426.0</v>
      </c>
      <c r="V320" s="32" t="n">
        <f>3073802615</f>
        <v>3.073802615E9</v>
      </c>
      <c r="W320" s="32" t="n">
        <f>1540459095</f>
        <v>1.540459095E9</v>
      </c>
      <c r="X320" s="36" t="n">
        <f>20</f>
        <v>20.0</v>
      </c>
    </row>
    <row r="321">
      <c r="A321" s="27" t="s">
        <v>42</v>
      </c>
      <c r="B321" s="27" t="s">
        <v>1008</v>
      </c>
      <c r="C321" s="27" t="s">
        <v>1009</v>
      </c>
      <c r="D321" s="27" t="s">
        <v>1010</v>
      </c>
      <c r="E321" s="28" t="s">
        <v>46</v>
      </c>
      <c r="F321" s="29" t="s">
        <v>46</v>
      </c>
      <c r="G321" s="30" t="s">
        <v>46</v>
      </c>
      <c r="H321" s="31"/>
      <c r="I321" s="31" t="s">
        <v>47</v>
      </c>
      <c r="J321" s="32" t="n">
        <v>10.0</v>
      </c>
      <c r="K321" s="33" t="n">
        <f>441.1</f>
        <v>441.1</v>
      </c>
      <c r="L321" s="34" t="s">
        <v>48</v>
      </c>
      <c r="M321" s="33" t="n">
        <f>458</f>
        <v>458.0</v>
      </c>
      <c r="N321" s="34" t="s">
        <v>70</v>
      </c>
      <c r="O321" s="33" t="n">
        <f>437.9</f>
        <v>437.9</v>
      </c>
      <c r="P321" s="34" t="s">
        <v>48</v>
      </c>
      <c r="Q321" s="33" t="n">
        <f>455</f>
        <v>455.0</v>
      </c>
      <c r="R321" s="34" t="s">
        <v>51</v>
      </c>
      <c r="S321" s="35" t="n">
        <f>448.09</f>
        <v>448.09</v>
      </c>
      <c r="T321" s="32" t="n">
        <f>4571210</f>
        <v>4571210.0</v>
      </c>
      <c r="U321" s="32" t="n">
        <f>263920</f>
        <v>263920.0</v>
      </c>
      <c r="V321" s="32" t="n">
        <f>2042195673</f>
        <v>2.042195673E9</v>
      </c>
      <c r="W321" s="32" t="n">
        <f>116996605</f>
        <v>1.16996605E8</v>
      </c>
      <c r="X321" s="36" t="n">
        <f>20</f>
        <v>20.0</v>
      </c>
    </row>
    <row r="322">
      <c r="A322" s="27" t="s">
        <v>42</v>
      </c>
      <c r="B322" s="27" t="s">
        <v>1011</v>
      </c>
      <c r="C322" s="27" t="s">
        <v>1012</v>
      </c>
      <c r="D322" s="27" t="s">
        <v>1013</v>
      </c>
      <c r="E322" s="28" t="s">
        <v>46</v>
      </c>
      <c r="F322" s="29" t="s">
        <v>46</v>
      </c>
      <c r="G322" s="30" t="s">
        <v>46</v>
      </c>
      <c r="H322" s="31"/>
      <c r="I322" s="31" t="s">
        <v>47</v>
      </c>
      <c r="J322" s="32" t="n">
        <v>10.0</v>
      </c>
      <c r="K322" s="33" t="n">
        <f>2779</f>
        <v>2779.0</v>
      </c>
      <c r="L322" s="34" t="s">
        <v>48</v>
      </c>
      <c r="M322" s="33" t="n">
        <f>2836</f>
        <v>2836.0</v>
      </c>
      <c r="N322" s="34" t="s">
        <v>61</v>
      </c>
      <c r="O322" s="33" t="n">
        <f>2747</f>
        <v>2747.0</v>
      </c>
      <c r="P322" s="34" t="s">
        <v>50</v>
      </c>
      <c r="Q322" s="33" t="n">
        <f>2830</f>
        <v>2830.0</v>
      </c>
      <c r="R322" s="34" t="s">
        <v>51</v>
      </c>
      <c r="S322" s="35" t="n">
        <f>2799.05</f>
        <v>2799.05</v>
      </c>
      <c r="T322" s="32" t="n">
        <f>586800</f>
        <v>586800.0</v>
      </c>
      <c r="U322" s="32" t="n">
        <f>40260</f>
        <v>40260.0</v>
      </c>
      <c r="V322" s="32" t="n">
        <f>1639093235</f>
        <v>1.639093235E9</v>
      </c>
      <c r="W322" s="32" t="n">
        <f>113595630</f>
        <v>1.1359563E8</v>
      </c>
      <c r="X322" s="36" t="n">
        <f>20</f>
        <v>20.0</v>
      </c>
    </row>
    <row r="323">
      <c r="A323" s="27" t="s">
        <v>42</v>
      </c>
      <c r="B323" s="27" t="s">
        <v>1014</v>
      </c>
      <c r="C323" s="27" t="s">
        <v>1015</v>
      </c>
      <c r="D323" s="27" t="s">
        <v>1016</v>
      </c>
      <c r="E323" s="28" t="s">
        <v>46</v>
      </c>
      <c r="F323" s="29" t="s">
        <v>46</v>
      </c>
      <c r="G323" s="30" t="s">
        <v>46</v>
      </c>
      <c r="H323" s="31" t="s">
        <v>1017</v>
      </c>
      <c r="I323" s="31" t="s">
        <v>47</v>
      </c>
      <c r="J323" s="32" t="n">
        <v>10.0</v>
      </c>
      <c r="K323" s="33" t="n">
        <f>4482</f>
        <v>4482.0</v>
      </c>
      <c r="L323" s="34" t="s">
        <v>48</v>
      </c>
      <c r="M323" s="33" t="n">
        <f>4623</f>
        <v>4623.0</v>
      </c>
      <c r="N323" s="34" t="s">
        <v>70</v>
      </c>
      <c r="O323" s="33" t="n">
        <f>4435</f>
        <v>4435.0</v>
      </c>
      <c r="P323" s="34" t="s">
        <v>199</v>
      </c>
      <c r="Q323" s="33" t="n">
        <f>4597</f>
        <v>4597.0</v>
      </c>
      <c r="R323" s="34" t="s">
        <v>51</v>
      </c>
      <c r="S323" s="35" t="n">
        <f>4526.45</f>
        <v>4526.45</v>
      </c>
      <c r="T323" s="32" t="n">
        <f>451940</f>
        <v>451940.0</v>
      </c>
      <c r="U323" s="32" t="n">
        <f>300150</f>
        <v>300150.0</v>
      </c>
      <c r="V323" s="32" t="n">
        <f>2037375157</f>
        <v>2.037375157E9</v>
      </c>
      <c r="W323" s="32" t="n">
        <f>1350122337</f>
        <v>1.350122337E9</v>
      </c>
      <c r="X323" s="36" t="n">
        <f>20</f>
        <v>20.0</v>
      </c>
    </row>
    <row r="324">
      <c r="A324" s="27" t="s">
        <v>42</v>
      </c>
      <c r="B324" s="27" t="s">
        <v>1018</v>
      </c>
      <c r="C324" s="27" t="s">
        <v>1019</v>
      </c>
      <c r="D324" s="27" t="s">
        <v>1020</v>
      </c>
      <c r="E324" s="28" t="s">
        <v>46</v>
      </c>
      <c r="F324" s="29" t="s">
        <v>46</v>
      </c>
      <c r="G324" s="30" t="s">
        <v>46</v>
      </c>
      <c r="H324" s="31"/>
      <c r="I324" s="31" t="s">
        <v>47</v>
      </c>
      <c r="J324" s="32" t="n">
        <v>1.0</v>
      </c>
      <c r="K324" s="33" t="n">
        <f>3537</f>
        <v>3537.0</v>
      </c>
      <c r="L324" s="34" t="s">
        <v>48</v>
      </c>
      <c r="M324" s="33" t="n">
        <f>3738</f>
        <v>3738.0</v>
      </c>
      <c r="N324" s="34" t="s">
        <v>74</v>
      </c>
      <c r="O324" s="33" t="n">
        <f>3512</f>
        <v>3512.0</v>
      </c>
      <c r="P324" s="34" t="s">
        <v>48</v>
      </c>
      <c r="Q324" s="33" t="n">
        <f>3665</f>
        <v>3665.0</v>
      </c>
      <c r="R324" s="34" t="s">
        <v>51</v>
      </c>
      <c r="S324" s="35" t="n">
        <f>3634.6</f>
        <v>3634.6</v>
      </c>
      <c r="T324" s="32" t="n">
        <f>25020</f>
        <v>25020.0</v>
      </c>
      <c r="U324" s="32" t="str">
        <f>"－"</f>
        <v>－</v>
      </c>
      <c r="V324" s="32" t="n">
        <f>91722681</f>
        <v>9.1722681E7</v>
      </c>
      <c r="W324" s="32" t="str">
        <f>"－"</f>
        <v>－</v>
      </c>
      <c r="X324" s="36" t="n">
        <f>20</f>
        <v>20.0</v>
      </c>
    </row>
    <row r="325">
      <c r="A325" s="27" t="s">
        <v>42</v>
      </c>
      <c r="B325" s="27" t="s">
        <v>1021</v>
      </c>
      <c r="C325" s="27" t="s">
        <v>1022</v>
      </c>
      <c r="D325" s="27" t="s">
        <v>1023</v>
      </c>
      <c r="E325" s="28" t="s">
        <v>46</v>
      </c>
      <c r="F325" s="29" t="s">
        <v>46</v>
      </c>
      <c r="G325" s="30" t="s">
        <v>46</v>
      </c>
      <c r="H325" s="31"/>
      <c r="I325" s="31" t="s">
        <v>47</v>
      </c>
      <c r="J325" s="32" t="n">
        <v>1.0</v>
      </c>
      <c r="K325" s="33" t="n">
        <f>1641</f>
        <v>1641.0</v>
      </c>
      <c r="L325" s="34" t="s">
        <v>48</v>
      </c>
      <c r="M325" s="33" t="n">
        <f>1694</f>
        <v>1694.0</v>
      </c>
      <c r="N325" s="34" t="s">
        <v>74</v>
      </c>
      <c r="O325" s="33" t="n">
        <f>1613</f>
        <v>1613.0</v>
      </c>
      <c r="P325" s="34" t="s">
        <v>48</v>
      </c>
      <c r="Q325" s="33" t="n">
        <f>1687</f>
        <v>1687.0</v>
      </c>
      <c r="R325" s="34" t="s">
        <v>51</v>
      </c>
      <c r="S325" s="35" t="n">
        <f>1661.2</f>
        <v>1661.2</v>
      </c>
      <c r="T325" s="32" t="n">
        <f>60810</f>
        <v>60810.0</v>
      </c>
      <c r="U325" s="32" t="n">
        <f>360</f>
        <v>360.0</v>
      </c>
      <c r="V325" s="32" t="n">
        <f>101314154</f>
        <v>1.01314154E8</v>
      </c>
      <c r="W325" s="32" t="n">
        <f>601288</f>
        <v>601288.0</v>
      </c>
      <c r="X325" s="36" t="n">
        <f>20</f>
        <v>20.0</v>
      </c>
    </row>
    <row r="326">
      <c r="A326" s="27" t="s">
        <v>42</v>
      </c>
      <c r="B326" s="27" t="s">
        <v>1024</v>
      </c>
      <c r="C326" s="27" t="s">
        <v>1025</v>
      </c>
      <c r="D326" s="27" t="s">
        <v>1026</v>
      </c>
      <c r="E326" s="28" t="s">
        <v>46</v>
      </c>
      <c r="F326" s="29" t="s">
        <v>46</v>
      </c>
      <c r="G326" s="30" t="s">
        <v>46</v>
      </c>
      <c r="H326" s="31"/>
      <c r="I326" s="31" t="s">
        <v>47</v>
      </c>
      <c r="J326" s="32" t="n">
        <v>1.0</v>
      </c>
      <c r="K326" s="33" t="n">
        <f>2213</f>
        <v>2213.0</v>
      </c>
      <c r="L326" s="34" t="s">
        <v>48</v>
      </c>
      <c r="M326" s="33" t="n">
        <f>2350</f>
        <v>2350.0</v>
      </c>
      <c r="N326" s="34" t="s">
        <v>74</v>
      </c>
      <c r="O326" s="33" t="n">
        <f>2174</f>
        <v>2174.0</v>
      </c>
      <c r="P326" s="34" t="s">
        <v>103</v>
      </c>
      <c r="Q326" s="33" t="n">
        <f>2267</f>
        <v>2267.0</v>
      </c>
      <c r="R326" s="34" t="s">
        <v>51</v>
      </c>
      <c r="S326" s="35" t="n">
        <f>2246.7</f>
        <v>2246.7</v>
      </c>
      <c r="T326" s="32" t="n">
        <f>155022</f>
        <v>155022.0</v>
      </c>
      <c r="U326" s="32" t="n">
        <f>780</f>
        <v>780.0</v>
      </c>
      <c r="V326" s="32" t="n">
        <f>348172102</f>
        <v>3.48172102E8</v>
      </c>
      <c r="W326" s="32" t="n">
        <f>1719836</f>
        <v>1719836.0</v>
      </c>
      <c r="X326" s="36" t="n">
        <f>20</f>
        <v>20.0</v>
      </c>
    </row>
    <row r="327">
      <c r="A327" s="27" t="s">
        <v>42</v>
      </c>
      <c r="B327" s="27" t="s">
        <v>1027</v>
      </c>
      <c r="C327" s="27" t="s">
        <v>1028</v>
      </c>
      <c r="D327" s="27" t="s">
        <v>1029</v>
      </c>
      <c r="E327" s="28" t="s">
        <v>46</v>
      </c>
      <c r="F327" s="29" t="s">
        <v>46</v>
      </c>
      <c r="G327" s="30" t="s">
        <v>46</v>
      </c>
      <c r="H327" s="31"/>
      <c r="I327" s="31" t="s">
        <v>47</v>
      </c>
      <c r="J327" s="32" t="n">
        <v>1.0</v>
      </c>
      <c r="K327" s="33" t="n">
        <f>1556</f>
        <v>1556.0</v>
      </c>
      <c r="L327" s="34" t="s">
        <v>48</v>
      </c>
      <c r="M327" s="33" t="n">
        <f>1679</f>
        <v>1679.0</v>
      </c>
      <c r="N327" s="34" t="s">
        <v>199</v>
      </c>
      <c r="O327" s="33" t="n">
        <f>1556</f>
        <v>1556.0</v>
      </c>
      <c r="P327" s="34" t="s">
        <v>48</v>
      </c>
      <c r="Q327" s="33" t="n">
        <f>1614</f>
        <v>1614.0</v>
      </c>
      <c r="R327" s="34" t="s">
        <v>51</v>
      </c>
      <c r="S327" s="35" t="n">
        <f>1631.35</f>
        <v>1631.35</v>
      </c>
      <c r="T327" s="32" t="n">
        <f>51535</f>
        <v>51535.0</v>
      </c>
      <c r="U327" s="32" t="str">
        <f>"－"</f>
        <v>－</v>
      </c>
      <c r="V327" s="32" t="n">
        <f>85016758</f>
        <v>8.5016758E7</v>
      </c>
      <c r="W327" s="32" t="str">
        <f>"－"</f>
        <v>－</v>
      </c>
      <c r="X327" s="36" t="n">
        <f>20</f>
        <v>20.0</v>
      </c>
    </row>
    <row r="328">
      <c r="A328" s="27" t="s">
        <v>42</v>
      </c>
      <c r="B328" s="27" t="s">
        <v>1030</v>
      </c>
      <c r="C328" s="27" t="s">
        <v>1031</v>
      </c>
      <c r="D328" s="27" t="s">
        <v>1032</v>
      </c>
      <c r="E328" s="28" t="s">
        <v>46</v>
      </c>
      <c r="F328" s="29" t="s">
        <v>46</v>
      </c>
      <c r="G328" s="30" t="s">
        <v>46</v>
      </c>
      <c r="H328" s="31"/>
      <c r="I328" s="31" t="s">
        <v>47</v>
      </c>
      <c r="J328" s="32" t="n">
        <v>1.0</v>
      </c>
      <c r="K328" s="33" t="n">
        <f>4637</f>
        <v>4637.0</v>
      </c>
      <c r="L328" s="34" t="s">
        <v>48</v>
      </c>
      <c r="M328" s="33" t="n">
        <f>4727</f>
        <v>4727.0</v>
      </c>
      <c r="N328" s="34" t="s">
        <v>74</v>
      </c>
      <c r="O328" s="33" t="n">
        <f>4555</f>
        <v>4555.0</v>
      </c>
      <c r="P328" s="34" t="s">
        <v>61</v>
      </c>
      <c r="Q328" s="33" t="n">
        <f>4615</f>
        <v>4615.0</v>
      </c>
      <c r="R328" s="34" t="s">
        <v>51</v>
      </c>
      <c r="S328" s="35" t="n">
        <f>4634.65</f>
        <v>4634.65</v>
      </c>
      <c r="T328" s="32" t="n">
        <f>616886</f>
        <v>616886.0</v>
      </c>
      <c r="U328" s="32" t="n">
        <f>22839</f>
        <v>22839.0</v>
      </c>
      <c r="V328" s="32" t="n">
        <f>2853745978</f>
        <v>2.853745978E9</v>
      </c>
      <c r="W328" s="32" t="n">
        <f>106339455</f>
        <v>1.06339455E8</v>
      </c>
      <c r="X328" s="36" t="n">
        <f>20</f>
        <v>20.0</v>
      </c>
    </row>
    <row r="329">
      <c r="A329" s="27" t="s">
        <v>42</v>
      </c>
      <c r="B329" s="27" t="s">
        <v>1033</v>
      </c>
      <c r="C329" s="27" t="s">
        <v>1034</v>
      </c>
      <c r="D329" s="27" t="s">
        <v>1035</v>
      </c>
      <c r="E329" s="28" t="s">
        <v>46</v>
      </c>
      <c r="F329" s="29" t="s">
        <v>46</v>
      </c>
      <c r="G329" s="30" t="s">
        <v>46</v>
      </c>
      <c r="H329" s="31"/>
      <c r="I329" s="31" t="s">
        <v>47</v>
      </c>
      <c r="J329" s="32" t="n">
        <v>1.0</v>
      </c>
      <c r="K329" s="33" t="n">
        <f>3552</f>
        <v>3552.0</v>
      </c>
      <c r="L329" s="34" t="s">
        <v>48</v>
      </c>
      <c r="M329" s="33" t="n">
        <f>3734</f>
        <v>3734.0</v>
      </c>
      <c r="N329" s="34" t="s">
        <v>49</v>
      </c>
      <c r="O329" s="33" t="n">
        <f>3534</f>
        <v>3534.0</v>
      </c>
      <c r="P329" s="34" t="s">
        <v>48</v>
      </c>
      <c r="Q329" s="33" t="n">
        <f>3660</f>
        <v>3660.0</v>
      </c>
      <c r="R329" s="34" t="s">
        <v>51</v>
      </c>
      <c r="S329" s="35" t="n">
        <f>3650.65</f>
        <v>3650.65</v>
      </c>
      <c r="T329" s="32" t="n">
        <f>4785862</f>
        <v>4785862.0</v>
      </c>
      <c r="U329" s="32" t="n">
        <f>397742</f>
        <v>397742.0</v>
      </c>
      <c r="V329" s="32" t="n">
        <f>17617719681</f>
        <v>1.7617719681E10</v>
      </c>
      <c r="W329" s="32" t="n">
        <f>1458475546</f>
        <v>1.458475546E9</v>
      </c>
      <c r="X329" s="36" t="n">
        <f>20</f>
        <v>20.0</v>
      </c>
    </row>
    <row r="330">
      <c r="A330" s="27" t="s">
        <v>42</v>
      </c>
      <c r="B330" s="27" t="s">
        <v>1036</v>
      </c>
      <c r="C330" s="27" t="s">
        <v>1037</v>
      </c>
      <c r="D330" s="27" t="s">
        <v>1038</v>
      </c>
      <c r="E330" s="28" t="s">
        <v>46</v>
      </c>
      <c r="F330" s="29" t="s">
        <v>46</v>
      </c>
      <c r="G330" s="30" t="s">
        <v>46</v>
      </c>
      <c r="H330" s="31"/>
      <c r="I330" s="31" t="s">
        <v>47</v>
      </c>
      <c r="J330" s="32" t="n">
        <v>1.0</v>
      </c>
      <c r="K330" s="33" t="n">
        <f>40610</f>
        <v>40610.0</v>
      </c>
      <c r="L330" s="34" t="s">
        <v>48</v>
      </c>
      <c r="M330" s="33" t="n">
        <f>42140</f>
        <v>42140.0</v>
      </c>
      <c r="N330" s="34" t="s">
        <v>49</v>
      </c>
      <c r="O330" s="33" t="n">
        <f>40320</f>
        <v>40320.0</v>
      </c>
      <c r="P330" s="34" t="s">
        <v>50</v>
      </c>
      <c r="Q330" s="33" t="n">
        <f>41770</f>
        <v>41770.0</v>
      </c>
      <c r="R330" s="34" t="s">
        <v>51</v>
      </c>
      <c r="S330" s="35" t="n">
        <f>41422.35</f>
        <v>41422.35</v>
      </c>
      <c r="T330" s="32" t="n">
        <f>75</f>
        <v>75.0</v>
      </c>
      <c r="U330" s="32" t="str">
        <f>"－"</f>
        <v>－</v>
      </c>
      <c r="V330" s="32" t="n">
        <f>3102020</f>
        <v>3102020.0</v>
      </c>
      <c r="W330" s="32" t="str">
        <f>"－"</f>
        <v>－</v>
      </c>
      <c r="X330" s="36" t="n">
        <f>17</f>
        <v>17.0</v>
      </c>
    </row>
    <row r="331">
      <c r="A331" s="27" t="s">
        <v>42</v>
      </c>
      <c r="B331" s="27" t="s">
        <v>1039</v>
      </c>
      <c r="C331" s="27" t="s">
        <v>1040</v>
      </c>
      <c r="D331" s="27" t="s">
        <v>1041</v>
      </c>
      <c r="E331" s="28" t="s">
        <v>46</v>
      </c>
      <c r="F331" s="29" t="s">
        <v>46</v>
      </c>
      <c r="G331" s="30" t="s">
        <v>46</v>
      </c>
      <c r="H331" s="31"/>
      <c r="I331" s="31" t="s">
        <v>47</v>
      </c>
      <c r="J331" s="32" t="n">
        <v>1.0</v>
      </c>
      <c r="K331" s="33" t="n">
        <f>3168</f>
        <v>3168.0</v>
      </c>
      <c r="L331" s="34" t="s">
        <v>48</v>
      </c>
      <c r="M331" s="33" t="n">
        <f>3347</f>
        <v>3347.0</v>
      </c>
      <c r="N331" s="34" t="s">
        <v>49</v>
      </c>
      <c r="O331" s="33" t="n">
        <f>3151</f>
        <v>3151.0</v>
      </c>
      <c r="P331" s="34" t="s">
        <v>48</v>
      </c>
      <c r="Q331" s="33" t="n">
        <f>3270</f>
        <v>3270.0</v>
      </c>
      <c r="R331" s="34" t="s">
        <v>70</v>
      </c>
      <c r="S331" s="35" t="n">
        <f>3258.56</f>
        <v>3258.56</v>
      </c>
      <c r="T331" s="32" t="n">
        <f>4193</f>
        <v>4193.0</v>
      </c>
      <c r="U331" s="32" t="str">
        <f>"－"</f>
        <v>－</v>
      </c>
      <c r="V331" s="32" t="n">
        <f>13715606</f>
        <v>1.3715606E7</v>
      </c>
      <c r="W331" s="32" t="str">
        <f>"－"</f>
        <v>－</v>
      </c>
      <c r="X331" s="36" t="n">
        <f>9</f>
        <v>9.0</v>
      </c>
    </row>
    <row r="332">
      <c r="A332" s="27" t="s">
        <v>42</v>
      </c>
      <c r="B332" s="27" t="s">
        <v>1042</v>
      </c>
      <c r="C332" s="27" t="s">
        <v>1043</v>
      </c>
      <c r="D332" s="27" t="s">
        <v>1044</v>
      </c>
      <c r="E332" s="28" t="s">
        <v>46</v>
      </c>
      <c r="F332" s="29" t="s">
        <v>46</v>
      </c>
      <c r="G332" s="30" t="s">
        <v>46</v>
      </c>
      <c r="H332" s="31"/>
      <c r="I332" s="31" t="s">
        <v>47</v>
      </c>
      <c r="J332" s="32" t="n">
        <v>1.0</v>
      </c>
      <c r="K332" s="33" t="n">
        <f>1842</f>
        <v>1842.0</v>
      </c>
      <c r="L332" s="34" t="s">
        <v>48</v>
      </c>
      <c r="M332" s="33" t="n">
        <f>2292</f>
        <v>2292.0</v>
      </c>
      <c r="N332" s="34" t="s">
        <v>61</v>
      </c>
      <c r="O332" s="33" t="n">
        <f>1795</f>
        <v>1795.0</v>
      </c>
      <c r="P332" s="34" t="s">
        <v>50</v>
      </c>
      <c r="Q332" s="33" t="n">
        <f>2195</f>
        <v>2195.0</v>
      </c>
      <c r="R332" s="34" t="s">
        <v>51</v>
      </c>
      <c r="S332" s="35" t="n">
        <f>2029.85</f>
        <v>2029.85</v>
      </c>
      <c r="T332" s="32" t="n">
        <f>18836862</f>
        <v>1.8836862E7</v>
      </c>
      <c r="U332" s="32" t="n">
        <f>1196344</f>
        <v>1196344.0</v>
      </c>
      <c r="V332" s="32" t="n">
        <f>39381264852</f>
        <v>3.9381264852E10</v>
      </c>
      <c r="W332" s="32" t="n">
        <f>2358403272</f>
        <v>2.358403272E9</v>
      </c>
      <c r="X332" s="36" t="n">
        <f>20</f>
        <v>20.0</v>
      </c>
    </row>
    <row r="333">
      <c r="A333" s="27" t="s">
        <v>42</v>
      </c>
      <c r="B333" s="27" t="s">
        <v>1045</v>
      </c>
      <c r="C333" s="27" t="s">
        <v>1046</v>
      </c>
      <c r="D333" s="27" t="s">
        <v>1047</v>
      </c>
      <c r="E333" s="28" t="s">
        <v>46</v>
      </c>
      <c r="F333" s="29" t="s">
        <v>46</v>
      </c>
      <c r="G333" s="30" t="s">
        <v>46</v>
      </c>
      <c r="H333" s="31"/>
      <c r="I333" s="31" t="s">
        <v>47</v>
      </c>
      <c r="J333" s="32" t="n">
        <v>1.0</v>
      </c>
      <c r="K333" s="33" t="n">
        <f>2760</f>
        <v>2760.0</v>
      </c>
      <c r="L333" s="34" t="s">
        <v>48</v>
      </c>
      <c r="M333" s="33" t="n">
        <f>2888</f>
        <v>2888.0</v>
      </c>
      <c r="N333" s="34" t="s">
        <v>69</v>
      </c>
      <c r="O333" s="33" t="n">
        <f>2760</f>
        <v>2760.0</v>
      </c>
      <c r="P333" s="34" t="s">
        <v>48</v>
      </c>
      <c r="Q333" s="33" t="n">
        <f>2843</f>
        <v>2843.0</v>
      </c>
      <c r="R333" s="34" t="s">
        <v>51</v>
      </c>
      <c r="S333" s="35" t="n">
        <f>2831.4</f>
        <v>2831.4</v>
      </c>
      <c r="T333" s="32" t="n">
        <f>52596</f>
        <v>52596.0</v>
      </c>
      <c r="U333" s="32" t="str">
        <f>"－"</f>
        <v>－</v>
      </c>
      <c r="V333" s="32" t="n">
        <f>149180537</f>
        <v>1.49180537E8</v>
      </c>
      <c r="W333" s="32" t="str">
        <f>"－"</f>
        <v>－</v>
      </c>
      <c r="X333" s="36" t="n">
        <f>20</f>
        <v>20.0</v>
      </c>
    </row>
    <row r="334">
      <c r="A334" s="27" t="s">
        <v>42</v>
      </c>
      <c r="B334" s="27" t="s">
        <v>1048</v>
      </c>
      <c r="C334" s="27" t="s">
        <v>1049</v>
      </c>
      <c r="D334" s="27" t="s">
        <v>1050</v>
      </c>
      <c r="E334" s="28" t="s">
        <v>46</v>
      </c>
      <c r="F334" s="29" t="s">
        <v>46</v>
      </c>
      <c r="G334" s="30" t="s">
        <v>46</v>
      </c>
      <c r="H334" s="31"/>
      <c r="I334" s="31" t="s">
        <v>47</v>
      </c>
      <c r="J334" s="32" t="n">
        <v>1.0</v>
      </c>
      <c r="K334" s="33" t="n">
        <f>2062</f>
        <v>2062.0</v>
      </c>
      <c r="L334" s="34" t="s">
        <v>48</v>
      </c>
      <c r="M334" s="33" t="n">
        <f>2222</f>
        <v>2222.0</v>
      </c>
      <c r="N334" s="34" t="s">
        <v>214</v>
      </c>
      <c r="O334" s="33" t="n">
        <f>2038</f>
        <v>2038.0</v>
      </c>
      <c r="P334" s="34" t="s">
        <v>48</v>
      </c>
      <c r="Q334" s="33" t="n">
        <f>2198</f>
        <v>2198.0</v>
      </c>
      <c r="R334" s="34" t="s">
        <v>51</v>
      </c>
      <c r="S334" s="35" t="n">
        <f>2128.3</f>
        <v>2128.3</v>
      </c>
      <c r="T334" s="32" t="n">
        <f>92963</f>
        <v>92963.0</v>
      </c>
      <c r="U334" s="32" t="n">
        <f>2000</f>
        <v>2000.0</v>
      </c>
      <c r="V334" s="32" t="n">
        <f>196045841</f>
        <v>1.96045841E8</v>
      </c>
      <c r="W334" s="32" t="n">
        <f>4213000</f>
        <v>4213000.0</v>
      </c>
      <c r="X334" s="36" t="n">
        <f>20</f>
        <v>20.0</v>
      </c>
    </row>
    <row r="335">
      <c r="A335" s="27" t="s">
        <v>42</v>
      </c>
      <c r="B335" s="27" t="s">
        <v>1051</v>
      </c>
      <c r="C335" s="27" t="s">
        <v>1052</v>
      </c>
      <c r="D335" s="27" t="s">
        <v>1053</v>
      </c>
      <c r="E335" s="28" t="s">
        <v>46</v>
      </c>
      <c r="F335" s="29" t="s">
        <v>46</v>
      </c>
      <c r="G335" s="30" t="s">
        <v>46</v>
      </c>
      <c r="H335" s="31"/>
      <c r="I335" s="31" t="s">
        <v>47</v>
      </c>
      <c r="J335" s="32" t="n">
        <v>10.0</v>
      </c>
      <c r="K335" s="33" t="n">
        <f>5610</f>
        <v>5610.0</v>
      </c>
      <c r="L335" s="34" t="s">
        <v>48</v>
      </c>
      <c r="M335" s="33" t="n">
        <f>5689</f>
        <v>5689.0</v>
      </c>
      <c r="N335" s="34" t="s">
        <v>49</v>
      </c>
      <c r="O335" s="33" t="n">
        <f>5587</f>
        <v>5587.0</v>
      </c>
      <c r="P335" s="34" t="s">
        <v>62</v>
      </c>
      <c r="Q335" s="33" t="n">
        <f>5652</f>
        <v>5652.0</v>
      </c>
      <c r="R335" s="34" t="s">
        <v>51</v>
      </c>
      <c r="S335" s="35" t="n">
        <f>5639</f>
        <v>5639.0</v>
      </c>
      <c r="T335" s="32" t="n">
        <f>1502470</f>
        <v>1502470.0</v>
      </c>
      <c r="U335" s="32" t="n">
        <f>1493500</f>
        <v>1493500.0</v>
      </c>
      <c r="V335" s="32" t="n">
        <f>8454967986</f>
        <v>8.454967986E9</v>
      </c>
      <c r="W335" s="32" t="n">
        <f>8404268786</f>
        <v>8.404268786E9</v>
      </c>
      <c r="X335" s="36" t="n">
        <f>18</f>
        <v>18.0</v>
      </c>
    </row>
    <row r="336">
      <c r="A336" s="27" t="s">
        <v>42</v>
      </c>
      <c r="B336" s="27" t="s">
        <v>1054</v>
      </c>
      <c r="C336" s="27" t="s">
        <v>1055</v>
      </c>
      <c r="D336" s="27" t="s">
        <v>1056</v>
      </c>
      <c r="E336" s="28" t="s">
        <v>46</v>
      </c>
      <c r="F336" s="29" t="s">
        <v>46</v>
      </c>
      <c r="G336" s="30" t="s">
        <v>46</v>
      </c>
      <c r="H336" s="31"/>
      <c r="I336" s="31" t="s">
        <v>47</v>
      </c>
      <c r="J336" s="32" t="n">
        <v>10.0</v>
      </c>
      <c r="K336" s="33" t="n">
        <f>3582</f>
        <v>3582.0</v>
      </c>
      <c r="L336" s="34" t="s">
        <v>48</v>
      </c>
      <c r="M336" s="33" t="n">
        <f>3597</f>
        <v>3597.0</v>
      </c>
      <c r="N336" s="34" t="s">
        <v>424</v>
      </c>
      <c r="O336" s="33" t="n">
        <f>3548</f>
        <v>3548.0</v>
      </c>
      <c r="P336" s="34" t="s">
        <v>62</v>
      </c>
      <c r="Q336" s="33" t="n">
        <f>3564</f>
        <v>3564.0</v>
      </c>
      <c r="R336" s="34" t="s">
        <v>51</v>
      </c>
      <c r="S336" s="35" t="n">
        <f>3575.4</f>
        <v>3575.4</v>
      </c>
      <c r="T336" s="32" t="n">
        <f>888420</f>
        <v>888420.0</v>
      </c>
      <c r="U336" s="32" t="n">
        <f>860120</f>
        <v>860120.0</v>
      </c>
      <c r="V336" s="32" t="n">
        <f>3181839490</f>
        <v>3.18183949E9</v>
      </c>
      <c r="W336" s="32" t="n">
        <f>3080752310</f>
        <v>3.08075231E9</v>
      </c>
      <c r="X336" s="36" t="n">
        <f>20</f>
        <v>20.0</v>
      </c>
    </row>
    <row r="337">
      <c r="A337" s="27" t="s">
        <v>42</v>
      </c>
      <c r="B337" s="27" t="s">
        <v>1057</v>
      </c>
      <c r="C337" s="27" t="s">
        <v>1058</v>
      </c>
      <c r="D337" s="27" t="s">
        <v>1059</v>
      </c>
      <c r="E337" s="28" t="s">
        <v>46</v>
      </c>
      <c r="F337" s="29" t="s">
        <v>46</v>
      </c>
      <c r="G337" s="30" t="s">
        <v>46</v>
      </c>
      <c r="H337" s="31"/>
      <c r="I337" s="31" t="s">
        <v>47</v>
      </c>
      <c r="J337" s="32" t="n">
        <v>10.0</v>
      </c>
      <c r="K337" s="33" t="n">
        <f>605</f>
        <v>605.0</v>
      </c>
      <c r="L337" s="34" t="s">
        <v>48</v>
      </c>
      <c r="M337" s="33" t="n">
        <f>614.6</f>
        <v>614.6</v>
      </c>
      <c r="N337" s="34" t="s">
        <v>203</v>
      </c>
      <c r="O337" s="33" t="n">
        <f>602.5</f>
        <v>602.5</v>
      </c>
      <c r="P337" s="34" t="s">
        <v>50</v>
      </c>
      <c r="Q337" s="33" t="n">
        <f>609.5</f>
        <v>609.5</v>
      </c>
      <c r="R337" s="34" t="s">
        <v>51</v>
      </c>
      <c r="S337" s="35" t="n">
        <f>608.89</f>
        <v>608.89</v>
      </c>
      <c r="T337" s="32" t="n">
        <f>11670</f>
        <v>11670.0</v>
      </c>
      <c r="U337" s="32" t="n">
        <f>330</f>
        <v>330.0</v>
      </c>
      <c r="V337" s="32" t="n">
        <f>7106186</f>
        <v>7106186.0</v>
      </c>
      <c r="W337" s="32" t="n">
        <f>202248</f>
        <v>202248.0</v>
      </c>
      <c r="X337" s="36" t="n">
        <f>19</f>
        <v>19.0</v>
      </c>
    </row>
    <row r="338">
      <c r="A338" s="27" t="s">
        <v>42</v>
      </c>
      <c r="B338" s="27" t="s">
        <v>1060</v>
      </c>
      <c r="C338" s="27" t="s">
        <v>1061</v>
      </c>
      <c r="D338" s="27" t="s">
        <v>1062</v>
      </c>
      <c r="E338" s="28" t="s">
        <v>46</v>
      </c>
      <c r="F338" s="29" t="s">
        <v>46</v>
      </c>
      <c r="G338" s="30" t="s">
        <v>46</v>
      </c>
      <c r="H338" s="31"/>
      <c r="I338" s="31" t="s">
        <v>47</v>
      </c>
      <c r="J338" s="32" t="n">
        <v>1.0</v>
      </c>
      <c r="K338" s="33" t="n">
        <f>8863</f>
        <v>8863.0</v>
      </c>
      <c r="L338" s="34" t="s">
        <v>48</v>
      </c>
      <c r="M338" s="33" t="n">
        <f>9520</f>
        <v>9520.0</v>
      </c>
      <c r="N338" s="34" t="s">
        <v>49</v>
      </c>
      <c r="O338" s="33" t="n">
        <f>8679</f>
        <v>8679.0</v>
      </c>
      <c r="P338" s="34" t="s">
        <v>203</v>
      </c>
      <c r="Q338" s="33" t="n">
        <f>9370</f>
        <v>9370.0</v>
      </c>
      <c r="R338" s="34" t="s">
        <v>51</v>
      </c>
      <c r="S338" s="35" t="n">
        <f>8936.7</f>
        <v>8936.7</v>
      </c>
      <c r="T338" s="32" t="n">
        <f>11206</f>
        <v>11206.0</v>
      </c>
      <c r="U338" s="32" t="n">
        <f>2</f>
        <v>2.0</v>
      </c>
      <c r="V338" s="32" t="n">
        <f>101697411</f>
        <v>1.01697411E8</v>
      </c>
      <c r="W338" s="32" t="n">
        <f>18822</f>
        <v>18822.0</v>
      </c>
      <c r="X338" s="36" t="n">
        <f>20</f>
        <v>20.0</v>
      </c>
    </row>
    <row r="339">
      <c r="A339" s="27" t="s">
        <v>42</v>
      </c>
      <c r="B339" s="27" t="s">
        <v>1063</v>
      </c>
      <c r="C339" s="27" t="s">
        <v>1064</v>
      </c>
      <c r="D339" s="27" t="s">
        <v>1065</v>
      </c>
      <c r="E339" s="28" t="s">
        <v>46</v>
      </c>
      <c r="F339" s="29" t="s">
        <v>46</v>
      </c>
      <c r="G339" s="30" t="s">
        <v>46</v>
      </c>
      <c r="H339" s="31"/>
      <c r="I339" s="31" t="s">
        <v>47</v>
      </c>
      <c r="J339" s="32" t="n">
        <v>1.0</v>
      </c>
      <c r="K339" s="33" t="n">
        <f>1015</f>
        <v>1015.0</v>
      </c>
      <c r="L339" s="34" t="s">
        <v>48</v>
      </c>
      <c r="M339" s="33" t="n">
        <f>1229</f>
        <v>1229.0</v>
      </c>
      <c r="N339" s="34" t="s">
        <v>398</v>
      </c>
      <c r="O339" s="33" t="n">
        <f>978</f>
        <v>978.0</v>
      </c>
      <c r="P339" s="34" t="s">
        <v>50</v>
      </c>
      <c r="Q339" s="33" t="n">
        <f>1180</f>
        <v>1180.0</v>
      </c>
      <c r="R339" s="34" t="s">
        <v>51</v>
      </c>
      <c r="S339" s="35" t="n">
        <f>1099.15</f>
        <v>1099.15</v>
      </c>
      <c r="T339" s="32" t="n">
        <f>1277657</f>
        <v>1277657.0</v>
      </c>
      <c r="U339" s="32" t="n">
        <f>280050</f>
        <v>280050.0</v>
      </c>
      <c r="V339" s="32" t="n">
        <f>1378649246</f>
        <v>1.378649246E9</v>
      </c>
      <c r="W339" s="32" t="n">
        <f>300411730</f>
        <v>3.0041173E8</v>
      </c>
      <c r="X339" s="36" t="n">
        <f>20</f>
        <v>20.0</v>
      </c>
    </row>
    <row r="340">
      <c r="A340" s="27" t="s">
        <v>42</v>
      </c>
      <c r="B340" s="27" t="s">
        <v>1066</v>
      </c>
      <c r="C340" s="27" t="s">
        <v>1067</v>
      </c>
      <c r="D340" s="27" t="s">
        <v>1068</v>
      </c>
      <c r="E340" s="28" t="s">
        <v>46</v>
      </c>
      <c r="F340" s="29" t="s">
        <v>46</v>
      </c>
      <c r="G340" s="30" t="s">
        <v>46</v>
      </c>
      <c r="H340" s="31"/>
      <c r="I340" s="31" t="s">
        <v>47</v>
      </c>
      <c r="J340" s="32" t="n">
        <v>1.0</v>
      </c>
      <c r="K340" s="33" t="n">
        <f>3267</f>
        <v>3267.0</v>
      </c>
      <c r="L340" s="34" t="s">
        <v>48</v>
      </c>
      <c r="M340" s="33" t="n">
        <f>3500</f>
        <v>3500.0</v>
      </c>
      <c r="N340" s="34" t="s">
        <v>70</v>
      </c>
      <c r="O340" s="33" t="n">
        <f>3193</f>
        <v>3193.0</v>
      </c>
      <c r="P340" s="34" t="s">
        <v>50</v>
      </c>
      <c r="Q340" s="33" t="n">
        <f>3290</f>
        <v>3290.0</v>
      </c>
      <c r="R340" s="34" t="s">
        <v>51</v>
      </c>
      <c r="S340" s="35" t="n">
        <f>3268.95</f>
        <v>3268.95</v>
      </c>
      <c r="T340" s="32" t="n">
        <f>13793</f>
        <v>13793.0</v>
      </c>
      <c r="U340" s="32" t="n">
        <f>30</f>
        <v>30.0</v>
      </c>
      <c r="V340" s="32" t="n">
        <f>45208071</f>
        <v>4.5208071E7</v>
      </c>
      <c r="W340" s="32" t="n">
        <f>97050</f>
        <v>97050.0</v>
      </c>
      <c r="X340" s="36" t="n">
        <f>20</f>
        <v>20.0</v>
      </c>
    </row>
    <row r="341">
      <c r="A341" s="27" t="s">
        <v>42</v>
      </c>
      <c r="B341" s="27" t="s">
        <v>1069</v>
      </c>
      <c r="C341" s="27" t="s">
        <v>1070</v>
      </c>
      <c r="D341" s="27" t="s">
        <v>1071</v>
      </c>
      <c r="E341" s="28" t="s">
        <v>46</v>
      </c>
      <c r="F341" s="29" t="s">
        <v>46</v>
      </c>
      <c r="G341" s="30" t="s">
        <v>46</v>
      </c>
      <c r="H341" s="31"/>
      <c r="I341" s="31" t="s">
        <v>47</v>
      </c>
      <c r="J341" s="32" t="n">
        <v>1.0</v>
      </c>
      <c r="K341" s="33" t="n">
        <f>2629</f>
        <v>2629.0</v>
      </c>
      <c r="L341" s="34" t="s">
        <v>48</v>
      </c>
      <c r="M341" s="33" t="n">
        <f>2755</f>
        <v>2755.0</v>
      </c>
      <c r="N341" s="34" t="s">
        <v>195</v>
      </c>
      <c r="O341" s="33" t="n">
        <f>2554</f>
        <v>2554.0</v>
      </c>
      <c r="P341" s="34" t="s">
        <v>62</v>
      </c>
      <c r="Q341" s="33" t="n">
        <f>2710</f>
        <v>2710.0</v>
      </c>
      <c r="R341" s="34" t="s">
        <v>51</v>
      </c>
      <c r="S341" s="35" t="n">
        <f>2668.8</f>
        <v>2668.8</v>
      </c>
      <c r="T341" s="32" t="n">
        <f>723114</f>
        <v>723114.0</v>
      </c>
      <c r="U341" s="32" t="n">
        <f>46873</f>
        <v>46873.0</v>
      </c>
      <c r="V341" s="32" t="n">
        <f>1888410870</f>
        <v>1.88841087E9</v>
      </c>
      <c r="W341" s="32" t="n">
        <f>121708559</f>
        <v>1.21708559E8</v>
      </c>
      <c r="X341" s="36" t="n">
        <f>20</f>
        <v>20.0</v>
      </c>
    </row>
    <row r="342">
      <c r="A342" s="27" t="s">
        <v>42</v>
      </c>
      <c r="B342" s="27" t="s">
        <v>1072</v>
      </c>
      <c r="C342" s="27" t="s">
        <v>1073</v>
      </c>
      <c r="D342" s="27" t="s">
        <v>1074</v>
      </c>
      <c r="E342" s="28" t="s">
        <v>46</v>
      </c>
      <c r="F342" s="29" t="s">
        <v>46</v>
      </c>
      <c r="G342" s="30" t="s">
        <v>46</v>
      </c>
      <c r="H342" s="31"/>
      <c r="I342" s="31" t="s">
        <v>47</v>
      </c>
      <c r="J342" s="32" t="n">
        <v>1.0</v>
      </c>
      <c r="K342" s="33" t="n">
        <f>8327</f>
        <v>8327.0</v>
      </c>
      <c r="L342" s="34" t="s">
        <v>48</v>
      </c>
      <c r="M342" s="33" t="n">
        <f>8523</f>
        <v>8523.0</v>
      </c>
      <c r="N342" s="34" t="s">
        <v>49</v>
      </c>
      <c r="O342" s="33" t="n">
        <f>8311</f>
        <v>8311.0</v>
      </c>
      <c r="P342" s="34" t="s">
        <v>207</v>
      </c>
      <c r="Q342" s="33" t="n">
        <f>8474</f>
        <v>8474.0</v>
      </c>
      <c r="R342" s="34" t="s">
        <v>51</v>
      </c>
      <c r="S342" s="35" t="n">
        <f>8429.84</f>
        <v>8429.84</v>
      </c>
      <c r="T342" s="32" t="n">
        <f>1341985</f>
        <v>1341985.0</v>
      </c>
      <c r="U342" s="32" t="n">
        <f>1337011</f>
        <v>1337011.0</v>
      </c>
      <c r="V342" s="32" t="n">
        <f>11234416432</f>
        <v>1.1234416432E10</v>
      </c>
      <c r="W342" s="32" t="n">
        <f>11192493031</f>
        <v>1.1192493031E10</v>
      </c>
      <c r="X342" s="36" t="n">
        <f>19</f>
        <v>19.0</v>
      </c>
    </row>
    <row r="343">
      <c r="A343" s="27" t="s">
        <v>42</v>
      </c>
      <c r="B343" s="27" t="s">
        <v>1075</v>
      </c>
      <c r="C343" s="27" t="s">
        <v>1076</v>
      </c>
      <c r="D343" s="27" t="s">
        <v>1077</v>
      </c>
      <c r="E343" s="28" t="s">
        <v>46</v>
      </c>
      <c r="F343" s="29" t="s">
        <v>46</v>
      </c>
      <c r="G343" s="30" t="s">
        <v>46</v>
      </c>
      <c r="H343" s="31"/>
      <c r="I343" s="31" t="s">
        <v>47</v>
      </c>
      <c r="J343" s="32" t="n">
        <v>1.0</v>
      </c>
      <c r="K343" s="33" t="n">
        <f>5302</f>
        <v>5302.0</v>
      </c>
      <c r="L343" s="34" t="s">
        <v>48</v>
      </c>
      <c r="M343" s="33" t="n">
        <f>5376</f>
        <v>5376.0</v>
      </c>
      <c r="N343" s="34" t="s">
        <v>203</v>
      </c>
      <c r="O343" s="33" t="n">
        <f>5281</f>
        <v>5281.0</v>
      </c>
      <c r="P343" s="34" t="s">
        <v>50</v>
      </c>
      <c r="Q343" s="33" t="n">
        <f>5328</f>
        <v>5328.0</v>
      </c>
      <c r="R343" s="34" t="s">
        <v>51</v>
      </c>
      <c r="S343" s="35" t="n">
        <f>5334.55</f>
        <v>5334.55</v>
      </c>
      <c r="T343" s="32" t="n">
        <f>72195</f>
        <v>72195.0</v>
      </c>
      <c r="U343" s="32" t="n">
        <f>40000</f>
        <v>40000.0</v>
      </c>
      <c r="V343" s="32" t="n">
        <f>383355935</f>
        <v>3.83355935E8</v>
      </c>
      <c r="W343" s="32" t="n">
        <f>212400000</f>
        <v>2.124E8</v>
      </c>
      <c r="X343" s="36" t="n">
        <f>20</f>
        <v>20.0</v>
      </c>
    </row>
    <row r="344">
      <c r="A344" s="27" t="s">
        <v>42</v>
      </c>
      <c r="B344" s="27" t="s">
        <v>1078</v>
      </c>
      <c r="C344" s="27" t="s">
        <v>1079</v>
      </c>
      <c r="D344" s="27" t="s">
        <v>1080</v>
      </c>
      <c r="E344" s="28" t="s">
        <v>46</v>
      </c>
      <c r="F344" s="29" t="s">
        <v>46</v>
      </c>
      <c r="G344" s="30" t="s">
        <v>46</v>
      </c>
      <c r="H344" s="31"/>
      <c r="I344" s="31" t="s">
        <v>47</v>
      </c>
      <c r="J344" s="32" t="n">
        <v>1.0</v>
      </c>
      <c r="K344" s="33" t="n">
        <f>1050</f>
        <v>1050.0</v>
      </c>
      <c r="L344" s="34" t="s">
        <v>48</v>
      </c>
      <c r="M344" s="33" t="n">
        <f>1093</f>
        <v>1093.0</v>
      </c>
      <c r="N344" s="34" t="s">
        <v>398</v>
      </c>
      <c r="O344" s="33" t="n">
        <f>1039</f>
        <v>1039.0</v>
      </c>
      <c r="P344" s="34" t="s">
        <v>48</v>
      </c>
      <c r="Q344" s="33" t="n">
        <f>1080</f>
        <v>1080.0</v>
      </c>
      <c r="R344" s="34" t="s">
        <v>51</v>
      </c>
      <c r="S344" s="35" t="n">
        <f>1067.35</f>
        <v>1067.35</v>
      </c>
      <c r="T344" s="32" t="n">
        <f>153104</f>
        <v>153104.0</v>
      </c>
      <c r="U344" s="32" t="str">
        <f>"－"</f>
        <v>－</v>
      </c>
      <c r="V344" s="32" t="n">
        <f>164601350</f>
        <v>1.6460135E8</v>
      </c>
      <c r="W344" s="32" t="str">
        <f>"－"</f>
        <v>－</v>
      </c>
      <c r="X344" s="36" t="n">
        <f>20</f>
        <v>20.0</v>
      </c>
    </row>
    <row r="345">
      <c r="A345" s="27" t="s">
        <v>42</v>
      </c>
      <c r="B345" s="27" t="s">
        <v>1081</v>
      </c>
      <c r="C345" s="27" t="s">
        <v>1082</v>
      </c>
      <c r="D345" s="27" t="s">
        <v>1083</v>
      </c>
      <c r="E345" s="28" t="s">
        <v>46</v>
      </c>
      <c r="F345" s="29" t="s">
        <v>46</v>
      </c>
      <c r="G345" s="30" t="s">
        <v>46</v>
      </c>
      <c r="H345" s="31"/>
      <c r="I345" s="31" t="s">
        <v>47</v>
      </c>
      <c r="J345" s="32" t="n">
        <v>1.0</v>
      </c>
      <c r="K345" s="33" t="n">
        <f>1998</f>
        <v>1998.0</v>
      </c>
      <c r="L345" s="34" t="s">
        <v>48</v>
      </c>
      <c r="M345" s="33" t="n">
        <f>2115</f>
        <v>2115.0</v>
      </c>
      <c r="N345" s="34" t="s">
        <v>70</v>
      </c>
      <c r="O345" s="33" t="n">
        <f>1981</f>
        <v>1981.0</v>
      </c>
      <c r="P345" s="34" t="s">
        <v>48</v>
      </c>
      <c r="Q345" s="33" t="n">
        <f>2108</f>
        <v>2108.0</v>
      </c>
      <c r="R345" s="34" t="s">
        <v>51</v>
      </c>
      <c r="S345" s="35" t="n">
        <f>2052.95</f>
        <v>2052.95</v>
      </c>
      <c r="T345" s="32" t="n">
        <f>1740104</f>
        <v>1740104.0</v>
      </c>
      <c r="U345" s="32" t="n">
        <f>17330</f>
        <v>17330.0</v>
      </c>
      <c r="V345" s="32" t="n">
        <f>3567230949</f>
        <v>3.567230949E9</v>
      </c>
      <c r="W345" s="32" t="n">
        <f>36008673</f>
        <v>3.6008673E7</v>
      </c>
      <c r="X345" s="36" t="n">
        <f>20</f>
        <v>20.0</v>
      </c>
    </row>
    <row r="346">
      <c r="A346" s="27" t="s">
        <v>42</v>
      </c>
      <c r="B346" s="27" t="s">
        <v>1084</v>
      </c>
      <c r="C346" s="27" t="s">
        <v>1085</v>
      </c>
      <c r="D346" s="27" t="s">
        <v>1086</v>
      </c>
      <c r="E346" s="28" t="s">
        <v>46</v>
      </c>
      <c r="F346" s="29" t="s">
        <v>46</v>
      </c>
      <c r="G346" s="30" t="s">
        <v>46</v>
      </c>
      <c r="H346" s="31"/>
      <c r="I346" s="31" t="s">
        <v>47</v>
      </c>
      <c r="J346" s="32" t="n">
        <v>1.0</v>
      </c>
      <c r="K346" s="33" t="n">
        <f>1391</f>
        <v>1391.0</v>
      </c>
      <c r="L346" s="34" t="s">
        <v>48</v>
      </c>
      <c r="M346" s="33" t="n">
        <f>1456</f>
        <v>1456.0</v>
      </c>
      <c r="N346" s="34" t="s">
        <v>195</v>
      </c>
      <c r="O346" s="33" t="n">
        <f>1379</f>
        <v>1379.0</v>
      </c>
      <c r="P346" s="34" t="s">
        <v>50</v>
      </c>
      <c r="Q346" s="33" t="n">
        <f>1453</f>
        <v>1453.0</v>
      </c>
      <c r="R346" s="34" t="s">
        <v>51</v>
      </c>
      <c r="S346" s="35" t="n">
        <f>1423.65</f>
        <v>1423.65</v>
      </c>
      <c r="T346" s="32" t="n">
        <f>2639640</f>
        <v>2639640.0</v>
      </c>
      <c r="U346" s="32" t="n">
        <f>1078217</f>
        <v>1078217.0</v>
      </c>
      <c r="V346" s="32" t="n">
        <f>3735348007</f>
        <v>3.735348007E9</v>
      </c>
      <c r="W346" s="32" t="n">
        <f>1537810660</f>
        <v>1.53781066E9</v>
      </c>
      <c r="X346" s="36" t="n">
        <f>20</f>
        <v>20.0</v>
      </c>
    </row>
    <row r="347">
      <c r="A347" s="27" t="s">
        <v>42</v>
      </c>
      <c r="B347" s="27" t="s">
        <v>1087</v>
      </c>
      <c r="C347" s="27" t="s">
        <v>1088</v>
      </c>
      <c r="D347" s="27" t="s">
        <v>1089</v>
      </c>
      <c r="E347" s="28" t="s">
        <v>46</v>
      </c>
      <c r="F347" s="29" t="s">
        <v>46</v>
      </c>
      <c r="G347" s="30" t="s">
        <v>46</v>
      </c>
      <c r="H347" s="31"/>
      <c r="I347" s="31" t="s">
        <v>47</v>
      </c>
      <c r="J347" s="32" t="n">
        <v>1.0</v>
      </c>
      <c r="K347" s="33" t="n">
        <f>15265</f>
        <v>15265.0</v>
      </c>
      <c r="L347" s="34" t="s">
        <v>48</v>
      </c>
      <c r="M347" s="33" t="n">
        <f>15420</f>
        <v>15420.0</v>
      </c>
      <c r="N347" s="34" t="s">
        <v>48</v>
      </c>
      <c r="O347" s="33" t="n">
        <f>14560</f>
        <v>14560.0</v>
      </c>
      <c r="P347" s="34" t="s">
        <v>61</v>
      </c>
      <c r="Q347" s="33" t="n">
        <f>14590</f>
        <v>14590.0</v>
      </c>
      <c r="R347" s="34" t="s">
        <v>51</v>
      </c>
      <c r="S347" s="35" t="n">
        <f>14912.75</f>
        <v>14912.75</v>
      </c>
      <c r="T347" s="32" t="n">
        <f>79413</f>
        <v>79413.0</v>
      </c>
      <c r="U347" s="32" t="n">
        <f>55</f>
        <v>55.0</v>
      </c>
      <c r="V347" s="32" t="n">
        <f>1192695139</f>
        <v>1.192695139E9</v>
      </c>
      <c r="W347" s="32" t="n">
        <f>803074</f>
        <v>803074.0</v>
      </c>
      <c r="X347" s="36" t="n">
        <f>20</f>
        <v>20.0</v>
      </c>
    </row>
    <row r="348">
      <c r="A348" s="27" t="s">
        <v>42</v>
      </c>
      <c r="B348" s="27" t="s">
        <v>1090</v>
      </c>
      <c r="C348" s="27" t="s">
        <v>1091</v>
      </c>
      <c r="D348" s="27" t="s">
        <v>1092</v>
      </c>
      <c r="E348" s="28" t="s">
        <v>46</v>
      </c>
      <c r="F348" s="29" t="s">
        <v>46</v>
      </c>
      <c r="G348" s="30" t="s">
        <v>46</v>
      </c>
      <c r="H348" s="31"/>
      <c r="I348" s="31" t="s">
        <v>47</v>
      </c>
      <c r="J348" s="32" t="n">
        <v>1.0</v>
      </c>
      <c r="K348" s="33" t="n">
        <f>3995</f>
        <v>3995.0</v>
      </c>
      <c r="L348" s="34" t="s">
        <v>48</v>
      </c>
      <c r="M348" s="33" t="n">
        <f>4016</f>
        <v>4016.0</v>
      </c>
      <c r="N348" s="34" t="s">
        <v>214</v>
      </c>
      <c r="O348" s="33" t="n">
        <f>3954</f>
        <v>3954.0</v>
      </c>
      <c r="P348" s="34" t="s">
        <v>50</v>
      </c>
      <c r="Q348" s="33" t="n">
        <f>3971</f>
        <v>3971.0</v>
      </c>
      <c r="R348" s="34" t="s">
        <v>51</v>
      </c>
      <c r="S348" s="35" t="n">
        <f>3986.35</f>
        <v>3986.35</v>
      </c>
      <c r="T348" s="32" t="n">
        <f>850943</f>
        <v>850943.0</v>
      </c>
      <c r="U348" s="32" t="n">
        <f>778992</f>
        <v>778992.0</v>
      </c>
      <c r="V348" s="32" t="n">
        <f>3393128388</f>
        <v>3.393128388E9</v>
      </c>
      <c r="W348" s="32" t="n">
        <f>3105902181</f>
        <v>3.105902181E9</v>
      </c>
      <c r="X348" s="36" t="n">
        <f>20</f>
        <v>20.0</v>
      </c>
    </row>
    <row r="349">
      <c r="A349" s="27" t="s">
        <v>42</v>
      </c>
      <c r="B349" s="27" t="s">
        <v>1093</v>
      </c>
      <c r="C349" s="27" t="s">
        <v>1094</v>
      </c>
      <c r="D349" s="27" t="s">
        <v>1095</v>
      </c>
      <c r="E349" s="28" t="s">
        <v>46</v>
      </c>
      <c r="F349" s="29" t="s">
        <v>46</v>
      </c>
      <c r="G349" s="30" t="s">
        <v>46</v>
      </c>
      <c r="H349" s="31"/>
      <c r="I349" s="31" t="s">
        <v>47</v>
      </c>
      <c r="J349" s="32" t="n">
        <v>1.0</v>
      </c>
      <c r="K349" s="33" t="n">
        <f>5058</f>
        <v>5058.0</v>
      </c>
      <c r="L349" s="34" t="s">
        <v>48</v>
      </c>
      <c r="M349" s="33" t="n">
        <f>5183</f>
        <v>5183.0</v>
      </c>
      <c r="N349" s="34" t="s">
        <v>203</v>
      </c>
      <c r="O349" s="33" t="n">
        <f>5020</f>
        <v>5020.0</v>
      </c>
      <c r="P349" s="34" t="s">
        <v>50</v>
      </c>
      <c r="Q349" s="33" t="n">
        <f>5132</f>
        <v>5132.0</v>
      </c>
      <c r="R349" s="34" t="s">
        <v>51</v>
      </c>
      <c r="S349" s="35" t="n">
        <f>5106.85</f>
        <v>5106.85</v>
      </c>
      <c r="T349" s="32" t="n">
        <f>467596</f>
        <v>467596.0</v>
      </c>
      <c r="U349" s="32" t="n">
        <f>404080</f>
        <v>404080.0</v>
      </c>
      <c r="V349" s="32" t="n">
        <f>2412906404</f>
        <v>2.412906404E9</v>
      </c>
      <c r="W349" s="32" t="n">
        <f>2088950007</f>
        <v>2.088950007E9</v>
      </c>
      <c r="X349" s="36" t="n">
        <f>20</f>
        <v>20.0</v>
      </c>
    </row>
    <row r="350">
      <c r="A350" s="27" t="s">
        <v>42</v>
      </c>
      <c r="B350" s="27" t="s">
        <v>1096</v>
      </c>
      <c r="C350" s="27" t="s">
        <v>1097</v>
      </c>
      <c r="D350" s="27" t="s">
        <v>1098</v>
      </c>
      <c r="E350" s="28" t="s">
        <v>46</v>
      </c>
      <c r="F350" s="29" t="s">
        <v>46</v>
      </c>
      <c r="G350" s="30" t="s">
        <v>46</v>
      </c>
      <c r="H350" s="31"/>
      <c r="I350" s="31" t="s">
        <v>47</v>
      </c>
      <c r="J350" s="32" t="n">
        <v>10.0</v>
      </c>
      <c r="K350" s="33" t="n">
        <f>2912</f>
        <v>2912.0</v>
      </c>
      <c r="L350" s="34" t="s">
        <v>48</v>
      </c>
      <c r="M350" s="33" t="n">
        <f>3049</f>
        <v>3049.0</v>
      </c>
      <c r="N350" s="34" t="s">
        <v>61</v>
      </c>
      <c r="O350" s="33" t="n">
        <f>2883.5</f>
        <v>2883.5</v>
      </c>
      <c r="P350" s="34" t="s">
        <v>50</v>
      </c>
      <c r="Q350" s="33" t="n">
        <f>3044</f>
        <v>3044.0</v>
      </c>
      <c r="R350" s="34" t="s">
        <v>51</v>
      </c>
      <c r="S350" s="35" t="n">
        <f>2979.73</f>
        <v>2979.73</v>
      </c>
      <c r="T350" s="32" t="n">
        <f>909980</f>
        <v>909980.0</v>
      </c>
      <c r="U350" s="32" t="n">
        <f>340890</f>
        <v>340890.0</v>
      </c>
      <c r="V350" s="32" t="n">
        <f>2721056086</f>
        <v>2.721056086E9</v>
      </c>
      <c r="W350" s="32" t="n">
        <f>1023620981</f>
        <v>1.023620981E9</v>
      </c>
      <c r="X350" s="36" t="n">
        <f>20</f>
        <v>20.0</v>
      </c>
    </row>
    <row r="351">
      <c r="A351" s="27" t="s">
        <v>42</v>
      </c>
      <c r="B351" s="27" t="s">
        <v>1099</v>
      </c>
      <c r="C351" s="27" t="s">
        <v>1100</v>
      </c>
      <c r="D351" s="27" t="s">
        <v>1101</v>
      </c>
      <c r="E351" s="28" t="s">
        <v>46</v>
      </c>
      <c r="F351" s="29" t="s">
        <v>46</v>
      </c>
      <c r="G351" s="30" t="s">
        <v>46</v>
      </c>
      <c r="H351" s="31"/>
      <c r="I351" s="31" t="s">
        <v>47</v>
      </c>
      <c r="J351" s="32" t="n">
        <v>10.0</v>
      </c>
      <c r="K351" s="33" t="n">
        <f>2267</f>
        <v>2267.0</v>
      </c>
      <c r="L351" s="34" t="s">
        <v>48</v>
      </c>
      <c r="M351" s="33" t="n">
        <f>2301.5</f>
        <v>2301.5</v>
      </c>
      <c r="N351" s="34" t="s">
        <v>61</v>
      </c>
      <c r="O351" s="33" t="n">
        <f>2243.5</f>
        <v>2243.5</v>
      </c>
      <c r="P351" s="34" t="s">
        <v>50</v>
      </c>
      <c r="Q351" s="33" t="n">
        <f>2295.5</f>
        <v>2295.5</v>
      </c>
      <c r="R351" s="34" t="s">
        <v>51</v>
      </c>
      <c r="S351" s="35" t="n">
        <f>2276.68</f>
        <v>2276.68</v>
      </c>
      <c r="T351" s="32" t="n">
        <f>438010</f>
        <v>438010.0</v>
      </c>
      <c r="U351" s="32" t="n">
        <f>198630</f>
        <v>198630.0</v>
      </c>
      <c r="V351" s="32" t="n">
        <f>993008305</f>
        <v>9.93008305E8</v>
      </c>
      <c r="W351" s="32" t="n">
        <f>450913120</f>
        <v>4.5091312E8</v>
      </c>
      <c r="X351" s="36" t="n">
        <f>20</f>
        <v>20.0</v>
      </c>
    </row>
    <row r="352">
      <c r="A352" s="27" t="s">
        <v>42</v>
      </c>
      <c r="B352" s="27" t="s">
        <v>1102</v>
      </c>
      <c r="C352" s="27" t="s">
        <v>1103</v>
      </c>
      <c r="D352" s="27" t="s">
        <v>1104</v>
      </c>
      <c r="E352" s="28" t="s">
        <v>46</v>
      </c>
      <c r="F352" s="29" t="s">
        <v>46</v>
      </c>
      <c r="G352" s="30" t="s">
        <v>46</v>
      </c>
      <c r="H352" s="31"/>
      <c r="I352" s="31" t="s">
        <v>47</v>
      </c>
      <c r="J352" s="32" t="n">
        <v>1.0</v>
      </c>
      <c r="K352" s="33" t="n">
        <f>2273</f>
        <v>2273.0</v>
      </c>
      <c r="L352" s="34" t="s">
        <v>48</v>
      </c>
      <c r="M352" s="33" t="n">
        <f>2445</f>
        <v>2445.0</v>
      </c>
      <c r="N352" s="34" t="s">
        <v>74</v>
      </c>
      <c r="O352" s="33" t="n">
        <f>2253</f>
        <v>2253.0</v>
      </c>
      <c r="P352" s="34" t="s">
        <v>50</v>
      </c>
      <c r="Q352" s="33" t="n">
        <f>2382</f>
        <v>2382.0</v>
      </c>
      <c r="R352" s="34" t="s">
        <v>51</v>
      </c>
      <c r="S352" s="35" t="n">
        <f>2338.05</f>
        <v>2338.05</v>
      </c>
      <c r="T352" s="32" t="n">
        <f>8137</f>
        <v>8137.0</v>
      </c>
      <c r="U352" s="32" t="str">
        <f>"－"</f>
        <v>－</v>
      </c>
      <c r="V352" s="32" t="n">
        <f>19136342</f>
        <v>1.9136342E7</v>
      </c>
      <c r="W352" s="32" t="str">
        <f>"－"</f>
        <v>－</v>
      </c>
      <c r="X352" s="36" t="n">
        <f>20</f>
        <v>20.0</v>
      </c>
    </row>
    <row r="353">
      <c r="A353" s="27" t="s">
        <v>42</v>
      </c>
      <c r="B353" s="27" t="s">
        <v>1105</v>
      </c>
      <c r="C353" s="27" t="s">
        <v>1106</v>
      </c>
      <c r="D353" s="27" t="s">
        <v>1107</v>
      </c>
      <c r="E353" s="28" t="s">
        <v>46</v>
      </c>
      <c r="F353" s="29" t="s">
        <v>46</v>
      </c>
      <c r="G353" s="30" t="s">
        <v>46</v>
      </c>
      <c r="H353" s="31"/>
      <c r="I353" s="31" t="s">
        <v>47</v>
      </c>
      <c r="J353" s="32" t="n">
        <v>1.0</v>
      </c>
      <c r="K353" s="33" t="n">
        <f>2321</f>
        <v>2321.0</v>
      </c>
      <c r="L353" s="34" t="s">
        <v>207</v>
      </c>
      <c r="M353" s="33" t="n">
        <f>2450</f>
        <v>2450.0</v>
      </c>
      <c r="N353" s="34" t="s">
        <v>214</v>
      </c>
      <c r="O353" s="33" t="n">
        <f>2317</f>
        <v>2317.0</v>
      </c>
      <c r="P353" s="34" t="s">
        <v>50</v>
      </c>
      <c r="Q353" s="33" t="n">
        <f>2385</f>
        <v>2385.0</v>
      </c>
      <c r="R353" s="34" t="s">
        <v>51</v>
      </c>
      <c r="S353" s="35" t="n">
        <f>2378.11</f>
        <v>2378.11</v>
      </c>
      <c r="T353" s="32" t="n">
        <f>3808</f>
        <v>3808.0</v>
      </c>
      <c r="U353" s="32" t="str">
        <f>"－"</f>
        <v>－</v>
      </c>
      <c r="V353" s="32" t="n">
        <f>9095410</f>
        <v>9095410.0</v>
      </c>
      <c r="W353" s="32" t="str">
        <f>"－"</f>
        <v>－</v>
      </c>
      <c r="X353" s="36" t="n">
        <f>19</f>
        <v>19.0</v>
      </c>
    </row>
    <row r="354">
      <c r="A354" s="27" t="s">
        <v>42</v>
      </c>
      <c r="B354" s="27" t="s">
        <v>1108</v>
      </c>
      <c r="C354" s="27" t="s">
        <v>1109</v>
      </c>
      <c r="D354" s="27" t="s">
        <v>1110</v>
      </c>
      <c r="E354" s="28" t="s">
        <v>46</v>
      </c>
      <c r="F354" s="29" t="s">
        <v>46</v>
      </c>
      <c r="G354" s="30" t="s">
        <v>46</v>
      </c>
      <c r="H354" s="31"/>
      <c r="I354" s="31" t="s">
        <v>47</v>
      </c>
      <c r="J354" s="32" t="n">
        <v>1.0</v>
      </c>
      <c r="K354" s="33" t="n">
        <f>4680</f>
        <v>4680.0</v>
      </c>
      <c r="L354" s="34" t="s">
        <v>48</v>
      </c>
      <c r="M354" s="33" t="n">
        <f>4905</f>
        <v>4905.0</v>
      </c>
      <c r="N354" s="34" t="s">
        <v>70</v>
      </c>
      <c r="O354" s="33" t="n">
        <f>4630</f>
        <v>4630.0</v>
      </c>
      <c r="P354" s="34" t="s">
        <v>48</v>
      </c>
      <c r="Q354" s="33" t="n">
        <f>4784</f>
        <v>4784.0</v>
      </c>
      <c r="R354" s="34" t="s">
        <v>51</v>
      </c>
      <c r="S354" s="35" t="n">
        <f>4738.5</f>
        <v>4738.5</v>
      </c>
      <c r="T354" s="32" t="n">
        <f>34677</f>
        <v>34677.0</v>
      </c>
      <c r="U354" s="32" t="n">
        <f>22000</f>
        <v>22000.0</v>
      </c>
      <c r="V354" s="32" t="n">
        <f>165303000</f>
        <v>1.65303E8</v>
      </c>
      <c r="W354" s="32" t="n">
        <f>104821200</f>
        <v>1.048212E8</v>
      </c>
      <c r="X354" s="36" t="n">
        <f>20</f>
        <v>20.0</v>
      </c>
    </row>
    <row r="355">
      <c r="A355" s="27" t="s">
        <v>42</v>
      </c>
      <c r="B355" s="27" t="s">
        <v>1111</v>
      </c>
      <c r="C355" s="27" t="s">
        <v>1112</v>
      </c>
      <c r="D355" s="27" t="s">
        <v>1113</v>
      </c>
      <c r="E355" s="28" t="s">
        <v>46</v>
      </c>
      <c r="F355" s="29" t="s">
        <v>46</v>
      </c>
      <c r="G355" s="30" t="s">
        <v>46</v>
      </c>
      <c r="H355" s="31"/>
      <c r="I355" s="31" t="s">
        <v>47</v>
      </c>
      <c r="J355" s="32" t="n">
        <v>10.0</v>
      </c>
      <c r="K355" s="33" t="n">
        <f>298.9</f>
        <v>298.9</v>
      </c>
      <c r="L355" s="34" t="s">
        <v>48</v>
      </c>
      <c r="M355" s="33" t="n">
        <f>317</f>
        <v>317.0</v>
      </c>
      <c r="N355" s="34" t="s">
        <v>70</v>
      </c>
      <c r="O355" s="33" t="n">
        <f>295.7</f>
        <v>295.7</v>
      </c>
      <c r="P355" s="34" t="s">
        <v>50</v>
      </c>
      <c r="Q355" s="33" t="n">
        <f>308.5</f>
        <v>308.5</v>
      </c>
      <c r="R355" s="34" t="s">
        <v>51</v>
      </c>
      <c r="S355" s="35" t="n">
        <f>303.87</f>
        <v>303.87</v>
      </c>
      <c r="T355" s="32" t="n">
        <f>383320</f>
        <v>383320.0</v>
      </c>
      <c r="U355" s="32" t="n">
        <f>10</f>
        <v>10.0</v>
      </c>
      <c r="V355" s="32" t="n">
        <f>116105889</f>
        <v>1.16105889E8</v>
      </c>
      <c r="W355" s="32" t="n">
        <f>3035</f>
        <v>3035.0</v>
      </c>
      <c r="X355" s="36" t="n">
        <f>20</f>
        <v>20.0</v>
      </c>
    </row>
    <row r="356">
      <c r="A356" s="27" t="s">
        <v>42</v>
      </c>
      <c r="B356" s="27" t="s">
        <v>1114</v>
      </c>
      <c r="C356" s="27" t="s">
        <v>1115</v>
      </c>
      <c r="D356" s="27" t="s">
        <v>1116</v>
      </c>
      <c r="E356" s="28" t="s">
        <v>46</v>
      </c>
      <c r="F356" s="29" t="s">
        <v>46</v>
      </c>
      <c r="G356" s="30" t="s">
        <v>46</v>
      </c>
      <c r="H356" s="31"/>
      <c r="I356" s="31" t="s">
        <v>47</v>
      </c>
      <c r="J356" s="32" t="n">
        <v>10.0</v>
      </c>
      <c r="K356" s="33" t="n">
        <f>187.6</f>
        <v>187.6</v>
      </c>
      <c r="L356" s="34" t="s">
        <v>48</v>
      </c>
      <c r="M356" s="33" t="n">
        <f>210.7</f>
        <v>210.7</v>
      </c>
      <c r="N356" s="34" t="s">
        <v>48</v>
      </c>
      <c r="O356" s="33" t="n">
        <f>183.4</f>
        <v>183.4</v>
      </c>
      <c r="P356" s="34" t="s">
        <v>103</v>
      </c>
      <c r="Q356" s="33" t="n">
        <f>187.4</f>
        <v>187.4</v>
      </c>
      <c r="R356" s="34" t="s">
        <v>51</v>
      </c>
      <c r="S356" s="35" t="n">
        <f>187.7</f>
        <v>187.7</v>
      </c>
      <c r="T356" s="32" t="n">
        <f>8727220</f>
        <v>8727220.0</v>
      </c>
      <c r="U356" s="32" t="n">
        <f>6656110</f>
        <v>6656110.0</v>
      </c>
      <c r="V356" s="32" t="n">
        <f>1661381694</f>
        <v>1.661381694E9</v>
      </c>
      <c r="W356" s="32" t="n">
        <f>1264982170</f>
        <v>1.26498217E9</v>
      </c>
      <c r="X356" s="36" t="n">
        <f>20</f>
        <v>20.0</v>
      </c>
    </row>
    <row r="357">
      <c r="A357" s="27" t="s">
        <v>42</v>
      </c>
      <c r="B357" s="27" t="s">
        <v>1117</v>
      </c>
      <c r="C357" s="27" t="s">
        <v>1118</v>
      </c>
      <c r="D357" s="27" t="s">
        <v>1119</v>
      </c>
      <c r="E357" s="28" t="s">
        <v>46</v>
      </c>
      <c r="F357" s="29" t="s">
        <v>46</v>
      </c>
      <c r="G357" s="30" t="s">
        <v>46</v>
      </c>
      <c r="H357" s="31"/>
      <c r="I357" s="31" t="s">
        <v>47</v>
      </c>
      <c r="J357" s="32" t="n">
        <v>10.0</v>
      </c>
      <c r="K357" s="33" t="n">
        <f>637.7</f>
        <v>637.7</v>
      </c>
      <c r="L357" s="34" t="s">
        <v>48</v>
      </c>
      <c r="M357" s="33" t="n">
        <f>644.5</f>
        <v>644.5</v>
      </c>
      <c r="N357" s="34" t="s">
        <v>155</v>
      </c>
      <c r="O357" s="33" t="n">
        <f>631.4</f>
        <v>631.4</v>
      </c>
      <c r="P357" s="34" t="s">
        <v>99</v>
      </c>
      <c r="Q357" s="33" t="n">
        <f>641.8</f>
        <v>641.8</v>
      </c>
      <c r="R357" s="34" t="s">
        <v>51</v>
      </c>
      <c r="S357" s="35" t="n">
        <f>640.82</f>
        <v>640.82</v>
      </c>
      <c r="T357" s="32" t="n">
        <f>850</f>
        <v>850.0</v>
      </c>
      <c r="U357" s="32" t="str">
        <f>"－"</f>
        <v>－</v>
      </c>
      <c r="V357" s="32" t="n">
        <f>544109</f>
        <v>544109.0</v>
      </c>
      <c r="W357" s="32" t="str">
        <f>"－"</f>
        <v>－</v>
      </c>
      <c r="X357" s="36" t="n">
        <f>17</f>
        <v>17.0</v>
      </c>
    </row>
    <row r="358">
      <c r="A358" s="27" t="s">
        <v>42</v>
      </c>
      <c r="B358" s="27" t="s">
        <v>1120</v>
      </c>
      <c r="C358" s="27" t="s">
        <v>1121</v>
      </c>
      <c r="D358" s="27" t="s">
        <v>1122</v>
      </c>
      <c r="E358" s="28" t="s">
        <v>46</v>
      </c>
      <c r="F358" s="29" t="s">
        <v>46</v>
      </c>
      <c r="G358" s="30" t="s">
        <v>46</v>
      </c>
      <c r="H358" s="31"/>
      <c r="I358" s="31" t="s">
        <v>47</v>
      </c>
      <c r="J358" s="32" t="n">
        <v>1.0</v>
      </c>
      <c r="K358" s="33" t="n">
        <f>1688</f>
        <v>1688.0</v>
      </c>
      <c r="L358" s="34" t="s">
        <v>48</v>
      </c>
      <c r="M358" s="33" t="n">
        <f>1840</f>
        <v>1840.0</v>
      </c>
      <c r="N358" s="34" t="s">
        <v>49</v>
      </c>
      <c r="O358" s="33" t="n">
        <f>1658</f>
        <v>1658.0</v>
      </c>
      <c r="P358" s="34" t="s">
        <v>48</v>
      </c>
      <c r="Q358" s="33" t="n">
        <f>1805</f>
        <v>1805.0</v>
      </c>
      <c r="R358" s="34" t="s">
        <v>51</v>
      </c>
      <c r="S358" s="35" t="n">
        <f>1756.9</f>
        <v>1756.9</v>
      </c>
      <c r="T358" s="32" t="n">
        <f>241926</f>
        <v>241926.0</v>
      </c>
      <c r="U358" s="32" t="n">
        <f>30</f>
        <v>30.0</v>
      </c>
      <c r="V358" s="32" t="n">
        <f>426927403</f>
        <v>4.26927403E8</v>
      </c>
      <c r="W358" s="32" t="n">
        <f>51962</f>
        <v>51962.0</v>
      </c>
      <c r="X358" s="36" t="n">
        <f>20</f>
        <v>20.0</v>
      </c>
    </row>
    <row r="359">
      <c r="A359" s="27" t="s">
        <v>42</v>
      </c>
      <c r="B359" s="27" t="s">
        <v>1123</v>
      </c>
      <c r="C359" s="27" t="s">
        <v>1124</v>
      </c>
      <c r="D359" s="27" t="s">
        <v>1125</v>
      </c>
      <c r="E359" s="28" t="s">
        <v>46</v>
      </c>
      <c r="F359" s="29" t="s">
        <v>46</v>
      </c>
      <c r="G359" s="30" t="s">
        <v>46</v>
      </c>
      <c r="H359" s="31"/>
      <c r="I359" s="31" t="s">
        <v>47</v>
      </c>
      <c r="J359" s="32" t="n">
        <v>1.0</v>
      </c>
      <c r="K359" s="33" t="n">
        <f>1010</f>
        <v>1010.0</v>
      </c>
      <c r="L359" s="34" t="s">
        <v>48</v>
      </c>
      <c r="M359" s="33" t="n">
        <f>1021</f>
        <v>1021.0</v>
      </c>
      <c r="N359" s="34" t="s">
        <v>99</v>
      </c>
      <c r="O359" s="33" t="n">
        <f>986</f>
        <v>986.0</v>
      </c>
      <c r="P359" s="34" t="s">
        <v>103</v>
      </c>
      <c r="Q359" s="33" t="n">
        <f>1003</f>
        <v>1003.0</v>
      </c>
      <c r="R359" s="34" t="s">
        <v>51</v>
      </c>
      <c r="S359" s="35" t="n">
        <f>1006.5</f>
        <v>1006.5</v>
      </c>
      <c r="T359" s="32" t="n">
        <f>1762837</f>
        <v>1762837.0</v>
      </c>
      <c r="U359" s="32" t="n">
        <f>1669420</f>
        <v>1669420.0</v>
      </c>
      <c r="V359" s="32" t="n">
        <f>1753027657</f>
        <v>1.753027657E9</v>
      </c>
      <c r="W359" s="32" t="n">
        <f>1658860781</f>
        <v>1.658860781E9</v>
      </c>
      <c r="X359" s="36" t="n">
        <f>20</f>
        <v>20.0</v>
      </c>
    </row>
    <row r="360">
      <c r="A360" s="27" t="s">
        <v>42</v>
      </c>
      <c r="B360" s="27" t="s">
        <v>1126</v>
      </c>
      <c r="C360" s="27" t="s">
        <v>1127</v>
      </c>
      <c r="D360" s="27" t="s">
        <v>1128</v>
      </c>
      <c r="E360" s="28" t="s">
        <v>46</v>
      </c>
      <c r="F360" s="29" t="s">
        <v>46</v>
      </c>
      <c r="G360" s="30" t="s">
        <v>46</v>
      </c>
      <c r="H360" s="31"/>
      <c r="I360" s="31" t="s">
        <v>47</v>
      </c>
      <c r="J360" s="32" t="n">
        <v>10.0</v>
      </c>
      <c r="K360" s="33" t="n">
        <f>685.9</f>
        <v>685.9</v>
      </c>
      <c r="L360" s="34" t="s">
        <v>48</v>
      </c>
      <c r="M360" s="33" t="n">
        <f>690.8</f>
        <v>690.8</v>
      </c>
      <c r="N360" s="34" t="s">
        <v>99</v>
      </c>
      <c r="O360" s="33" t="n">
        <f>683.7</f>
        <v>683.7</v>
      </c>
      <c r="P360" s="34" t="s">
        <v>49</v>
      </c>
      <c r="Q360" s="33" t="n">
        <f>685</f>
        <v>685.0</v>
      </c>
      <c r="R360" s="34" t="s">
        <v>51</v>
      </c>
      <c r="S360" s="35" t="n">
        <f>686.95</f>
        <v>686.95</v>
      </c>
      <c r="T360" s="32" t="n">
        <f>26909810</f>
        <v>2.690981E7</v>
      </c>
      <c r="U360" s="32" t="n">
        <f>26052000</f>
        <v>2.6052E7</v>
      </c>
      <c r="V360" s="32" t="n">
        <f>18451104877</f>
        <v>1.8451104877E10</v>
      </c>
      <c r="W360" s="32" t="n">
        <f>17862943290</f>
        <v>1.786294329E10</v>
      </c>
      <c r="X360" s="36" t="n">
        <f>20</f>
        <v>20.0</v>
      </c>
    </row>
    <row r="361">
      <c r="A361" s="27" t="s">
        <v>42</v>
      </c>
      <c r="B361" s="27" t="s">
        <v>1129</v>
      </c>
      <c r="C361" s="27" t="s">
        <v>1130</v>
      </c>
      <c r="D361" s="27" t="s">
        <v>1131</v>
      </c>
      <c r="E361" s="28" t="s">
        <v>46</v>
      </c>
      <c r="F361" s="29" t="s">
        <v>46</v>
      </c>
      <c r="G361" s="30" t="s">
        <v>46</v>
      </c>
      <c r="H361" s="31"/>
      <c r="I361" s="31" t="s">
        <v>47</v>
      </c>
      <c r="J361" s="32" t="n">
        <v>10.0</v>
      </c>
      <c r="K361" s="33" t="n">
        <f>653.2</f>
        <v>653.2</v>
      </c>
      <c r="L361" s="34" t="s">
        <v>48</v>
      </c>
      <c r="M361" s="33" t="n">
        <f>656.9</f>
        <v>656.9</v>
      </c>
      <c r="N361" s="34" t="s">
        <v>99</v>
      </c>
      <c r="O361" s="33" t="n">
        <f>649.1</f>
        <v>649.1</v>
      </c>
      <c r="P361" s="34" t="s">
        <v>50</v>
      </c>
      <c r="Q361" s="33" t="n">
        <f>652.2</f>
        <v>652.2</v>
      </c>
      <c r="R361" s="34" t="s">
        <v>51</v>
      </c>
      <c r="S361" s="35" t="n">
        <f>651.93</f>
        <v>651.93</v>
      </c>
      <c r="T361" s="32" t="n">
        <f>1652480</f>
        <v>1652480.0</v>
      </c>
      <c r="U361" s="32" t="n">
        <f>1477870</f>
        <v>1477870.0</v>
      </c>
      <c r="V361" s="32" t="n">
        <f>1074156873</f>
        <v>1.074156873E9</v>
      </c>
      <c r="W361" s="32" t="n">
        <f>960392580</f>
        <v>9.6039258E8</v>
      </c>
      <c r="X361" s="36" t="n">
        <f>20</f>
        <v>20.0</v>
      </c>
    </row>
    <row r="362">
      <c r="A362" s="27" t="s">
        <v>42</v>
      </c>
      <c r="B362" s="27" t="s">
        <v>1132</v>
      </c>
      <c r="C362" s="27" t="s">
        <v>1133</v>
      </c>
      <c r="D362" s="27" t="s">
        <v>1134</v>
      </c>
      <c r="E362" s="28" t="s">
        <v>46</v>
      </c>
      <c r="F362" s="29" t="s">
        <v>46</v>
      </c>
      <c r="G362" s="30" t="s">
        <v>46</v>
      </c>
      <c r="H362" s="31"/>
      <c r="I362" s="31" t="s">
        <v>47</v>
      </c>
      <c r="J362" s="32" t="n">
        <v>1.0</v>
      </c>
      <c r="K362" s="33" t="n">
        <f>1259</f>
        <v>1259.0</v>
      </c>
      <c r="L362" s="34" t="s">
        <v>48</v>
      </c>
      <c r="M362" s="33" t="n">
        <f>1284</f>
        <v>1284.0</v>
      </c>
      <c r="N362" s="34" t="s">
        <v>199</v>
      </c>
      <c r="O362" s="33" t="n">
        <f>1241</f>
        <v>1241.0</v>
      </c>
      <c r="P362" s="34" t="s">
        <v>512</v>
      </c>
      <c r="Q362" s="33" t="n">
        <f>1262</f>
        <v>1262.0</v>
      </c>
      <c r="R362" s="34" t="s">
        <v>51</v>
      </c>
      <c r="S362" s="35" t="n">
        <f>1254.9</f>
        <v>1254.9</v>
      </c>
      <c r="T362" s="32" t="n">
        <f>23920</f>
        <v>23920.0</v>
      </c>
      <c r="U362" s="32" t="str">
        <f>"－"</f>
        <v>－</v>
      </c>
      <c r="V362" s="32" t="n">
        <f>30015751</f>
        <v>3.0015751E7</v>
      </c>
      <c r="W362" s="32" t="str">
        <f>"－"</f>
        <v>－</v>
      </c>
      <c r="X362" s="36" t="n">
        <f>20</f>
        <v>20.0</v>
      </c>
    </row>
    <row r="363">
      <c r="A363" s="27" t="s">
        <v>42</v>
      </c>
      <c r="B363" s="27" t="s">
        <v>1135</v>
      </c>
      <c r="C363" s="27" t="s">
        <v>1136</v>
      </c>
      <c r="D363" s="27" t="s">
        <v>1137</v>
      </c>
      <c r="E363" s="28" t="s">
        <v>46</v>
      </c>
      <c r="F363" s="29" t="s">
        <v>46</v>
      </c>
      <c r="G363" s="30" t="s">
        <v>46</v>
      </c>
      <c r="H363" s="31"/>
      <c r="I363" s="31" t="s">
        <v>47</v>
      </c>
      <c r="J363" s="32" t="n">
        <v>1.0</v>
      </c>
      <c r="K363" s="33" t="n">
        <f>2733</f>
        <v>2733.0</v>
      </c>
      <c r="L363" s="34" t="s">
        <v>48</v>
      </c>
      <c r="M363" s="33" t="n">
        <f>2802</f>
        <v>2802.0</v>
      </c>
      <c r="N363" s="34" t="s">
        <v>70</v>
      </c>
      <c r="O363" s="33" t="n">
        <f>2690</f>
        <v>2690.0</v>
      </c>
      <c r="P363" s="34" t="s">
        <v>50</v>
      </c>
      <c r="Q363" s="33" t="n">
        <f>2793</f>
        <v>2793.0</v>
      </c>
      <c r="R363" s="34" t="s">
        <v>51</v>
      </c>
      <c r="S363" s="35" t="n">
        <f>2742.7</f>
        <v>2742.7</v>
      </c>
      <c r="T363" s="32" t="n">
        <f>187616</f>
        <v>187616.0</v>
      </c>
      <c r="U363" s="32" t="n">
        <f>26835</f>
        <v>26835.0</v>
      </c>
      <c r="V363" s="32" t="n">
        <f>512570903</f>
        <v>5.12570903E8</v>
      </c>
      <c r="W363" s="32" t="n">
        <f>72746654</f>
        <v>7.2746654E7</v>
      </c>
      <c r="X363" s="36" t="n">
        <f>20</f>
        <v>20.0</v>
      </c>
    </row>
    <row r="364">
      <c r="A364" s="27" t="s">
        <v>42</v>
      </c>
      <c r="B364" s="27" t="s">
        <v>1138</v>
      </c>
      <c r="C364" s="27" t="s">
        <v>1139</v>
      </c>
      <c r="D364" s="27" t="s">
        <v>1140</v>
      </c>
      <c r="E364" s="28" t="s">
        <v>46</v>
      </c>
      <c r="F364" s="29" t="s">
        <v>46</v>
      </c>
      <c r="G364" s="30" t="s">
        <v>46</v>
      </c>
      <c r="H364" s="31"/>
      <c r="I364" s="31" t="s">
        <v>47</v>
      </c>
      <c r="J364" s="32" t="n">
        <v>1.0</v>
      </c>
      <c r="K364" s="33" t="n">
        <f>3126</f>
        <v>3126.0</v>
      </c>
      <c r="L364" s="34" t="s">
        <v>48</v>
      </c>
      <c r="M364" s="33" t="n">
        <f>3145</f>
        <v>3145.0</v>
      </c>
      <c r="N364" s="34" t="s">
        <v>207</v>
      </c>
      <c r="O364" s="33" t="n">
        <f>3030</f>
        <v>3030.0</v>
      </c>
      <c r="P364" s="34" t="s">
        <v>69</v>
      </c>
      <c r="Q364" s="33" t="n">
        <f>3092</f>
        <v>3092.0</v>
      </c>
      <c r="R364" s="34" t="s">
        <v>51</v>
      </c>
      <c r="S364" s="35" t="n">
        <f>3086.45</f>
        <v>3086.45</v>
      </c>
      <c r="T364" s="32" t="n">
        <f>1024848</f>
        <v>1024848.0</v>
      </c>
      <c r="U364" s="32" t="n">
        <f>504280</f>
        <v>504280.0</v>
      </c>
      <c r="V364" s="32" t="n">
        <f>3159971457</f>
        <v>3.159971457E9</v>
      </c>
      <c r="W364" s="32" t="n">
        <f>1552911966</f>
        <v>1.552911966E9</v>
      </c>
      <c r="X364" s="36" t="n">
        <f>20</f>
        <v>20.0</v>
      </c>
    </row>
    <row r="365">
      <c r="A365" s="27" t="s">
        <v>42</v>
      </c>
      <c r="B365" s="27" t="s">
        <v>1141</v>
      </c>
      <c r="C365" s="27" t="s">
        <v>1142</v>
      </c>
      <c r="D365" s="27" t="s">
        <v>1143</v>
      </c>
      <c r="E365" s="28" t="s">
        <v>46</v>
      </c>
      <c r="F365" s="29" t="s">
        <v>46</v>
      </c>
      <c r="G365" s="30" t="s">
        <v>46</v>
      </c>
      <c r="H365" s="31"/>
      <c r="I365" s="31" t="s">
        <v>47</v>
      </c>
      <c r="J365" s="32" t="n">
        <v>1.0</v>
      </c>
      <c r="K365" s="33" t="n">
        <f>5506</f>
        <v>5506.0</v>
      </c>
      <c r="L365" s="34" t="s">
        <v>207</v>
      </c>
      <c r="M365" s="33" t="n">
        <f>5688</f>
        <v>5688.0</v>
      </c>
      <c r="N365" s="34" t="s">
        <v>398</v>
      </c>
      <c r="O365" s="33" t="n">
        <f>5497</f>
        <v>5497.0</v>
      </c>
      <c r="P365" s="34" t="s">
        <v>50</v>
      </c>
      <c r="Q365" s="33" t="n">
        <f>5594</f>
        <v>5594.0</v>
      </c>
      <c r="R365" s="34" t="s">
        <v>51</v>
      </c>
      <c r="S365" s="35" t="n">
        <f>5565.21</f>
        <v>5565.21</v>
      </c>
      <c r="T365" s="32" t="n">
        <f>2856</f>
        <v>2856.0</v>
      </c>
      <c r="U365" s="32" t="n">
        <f>70</f>
        <v>70.0</v>
      </c>
      <c r="V365" s="32" t="n">
        <f>15921492</f>
        <v>1.5921492E7</v>
      </c>
      <c r="W365" s="32" t="n">
        <f>390887</f>
        <v>390887.0</v>
      </c>
      <c r="X365" s="36" t="n">
        <f>19</f>
        <v>19.0</v>
      </c>
    </row>
    <row r="366">
      <c r="A366" s="27" t="s">
        <v>42</v>
      </c>
      <c r="B366" s="27" t="s">
        <v>1144</v>
      </c>
      <c r="C366" s="27" t="s">
        <v>1145</v>
      </c>
      <c r="D366" s="27" t="s">
        <v>1146</v>
      </c>
      <c r="E366" s="28" t="s">
        <v>46</v>
      </c>
      <c r="F366" s="29" t="s">
        <v>46</v>
      </c>
      <c r="G366" s="30" t="s">
        <v>46</v>
      </c>
      <c r="H366" s="31"/>
      <c r="I366" s="31" t="s">
        <v>47</v>
      </c>
      <c r="J366" s="32" t="n">
        <v>1.0</v>
      </c>
      <c r="K366" s="33" t="n">
        <f>4033</f>
        <v>4033.0</v>
      </c>
      <c r="L366" s="34" t="s">
        <v>48</v>
      </c>
      <c r="M366" s="33" t="n">
        <f>4057</f>
        <v>4057.0</v>
      </c>
      <c r="N366" s="34" t="s">
        <v>199</v>
      </c>
      <c r="O366" s="33" t="n">
        <f>4006</f>
        <v>4006.0</v>
      </c>
      <c r="P366" s="34" t="s">
        <v>50</v>
      </c>
      <c r="Q366" s="33" t="n">
        <f>4041</f>
        <v>4041.0</v>
      </c>
      <c r="R366" s="34" t="s">
        <v>51</v>
      </c>
      <c r="S366" s="35" t="n">
        <f>4037.8</f>
        <v>4037.8</v>
      </c>
      <c r="T366" s="32" t="n">
        <f>1893</f>
        <v>1893.0</v>
      </c>
      <c r="U366" s="32" t="str">
        <f>"－"</f>
        <v>－</v>
      </c>
      <c r="V366" s="32" t="n">
        <f>7654689</f>
        <v>7654689.0</v>
      </c>
      <c r="W366" s="32" t="str">
        <f>"－"</f>
        <v>－</v>
      </c>
      <c r="X366" s="36" t="n">
        <f>10</f>
        <v>10.0</v>
      </c>
    </row>
    <row r="367">
      <c r="A367" s="27" t="s">
        <v>42</v>
      </c>
      <c r="B367" s="27" t="s">
        <v>1147</v>
      </c>
      <c r="C367" s="27" t="s">
        <v>1148</v>
      </c>
      <c r="D367" s="27" t="s">
        <v>1149</v>
      </c>
      <c r="E367" s="28" t="s">
        <v>46</v>
      </c>
      <c r="F367" s="29" t="s">
        <v>46</v>
      </c>
      <c r="G367" s="30" t="s">
        <v>46</v>
      </c>
      <c r="H367" s="31" t="s">
        <v>1017</v>
      </c>
      <c r="I367" s="31" t="s">
        <v>47</v>
      </c>
      <c r="J367" s="32" t="n">
        <v>10.0</v>
      </c>
      <c r="K367" s="33" t="n">
        <f>1920</f>
        <v>1920.0</v>
      </c>
      <c r="L367" s="34" t="s">
        <v>50</v>
      </c>
      <c r="M367" s="33" t="n">
        <f>1941.5</f>
        <v>1941.5</v>
      </c>
      <c r="N367" s="34" t="s">
        <v>99</v>
      </c>
      <c r="O367" s="33" t="n">
        <f>1903</f>
        <v>1903.0</v>
      </c>
      <c r="P367" s="34" t="s">
        <v>62</v>
      </c>
      <c r="Q367" s="33" t="n">
        <f>1920</f>
        <v>1920.0</v>
      </c>
      <c r="R367" s="34" t="s">
        <v>51</v>
      </c>
      <c r="S367" s="35" t="n">
        <f>1925.46</f>
        <v>1925.46</v>
      </c>
      <c r="T367" s="32" t="n">
        <f>4110</f>
        <v>4110.0</v>
      </c>
      <c r="U367" s="32" t="str">
        <f>"－"</f>
        <v>－</v>
      </c>
      <c r="V367" s="32" t="n">
        <f>7880795</f>
        <v>7880795.0</v>
      </c>
      <c r="W367" s="32" t="str">
        <f>"－"</f>
        <v>－</v>
      </c>
      <c r="X367" s="36" t="n">
        <f>12</f>
        <v>12.0</v>
      </c>
    </row>
    <row r="368">
      <c r="A368" s="27" t="s">
        <v>42</v>
      </c>
      <c r="B368" s="27" t="s">
        <v>1150</v>
      </c>
      <c r="C368" s="27" t="s">
        <v>1151</v>
      </c>
      <c r="D368" s="27" t="s">
        <v>1152</v>
      </c>
      <c r="E368" s="28" t="s">
        <v>46</v>
      </c>
      <c r="F368" s="29" t="s">
        <v>46</v>
      </c>
      <c r="G368" s="30" t="s">
        <v>46</v>
      </c>
      <c r="H368" s="31"/>
      <c r="I368" s="31" t="s">
        <v>47</v>
      </c>
      <c r="J368" s="32" t="n">
        <v>1.0</v>
      </c>
      <c r="K368" s="33" t="n">
        <f>1223</f>
        <v>1223.0</v>
      </c>
      <c r="L368" s="34" t="s">
        <v>48</v>
      </c>
      <c r="M368" s="33" t="n">
        <f>1236</f>
        <v>1236.0</v>
      </c>
      <c r="N368" s="34" t="s">
        <v>203</v>
      </c>
      <c r="O368" s="33" t="n">
        <f>1163</f>
        <v>1163.0</v>
      </c>
      <c r="P368" s="34" t="s">
        <v>50</v>
      </c>
      <c r="Q368" s="33" t="n">
        <f>1185</f>
        <v>1185.0</v>
      </c>
      <c r="R368" s="34" t="s">
        <v>51</v>
      </c>
      <c r="S368" s="35" t="n">
        <f>1189.65</f>
        <v>1189.65</v>
      </c>
      <c r="T368" s="32" t="n">
        <f>13808</f>
        <v>13808.0</v>
      </c>
      <c r="U368" s="32" t="str">
        <f>"－"</f>
        <v>－</v>
      </c>
      <c r="V368" s="32" t="n">
        <f>16421853</f>
        <v>1.6421853E7</v>
      </c>
      <c r="W368" s="32" t="str">
        <f>"－"</f>
        <v>－</v>
      </c>
      <c r="X368" s="36" t="n">
        <f>20</f>
        <v>20.0</v>
      </c>
    </row>
    <row r="369">
      <c r="A369" s="27" t="s">
        <v>42</v>
      </c>
      <c r="B369" s="27" t="s">
        <v>1153</v>
      </c>
      <c r="C369" s="27" t="s">
        <v>1154</v>
      </c>
      <c r="D369" s="27" t="s">
        <v>1155</v>
      </c>
      <c r="E369" s="28" t="s">
        <v>46</v>
      </c>
      <c r="F369" s="29" t="s">
        <v>46</v>
      </c>
      <c r="G369" s="30" t="s">
        <v>46</v>
      </c>
      <c r="H369" s="31"/>
      <c r="I369" s="31" t="s">
        <v>47</v>
      </c>
      <c r="J369" s="32" t="n">
        <v>1.0</v>
      </c>
      <c r="K369" s="33" t="n">
        <f>1084</f>
        <v>1084.0</v>
      </c>
      <c r="L369" s="34" t="s">
        <v>48</v>
      </c>
      <c r="M369" s="33" t="n">
        <f>1117</f>
        <v>1117.0</v>
      </c>
      <c r="N369" s="34" t="s">
        <v>70</v>
      </c>
      <c r="O369" s="33" t="n">
        <f>1080</f>
        <v>1080.0</v>
      </c>
      <c r="P369" s="34" t="s">
        <v>207</v>
      </c>
      <c r="Q369" s="33" t="n">
        <f>1114</f>
        <v>1114.0</v>
      </c>
      <c r="R369" s="34" t="s">
        <v>51</v>
      </c>
      <c r="S369" s="35" t="n">
        <f>1096.6</f>
        <v>1096.6</v>
      </c>
      <c r="T369" s="32" t="n">
        <f>6297498</f>
        <v>6297498.0</v>
      </c>
      <c r="U369" s="32" t="n">
        <f>351</f>
        <v>351.0</v>
      </c>
      <c r="V369" s="32" t="n">
        <f>6907684660</f>
        <v>6.90768466E9</v>
      </c>
      <c r="W369" s="32" t="n">
        <f>386219</f>
        <v>386219.0</v>
      </c>
      <c r="X369" s="36" t="n">
        <f>20</f>
        <v>20.0</v>
      </c>
    </row>
    <row r="370">
      <c r="A370" s="27" t="s">
        <v>42</v>
      </c>
      <c r="B370" s="27" t="s">
        <v>1156</v>
      </c>
      <c r="C370" s="27" t="s">
        <v>1157</v>
      </c>
      <c r="D370" s="27" t="s">
        <v>1158</v>
      </c>
      <c r="E370" s="28" t="s">
        <v>46</v>
      </c>
      <c r="F370" s="29" t="s">
        <v>46</v>
      </c>
      <c r="G370" s="30" t="s">
        <v>46</v>
      </c>
      <c r="H370" s="31"/>
      <c r="I370" s="31" t="s">
        <v>47</v>
      </c>
      <c r="J370" s="32" t="n">
        <v>1.0</v>
      </c>
      <c r="K370" s="33" t="n">
        <f>958</f>
        <v>958.0</v>
      </c>
      <c r="L370" s="34" t="s">
        <v>48</v>
      </c>
      <c r="M370" s="33" t="n">
        <f>986</f>
        <v>986.0</v>
      </c>
      <c r="N370" s="34" t="s">
        <v>74</v>
      </c>
      <c r="O370" s="33" t="n">
        <f>954</f>
        <v>954.0</v>
      </c>
      <c r="P370" s="34" t="s">
        <v>48</v>
      </c>
      <c r="Q370" s="33" t="n">
        <f>975</f>
        <v>975.0</v>
      </c>
      <c r="R370" s="34" t="s">
        <v>51</v>
      </c>
      <c r="S370" s="35" t="n">
        <f>973.6</f>
        <v>973.6</v>
      </c>
      <c r="T370" s="32" t="n">
        <f>858730</f>
        <v>858730.0</v>
      </c>
      <c r="U370" s="32" t="n">
        <f>90</f>
        <v>90.0</v>
      </c>
      <c r="V370" s="32" t="n">
        <f>834948874</f>
        <v>8.34948874E8</v>
      </c>
      <c r="W370" s="32" t="n">
        <f>87300</f>
        <v>87300.0</v>
      </c>
      <c r="X370" s="36" t="n">
        <f>20</f>
        <v>20.0</v>
      </c>
    </row>
    <row r="371">
      <c r="A371" s="27" t="s">
        <v>42</v>
      </c>
      <c r="B371" s="27" t="s">
        <v>1159</v>
      </c>
      <c r="C371" s="27" t="s">
        <v>1160</v>
      </c>
      <c r="D371" s="27" t="s">
        <v>1161</v>
      </c>
      <c r="E371" s="28" t="s">
        <v>46</v>
      </c>
      <c r="F371" s="29" t="s">
        <v>46</v>
      </c>
      <c r="G371" s="30" t="s">
        <v>46</v>
      </c>
      <c r="H371" s="31"/>
      <c r="I371" s="31" t="s">
        <v>47</v>
      </c>
      <c r="J371" s="32" t="n">
        <v>1.0</v>
      </c>
      <c r="K371" s="33" t="n">
        <f>1215</f>
        <v>1215.0</v>
      </c>
      <c r="L371" s="34" t="s">
        <v>48</v>
      </c>
      <c r="M371" s="33" t="n">
        <f>1348</f>
        <v>1348.0</v>
      </c>
      <c r="N371" s="34" t="s">
        <v>61</v>
      </c>
      <c r="O371" s="33" t="n">
        <f>1175</f>
        <v>1175.0</v>
      </c>
      <c r="P371" s="34" t="s">
        <v>62</v>
      </c>
      <c r="Q371" s="33" t="n">
        <f>1324</f>
        <v>1324.0</v>
      </c>
      <c r="R371" s="34" t="s">
        <v>51</v>
      </c>
      <c r="S371" s="35" t="n">
        <f>1251.4</f>
        <v>1251.4</v>
      </c>
      <c r="T371" s="32" t="n">
        <f>21567</f>
        <v>21567.0</v>
      </c>
      <c r="U371" s="32" t="str">
        <f>"－"</f>
        <v>－</v>
      </c>
      <c r="V371" s="32" t="n">
        <f>27437383</f>
        <v>2.7437383E7</v>
      </c>
      <c r="W371" s="32" t="str">
        <f>"－"</f>
        <v>－</v>
      </c>
      <c r="X371" s="36" t="n">
        <f>20</f>
        <v>20.0</v>
      </c>
    </row>
    <row r="372">
      <c r="A372" s="27" t="s">
        <v>42</v>
      </c>
      <c r="B372" s="27" t="s">
        <v>1162</v>
      </c>
      <c r="C372" s="27" t="s">
        <v>1163</v>
      </c>
      <c r="D372" s="27" t="s">
        <v>1164</v>
      </c>
      <c r="E372" s="28" t="s">
        <v>46</v>
      </c>
      <c r="F372" s="29" t="s">
        <v>46</v>
      </c>
      <c r="G372" s="30" t="s">
        <v>46</v>
      </c>
      <c r="H372" s="31"/>
      <c r="I372" s="31" t="s">
        <v>47</v>
      </c>
      <c r="J372" s="32" t="n">
        <v>1.0</v>
      </c>
      <c r="K372" s="33" t="n">
        <f>997</f>
        <v>997.0</v>
      </c>
      <c r="L372" s="34" t="s">
        <v>48</v>
      </c>
      <c r="M372" s="33" t="n">
        <f>1016</f>
        <v>1016.0</v>
      </c>
      <c r="N372" s="34" t="s">
        <v>70</v>
      </c>
      <c r="O372" s="33" t="n">
        <f>992</f>
        <v>992.0</v>
      </c>
      <c r="P372" s="34" t="s">
        <v>48</v>
      </c>
      <c r="Q372" s="33" t="n">
        <f>1010</f>
        <v>1010.0</v>
      </c>
      <c r="R372" s="34" t="s">
        <v>51</v>
      </c>
      <c r="S372" s="35" t="n">
        <f>1002.6</f>
        <v>1002.6</v>
      </c>
      <c r="T372" s="32" t="n">
        <f>1167968</f>
        <v>1167968.0</v>
      </c>
      <c r="U372" s="32" t="n">
        <f>257</f>
        <v>257.0</v>
      </c>
      <c r="V372" s="32" t="n">
        <f>1170031763</f>
        <v>1.170031763E9</v>
      </c>
      <c r="W372" s="32" t="n">
        <f>256555</f>
        <v>256555.0</v>
      </c>
      <c r="X372" s="36" t="n">
        <f>20</f>
        <v>20.0</v>
      </c>
    </row>
    <row r="373">
      <c r="A373" s="27" t="s">
        <v>42</v>
      </c>
      <c r="B373" s="27" t="s">
        <v>1165</v>
      </c>
      <c r="C373" s="27" t="s">
        <v>1166</v>
      </c>
      <c r="D373" s="27" t="s">
        <v>1167</v>
      </c>
      <c r="E373" s="28" t="s">
        <v>46</v>
      </c>
      <c r="F373" s="29" t="s">
        <v>46</v>
      </c>
      <c r="G373" s="30" t="s">
        <v>46</v>
      </c>
      <c r="H373" s="31"/>
      <c r="I373" s="31" t="s">
        <v>47</v>
      </c>
      <c r="J373" s="32" t="n">
        <v>1.0</v>
      </c>
      <c r="K373" s="33" t="n">
        <f>52900</f>
        <v>52900.0</v>
      </c>
      <c r="L373" s="34" t="s">
        <v>48</v>
      </c>
      <c r="M373" s="33" t="n">
        <f>57730</f>
        <v>57730.0</v>
      </c>
      <c r="N373" s="34" t="s">
        <v>61</v>
      </c>
      <c r="O373" s="33" t="n">
        <f>51810</f>
        <v>51810.0</v>
      </c>
      <c r="P373" s="34" t="s">
        <v>50</v>
      </c>
      <c r="Q373" s="33" t="n">
        <f>57480</f>
        <v>57480.0</v>
      </c>
      <c r="R373" s="34" t="s">
        <v>51</v>
      </c>
      <c r="S373" s="35" t="n">
        <f>55265</f>
        <v>55265.0</v>
      </c>
      <c r="T373" s="32" t="n">
        <f>253971</f>
        <v>253971.0</v>
      </c>
      <c r="U373" s="32" t="n">
        <f>1103</f>
        <v>1103.0</v>
      </c>
      <c r="V373" s="32" t="n">
        <f>14089437858</f>
        <v>1.4089437858E10</v>
      </c>
      <c r="W373" s="32" t="n">
        <f>60931398</f>
        <v>6.0931398E7</v>
      </c>
      <c r="X373" s="36" t="n">
        <f>20</f>
        <v>20.0</v>
      </c>
    </row>
    <row r="374">
      <c r="A374" s="27" t="s">
        <v>42</v>
      </c>
      <c r="B374" s="27" t="s">
        <v>1168</v>
      </c>
      <c r="C374" s="27" t="s">
        <v>1169</v>
      </c>
      <c r="D374" s="27" t="s">
        <v>1170</v>
      </c>
      <c r="E374" s="28" t="s">
        <v>46</v>
      </c>
      <c r="F374" s="29" t="s">
        <v>46</v>
      </c>
      <c r="G374" s="30" t="s">
        <v>46</v>
      </c>
      <c r="H374" s="31"/>
      <c r="I374" s="31" t="s">
        <v>47</v>
      </c>
      <c r="J374" s="32" t="n">
        <v>1.0</v>
      </c>
      <c r="K374" s="33" t="n">
        <f>12460</f>
        <v>12460.0</v>
      </c>
      <c r="L374" s="34" t="s">
        <v>48</v>
      </c>
      <c r="M374" s="33" t="n">
        <f>12730</f>
        <v>12730.0</v>
      </c>
      <c r="N374" s="34" t="s">
        <v>48</v>
      </c>
      <c r="O374" s="33" t="n">
        <f>11340</f>
        <v>11340.0</v>
      </c>
      <c r="P374" s="34" t="s">
        <v>61</v>
      </c>
      <c r="Q374" s="33" t="n">
        <f>11350</f>
        <v>11350.0</v>
      </c>
      <c r="R374" s="34" t="s">
        <v>51</v>
      </c>
      <c r="S374" s="35" t="n">
        <f>11898.25</f>
        <v>11898.25</v>
      </c>
      <c r="T374" s="32" t="n">
        <f>432517</f>
        <v>432517.0</v>
      </c>
      <c r="U374" s="32" t="n">
        <f>993</f>
        <v>993.0</v>
      </c>
      <c r="V374" s="32" t="n">
        <f>5182345773</f>
        <v>5.182345773E9</v>
      </c>
      <c r="W374" s="32" t="n">
        <f>11932368</f>
        <v>1.1932368E7</v>
      </c>
      <c r="X374" s="36" t="n">
        <f>20</f>
        <v>20.0</v>
      </c>
    </row>
    <row r="375">
      <c r="A375" s="27" t="s">
        <v>42</v>
      </c>
      <c r="B375" s="27" t="s">
        <v>1171</v>
      </c>
      <c r="C375" s="27" t="s">
        <v>1172</v>
      </c>
      <c r="D375" s="27" t="s">
        <v>1173</v>
      </c>
      <c r="E375" s="28" t="s">
        <v>46</v>
      </c>
      <c r="F375" s="29" t="s">
        <v>46</v>
      </c>
      <c r="G375" s="30" t="s">
        <v>46</v>
      </c>
      <c r="H375" s="31"/>
      <c r="I375" s="31" t="s">
        <v>47</v>
      </c>
      <c r="J375" s="32" t="n">
        <v>1.0</v>
      </c>
      <c r="K375" s="33" t="n">
        <f>2258</f>
        <v>2258.0</v>
      </c>
      <c r="L375" s="34" t="s">
        <v>48</v>
      </c>
      <c r="M375" s="33" t="n">
        <f>2348</f>
        <v>2348.0</v>
      </c>
      <c r="N375" s="34" t="s">
        <v>69</v>
      </c>
      <c r="O375" s="33" t="n">
        <f>2221</f>
        <v>2221.0</v>
      </c>
      <c r="P375" s="34" t="s">
        <v>50</v>
      </c>
      <c r="Q375" s="33" t="n">
        <f>2320</f>
        <v>2320.0</v>
      </c>
      <c r="R375" s="34" t="s">
        <v>51</v>
      </c>
      <c r="S375" s="35" t="n">
        <f>2302.8</f>
        <v>2302.8</v>
      </c>
      <c r="T375" s="32" t="n">
        <f>877</f>
        <v>877.0</v>
      </c>
      <c r="U375" s="32" t="str">
        <f>"－"</f>
        <v>－</v>
      </c>
      <c r="V375" s="32" t="n">
        <f>2004623</f>
        <v>2004623.0</v>
      </c>
      <c r="W375" s="32" t="str">
        <f>"－"</f>
        <v>－</v>
      </c>
      <c r="X375" s="36" t="n">
        <f>15</f>
        <v>15.0</v>
      </c>
    </row>
    <row r="376">
      <c r="A376" s="27" t="s">
        <v>42</v>
      </c>
      <c r="B376" s="27" t="s">
        <v>1174</v>
      </c>
      <c r="C376" s="27" t="s">
        <v>1175</v>
      </c>
      <c r="D376" s="27" t="s">
        <v>1176</v>
      </c>
      <c r="E376" s="28" t="s">
        <v>46</v>
      </c>
      <c r="F376" s="29" t="s">
        <v>46</v>
      </c>
      <c r="G376" s="30" t="s">
        <v>46</v>
      </c>
      <c r="H376" s="31"/>
      <c r="I376" s="31" t="s">
        <v>47</v>
      </c>
      <c r="J376" s="32" t="n">
        <v>1.0</v>
      </c>
      <c r="K376" s="33" t="n">
        <f>9020</f>
        <v>9020.0</v>
      </c>
      <c r="L376" s="34" t="s">
        <v>48</v>
      </c>
      <c r="M376" s="33" t="n">
        <f>9744</f>
        <v>9744.0</v>
      </c>
      <c r="N376" s="34" t="s">
        <v>398</v>
      </c>
      <c r="O376" s="33" t="n">
        <f>8600</f>
        <v>8600.0</v>
      </c>
      <c r="P376" s="34" t="s">
        <v>203</v>
      </c>
      <c r="Q376" s="33" t="n">
        <f>9590</f>
        <v>9590.0</v>
      </c>
      <c r="R376" s="34" t="s">
        <v>51</v>
      </c>
      <c r="S376" s="35" t="n">
        <f>9115.2</f>
        <v>9115.2</v>
      </c>
      <c r="T376" s="32" t="n">
        <f>2040</f>
        <v>2040.0</v>
      </c>
      <c r="U376" s="32" t="n">
        <f>2</f>
        <v>2.0</v>
      </c>
      <c r="V376" s="32" t="n">
        <f>18564613</f>
        <v>1.8564613E7</v>
      </c>
      <c r="W376" s="32" t="n">
        <f>19398</f>
        <v>19398.0</v>
      </c>
      <c r="X376" s="36" t="n">
        <f>20</f>
        <v>20.0</v>
      </c>
    </row>
    <row r="377">
      <c r="A377" s="27" t="s">
        <v>42</v>
      </c>
      <c r="B377" s="27" t="s">
        <v>1177</v>
      </c>
      <c r="C377" s="27" t="s">
        <v>1178</v>
      </c>
      <c r="D377" s="27" t="s">
        <v>1179</v>
      </c>
      <c r="E377" s="28" t="s">
        <v>46</v>
      </c>
      <c r="F377" s="29" t="s">
        <v>46</v>
      </c>
      <c r="G377" s="30" t="s">
        <v>46</v>
      </c>
      <c r="H377" s="31"/>
      <c r="I377" s="31" t="s">
        <v>47</v>
      </c>
      <c r="J377" s="32" t="n">
        <v>1.0</v>
      </c>
      <c r="K377" s="33" t="n">
        <f>127100</f>
        <v>127100.0</v>
      </c>
      <c r="L377" s="34" t="s">
        <v>48</v>
      </c>
      <c r="M377" s="33" t="n">
        <f>127400</f>
        <v>127400.0</v>
      </c>
      <c r="N377" s="34" t="s">
        <v>48</v>
      </c>
      <c r="O377" s="33" t="n">
        <f>121500</f>
        <v>121500.0</v>
      </c>
      <c r="P377" s="34" t="s">
        <v>51</v>
      </c>
      <c r="Q377" s="33" t="n">
        <f>123000</f>
        <v>123000.0</v>
      </c>
      <c r="R377" s="34" t="s">
        <v>51</v>
      </c>
      <c r="S377" s="35" t="n">
        <f>124760</f>
        <v>124760.0</v>
      </c>
      <c r="T377" s="32" t="n">
        <f>15730</f>
        <v>15730.0</v>
      </c>
      <c r="U377" s="32" t="n">
        <f>2489</f>
        <v>2489.0</v>
      </c>
      <c r="V377" s="32" t="n">
        <f>1960534423</f>
        <v>1.960534423E9</v>
      </c>
      <c r="W377" s="32" t="n">
        <f>310756523</f>
        <v>3.10756523E8</v>
      </c>
      <c r="X377" s="36" t="n">
        <f>20</f>
        <v>20.0</v>
      </c>
    </row>
    <row r="378">
      <c r="A378" s="27" t="s">
        <v>42</v>
      </c>
      <c r="B378" s="27" t="s">
        <v>1180</v>
      </c>
      <c r="C378" s="27" t="s">
        <v>1181</v>
      </c>
      <c r="D378" s="27" t="s">
        <v>1182</v>
      </c>
      <c r="E378" s="28" t="s">
        <v>46</v>
      </c>
      <c r="F378" s="29" t="s">
        <v>46</v>
      </c>
      <c r="G378" s="30" t="s">
        <v>46</v>
      </c>
      <c r="H378" s="31"/>
      <c r="I378" s="31" t="s">
        <v>414</v>
      </c>
      <c r="J378" s="32" t="n">
        <v>1.0</v>
      </c>
      <c r="K378" s="33" t="n">
        <f>95500</f>
        <v>95500.0</v>
      </c>
      <c r="L378" s="34" t="s">
        <v>48</v>
      </c>
      <c r="M378" s="33" t="n">
        <f>102900</f>
        <v>102900.0</v>
      </c>
      <c r="N378" s="34" t="s">
        <v>74</v>
      </c>
      <c r="O378" s="33" t="n">
        <f>93400</f>
        <v>93400.0</v>
      </c>
      <c r="P378" s="34" t="s">
        <v>103</v>
      </c>
      <c r="Q378" s="33" t="n">
        <f>101000</f>
        <v>101000.0</v>
      </c>
      <c r="R378" s="34" t="s">
        <v>51</v>
      </c>
      <c r="S378" s="35" t="n">
        <f>99155</f>
        <v>99155.0</v>
      </c>
      <c r="T378" s="32" t="n">
        <f>40046</f>
        <v>40046.0</v>
      </c>
      <c r="U378" s="32" t="n">
        <f>7192</f>
        <v>7192.0</v>
      </c>
      <c r="V378" s="32" t="n">
        <f>3971333632</f>
        <v>3.971333632E9</v>
      </c>
      <c r="W378" s="32" t="n">
        <f>710322332</f>
        <v>7.10322332E8</v>
      </c>
      <c r="X378" s="36" t="n">
        <f>20</f>
        <v>20.0</v>
      </c>
    </row>
    <row r="379">
      <c r="A379" s="27" t="s">
        <v>42</v>
      </c>
      <c r="B379" s="27" t="s">
        <v>1183</v>
      </c>
      <c r="C379" s="27" t="s">
        <v>1184</v>
      </c>
      <c r="D379" s="27" t="s">
        <v>1185</v>
      </c>
      <c r="E379" s="28" t="s">
        <v>46</v>
      </c>
      <c r="F379" s="29" t="s">
        <v>46</v>
      </c>
      <c r="G379" s="30" t="s">
        <v>46</v>
      </c>
      <c r="H379" s="31"/>
      <c r="I379" s="31" t="s">
        <v>47</v>
      </c>
      <c r="J379" s="32" t="n">
        <v>1.0</v>
      </c>
      <c r="K379" s="33" t="n">
        <f>120700</f>
        <v>120700.0</v>
      </c>
      <c r="L379" s="34" t="s">
        <v>48</v>
      </c>
      <c r="M379" s="33" t="n">
        <f>121900</f>
        <v>121900.0</v>
      </c>
      <c r="N379" s="34" t="s">
        <v>48</v>
      </c>
      <c r="O379" s="33" t="n">
        <f>116500</f>
        <v>116500.0</v>
      </c>
      <c r="P379" s="34" t="s">
        <v>103</v>
      </c>
      <c r="Q379" s="33" t="n">
        <f>118700</f>
        <v>118700.0</v>
      </c>
      <c r="R379" s="34" t="s">
        <v>51</v>
      </c>
      <c r="S379" s="35" t="n">
        <f>118580</f>
        <v>118580.0</v>
      </c>
      <c r="T379" s="32" t="n">
        <f>40127</f>
        <v>40127.0</v>
      </c>
      <c r="U379" s="32" t="n">
        <f>6405</f>
        <v>6405.0</v>
      </c>
      <c r="V379" s="32" t="n">
        <f>4755811378</f>
        <v>4.755811378E9</v>
      </c>
      <c r="W379" s="32" t="n">
        <f>757875878</f>
        <v>7.57875878E8</v>
      </c>
      <c r="X379" s="36" t="n">
        <f>20</f>
        <v>20.0</v>
      </c>
    </row>
    <row r="380">
      <c r="A380" s="27" t="s">
        <v>42</v>
      </c>
      <c r="B380" s="27" t="s">
        <v>1186</v>
      </c>
      <c r="C380" s="27" t="s">
        <v>1187</v>
      </c>
      <c r="D380" s="27" t="s">
        <v>1188</v>
      </c>
      <c r="E380" s="28" t="s">
        <v>46</v>
      </c>
      <c r="F380" s="29" t="s">
        <v>46</v>
      </c>
      <c r="G380" s="30" t="s">
        <v>46</v>
      </c>
      <c r="H380" s="31"/>
      <c r="I380" s="31" t="s">
        <v>414</v>
      </c>
      <c r="J380" s="32" t="n">
        <v>1.0</v>
      </c>
      <c r="K380" s="33" t="n">
        <f>112700</f>
        <v>112700.0</v>
      </c>
      <c r="L380" s="34" t="s">
        <v>48</v>
      </c>
      <c r="M380" s="33" t="n">
        <f>115000</f>
        <v>115000.0</v>
      </c>
      <c r="N380" s="34" t="s">
        <v>49</v>
      </c>
      <c r="O380" s="33" t="n">
        <f>110700</f>
        <v>110700.0</v>
      </c>
      <c r="P380" s="34" t="s">
        <v>62</v>
      </c>
      <c r="Q380" s="33" t="n">
        <f>113800</f>
        <v>113800.0</v>
      </c>
      <c r="R380" s="34" t="s">
        <v>51</v>
      </c>
      <c r="S380" s="35" t="n">
        <f>112635</f>
        <v>112635.0</v>
      </c>
      <c r="T380" s="32" t="n">
        <f>22152</f>
        <v>22152.0</v>
      </c>
      <c r="U380" s="32" t="n">
        <f>2677</f>
        <v>2677.0</v>
      </c>
      <c r="V380" s="32" t="n">
        <f>2491901989</f>
        <v>2.491901989E9</v>
      </c>
      <c r="W380" s="32" t="n">
        <f>300764389</f>
        <v>3.00764389E8</v>
      </c>
      <c r="X380" s="36" t="n">
        <f>20</f>
        <v>20.0</v>
      </c>
    </row>
    <row r="381">
      <c r="A381" s="27" t="s">
        <v>42</v>
      </c>
      <c r="B381" s="27" t="s">
        <v>1189</v>
      </c>
      <c r="C381" s="27" t="s">
        <v>1190</v>
      </c>
      <c r="D381" s="27" t="s">
        <v>1191</v>
      </c>
      <c r="E381" s="28" t="s">
        <v>46</v>
      </c>
      <c r="F381" s="29" t="s">
        <v>46</v>
      </c>
      <c r="G381" s="30" t="s">
        <v>46</v>
      </c>
      <c r="H381" s="31"/>
      <c r="I381" s="31" t="s">
        <v>47</v>
      </c>
      <c r="J381" s="32" t="n">
        <v>10.0</v>
      </c>
      <c r="K381" s="33" t="n">
        <f>210.5</f>
        <v>210.5</v>
      </c>
      <c r="L381" s="34" t="s">
        <v>48</v>
      </c>
      <c r="M381" s="33" t="n">
        <f>222.4</f>
        <v>222.4</v>
      </c>
      <c r="N381" s="34" t="s">
        <v>70</v>
      </c>
      <c r="O381" s="33" t="n">
        <f>208.8</f>
        <v>208.8</v>
      </c>
      <c r="P381" s="34" t="s">
        <v>48</v>
      </c>
      <c r="Q381" s="33" t="n">
        <f>220.9</f>
        <v>220.9</v>
      </c>
      <c r="R381" s="34" t="s">
        <v>51</v>
      </c>
      <c r="S381" s="35" t="n">
        <f>216.27</f>
        <v>216.27</v>
      </c>
      <c r="T381" s="32" t="n">
        <f>4878480</f>
        <v>4878480.0</v>
      </c>
      <c r="U381" s="32" t="n">
        <f>200000</f>
        <v>200000.0</v>
      </c>
      <c r="V381" s="32" t="n">
        <f>1062097631</f>
        <v>1.062097631E9</v>
      </c>
      <c r="W381" s="32" t="n">
        <f>43996700</f>
        <v>4.39967E7</v>
      </c>
      <c r="X381" s="36" t="n">
        <f>20</f>
        <v>20.0</v>
      </c>
    </row>
    <row r="382">
      <c r="A382" s="27" t="s">
        <v>42</v>
      </c>
      <c r="B382" s="27" t="s">
        <v>1192</v>
      </c>
      <c r="C382" s="27" t="s">
        <v>1193</v>
      </c>
      <c r="D382" s="27" t="s">
        <v>1194</v>
      </c>
      <c r="E382" s="28" t="s">
        <v>46</v>
      </c>
      <c r="F382" s="29" t="s">
        <v>46</v>
      </c>
      <c r="G382" s="30" t="s">
        <v>46</v>
      </c>
      <c r="H382" s="31"/>
      <c r="I382" s="31" t="s">
        <v>47</v>
      </c>
      <c r="J382" s="32" t="n">
        <v>10.0</v>
      </c>
      <c r="K382" s="33" t="n">
        <f>240.6</f>
        <v>240.6</v>
      </c>
      <c r="L382" s="34" t="s">
        <v>48</v>
      </c>
      <c r="M382" s="33" t="n">
        <f>272.9</f>
        <v>272.9</v>
      </c>
      <c r="N382" s="34" t="s">
        <v>51</v>
      </c>
      <c r="O382" s="33" t="n">
        <f>240.1</f>
        <v>240.1</v>
      </c>
      <c r="P382" s="34" t="s">
        <v>48</v>
      </c>
      <c r="Q382" s="33" t="n">
        <f>272.3</f>
        <v>272.3</v>
      </c>
      <c r="R382" s="34" t="s">
        <v>51</v>
      </c>
      <c r="S382" s="35" t="n">
        <f>256.6</f>
        <v>256.6</v>
      </c>
      <c r="T382" s="32" t="n">
        <f>87511510</f>
        <v>8.751151E7</v>
      </c>
      <c r="U382" s="32" t="n">
        <f>4401900</f>
        <v>4401900.0</v>
      </c>
      <c r="V382" s="32" t="n">
        <f>22663739369</f>
        <v>2.2663739369E10</v>
      </c>
      <c r="W382" s="32" t="n">
        <f>1126607608</f>
        <v>1.126607608E9</v>
      </c>
      <c r="X382" s="36" t="n">
        <f>20</f>
        <v>20.0</v>
      </c>
    </row>
    <row r="383">
      <c r="A383" s="27" t="s">
        <v>42</v>
      </c>
      <c r="B383" s="27" t="s">
        <v>1195</v>
      </c>
      <c r="C383" s="27" t="s">
        <v>1196</v>
      </c>
      <c r="D383" s="27" t="s">
        <v>1197</v>
      </c>
      <c r="E383" s="28" t="s">
        <v>46</v>
      </c>
      <c r="F383" s="29" t="s">
        <v>46</v>
      </c>
      <c r="G383" s="30" t="s">
        <v>46</v>
      </c>
      <c r="H383" s="31"/>
      <c r="I383" s="31" t="s">
        <v>47</v>
      </c>
      <c r="J383" s="32" t="n">
        <v>1.0</v>
      </c>
      <c r="K383" s="33" t="n">
        <f>1141</f>
        <v>1141.0</v>
      </c>
      <c r="L383" s="34" t="s">
        <v>48</v>
      </c>
      <c r="M383" s="33" t="n">
        <f>1239</f>
        <v>1239.0</v>
      </c>
      <c r="N383" s="34" t="s">
        <v>70</v>
      </c>
      <c r="O383" s="33" t="n">
        <f>1118</f>
        <v>1118.0</v>
      </c>
      <c r="P383" s="34" t="s">
        <v>50</v>
      </c>
      <c r="Q383" s="33" t="n">
        <f>1217</f>
        <v>1217.0</v>
      </c>
      <c r="R383" s="34" t="s">
        <v>51</v>
      </c>
      <c r="S383" s="35" t="n">
        <f>1170.5</f>
        <v>1170.5</v>
      </c>
      <c r="T383" s="32" t="n">
        <f>777449</f>
        <v>777449.0</v>
      </c>
      <c r="U383" s="32" t="n">
        <f>129501</f>
        <v>129501.0</v>
      </c>
      <c r="V383" s="32" t="n">
        <f>904255508</f>
        <v>9.04255508E8</v>
      </c>
      <c r="W383" s="32" t="n">
        <f>148114509</f>
        <v>1.48114509E8</v>
      </c>
      <c r="X383" s="36" t="n">
        <f>20</f>
        <v>20.0</v>
      </c>
    </row>
    <row r="384">
      <c r="A384" s="27" t="s">
        <v>42</v>
      </c>
      <c r="B384" s="27" t="s">
        <v>1198</v>
      </c>
      <c r="C384" s="27" t="s">
        <v>1199</v>
      </c>
      <c r="D384" s="27" t="s">
        <v>1200</v>
      </c>
      <c r="E384" s="28" t="s">
        <v>46</v>
      </c>
      <c r="F384" s="29" t="s">
        <v>46</v>
      </c>
      <c r="G384" s="30" t="s">
        <v>46</v>
      </c>
      <c r="H384" s="31"/>
      <c r="I384" s="31" t="s">
        <v>47</v>
      </c>
      <c r="J384" s="32" t="n">
        <v>1.0</v>
      </c>
      <c r="K384" s="33" t="n">
        <f>2096</f>
        <v>2096.0</v>
      </c>
      <c r="L384" s="34" t="s">
        <v>48</v>
      </c>
      <c r="M384" s="33" t="n">
        <f>2266</f>
        <v>2266.0</v>
      </c>
      <c r="N384" s="34" t="s">
        <v>195</v>
      </c>
      <c r="O384" s="33" t="n">
        <f>2078</f>
        <v>2078.0</v>
      </c>
      <c r="P384" s="34" t="s">
        <v>48</v>
      </c>
      <c r="Q384" s="33" t="n">
        <f>2226</f>
        <v>2226.0</v>
      </c>
      <c r="R384" s="34" t="s">
        <v>51</v>
      </c>
      <c r="S384" s="35" t="n">
        <f>2188.15</f>
        <v>2188.15</v>
      </c>
      <c r="T384" s="32" t="n">
        <f>11970999</f>
        <v>1.1970999E7</v>
      </c>
      <c r="U384" s="32" t="n">
        <f>68445</f>
        <v>68445.0</v>
      </c>
      <c r="V384" s="32" t="n">
        <f>26265861783</f>
        <v>2.6265861783E10</v>
      </c>
      <c r="W384" s="32" t="n">
        <f>149086147</f>
        <v>1.49086147E8</v>
      </c>
      <c r="X384" s="36" t="n">
        <f>20</f>
        <v>20.0</v>
      </c>
    </row>
    <row r="385">
      <c r="A385" s="27" t="s">
        <v>42</v>
      </c>
      <c r="B385" s="27" t="s">
        <v>1201</v>
      </c>
      <c r="C385" s="27" t="s">
        <v>1202</v>
      </c>
      <c r="D385" s="27" t="s">
        <v>1203</v>
      </c>
      <c r="E385" s="28" t="s">
        <v>46</v>
      </c>
      <c r="F385" s="29" t="s">
        <v>46</v>
      </c>
      <c r="G385" s="30" t="s">
        <v>46</v>
      </c>
      <c r="H385" s="31"/>
      <c r="I385" s="31" t="s">
        <v>47</v>
      </c>
      <c r="J385" s="32" t="n">
        <v>10.0</v>
      </c>
      <c r="K385" s="33" t="n">
        <f>677.9</f>
        <v>677.9</v>
      </c>
      <c r="L385" s="34" t="s">
        <v>48</v>
      </c>
      <c r="M385" s="33" t="n">
        <f>713.6</f>
        <v>713.6</v>
      </c>
      <c r="N385" s="34" t="s">
        <v>50</v>
      </c>
      <c r="O385" s="33" t="n">
        <f>619</f>
        <v>619.0</v>
      </c>
      <c r="P385" s="34" t="s">
        <v>69</v>
      </c>
      <c r="Q385" s="33" t="n">
        <f>636</f>
        <v>636.0</v>
      </c>
      <c r="R385" s="34" t="s">
        <v>51</v>
      </c>
      <c r="S385" s="35" t="n">
        <f>656.75</f>
        <v>656.75</v>
      </c>
      <c r="T385" s="32" t="n">
        <f>29365820</f>
        <v>2.936582E7</v>
      </c>
      <c r="U385" s="32" t="n">
        <f>11870</f>
        <v>11870.0</v>
      </c>
      <c r="V385" s="32" t="n">
        <f>19242531896</f>
        <v>1.9242531896E10</v>
      </c>
      <c r="W385" s="32" t="n">
        <f>7754081</f>
        <v>7754081.0</v>
      </c>
      <c r="X385" s="36" t="n">
        <f>20</f>
        <v>20.0</v>
      </c>
    </row>
    <row r="386">
      <c r="A386" s="27" t="s">
        <v>42</v>
      </c>
      <c r="B386" s="27" t="s">
        <v>1204</v>
      </c>
      <c r="C386" s="27" t="s">
        <v>1205</v>
      </c>
      <c r="D386" s="27" t="s">
        <v>1206</v>
      </c>
      <c r="E386" s="28" t="s">
        <v>46</v>
      </c>
      <c r="F386" s="29" t="s">
        <v>46</v>
      </c>
      <c r="G386" s="30" t="s">
        <v>46</v>
      </c>
      <c r="H386" s="31"/>
      <c r="I386" s="31" t="s">
        <v>47</v>
      </c>
      <c r="J386" s="32" t="n">
        <v>1.0</v>
      </c>
      <c r="K386" s="33" t="n">
        <f>123300</f>
        <v>123300.0</v>
      </c>
      <c r="L386" s="34" t="s">
        <v>48</v>
      </c>
      <c r="M386" s="33" t="n">
        <f>133800</f>
        <v>133800.0</v>
      </c>
      <c r="N386" s="34" t="s">
        <v>49</v>
      </c>
      <c r="O386" s="33" t="n">
        <f>122300</f>
        <v>122300.0</v>
      </c>
      <c r="P386" s="34" t="s">
        <v>62</v>
      </c>
      <c r="Q386" s="33" t="n">
        <f>132000</f>
        <v>132000.0</v>
      </c>
      <c r="R386" s="34" t="s">
        <v>51</v>
      </c>
      <c r="S386" s="35" t="n">
        <f>128330</f>
        <v>128330.0</v>
      </c>
      <c r="T386" s="32" t="n">
        <f>188926</f>
        <v>188926.0</v>
      </c>
      <c r="U386" s="32" t="n">
        <f>49849</f>
        <v>49849.0</v>
      </c>
      <c r="V386" s="32" t="n">
        <f>24245556643</f>
        <v>2.4245556643E10</v>
      </c>
      <c r="W386" s="32" t="n">
        <f>6403490843</f>
        <v>6.403490843E9</v>
      </c>
      <c r="X386" s="36" t="n">
        <f>20</f>
        <v>20.0</v>
      </c>
    </row>
    <row r="387">
      <c r="A387" s="27" t="s">
        <v>42</v>
      </c>
      <c r="B387" s="27" t="s">
        <v>1207</v>
      </c>
      <c r="C387" s="27" t="s">
        <v>1208</v>
      </c>
      <c r="D387" s="27" t="s">
        <v>1209</v>
      </c>
      <c r="E387" s="28" t="s">
        <v>46</v>
      </c>
      <c r="F387" s="29" t="s">
        <v>46</v>
      </c>
      <c r="G387" s="30" t="s">
        <v>46</v>
      </c>
      <c r="H387" s="31"/>
      <c r="I387" s="31" t="s">
        <v>47</v>
      </c>
      <c r="J387" s="32" t="n">
        <v>1.0</v>
      </c>
      <c r="K387" s="33" t="n">
        <f>142500</f>
        <v>142500.0</v>
      </c>
      <c r="L387" s="34" t="s">
        <v>48</v>
      </c>
      <c r="M387" s="33" t="n">
        <f>145500</f>
        <v>145500.0</v>
      </c>
      <c r="N387" s="34" t="s">
        <v>214</v>
      </c>
      <c r="O387" s="33" t="n">
        <f>140000</f>
        <v>140000.0</v>
      </c>
      <c r="P387" s="34" t="s">
        <v>103</v>
      </c>
      <c r="Q387" s="33" t="n">
        <f>143000</f>
        <v>143000.0</v>
      </c>
      <c r="R387" s="34" t="s">
        <v>51</v>
      </c>
      <c r="S387" s="35" t="n">
        <f>142775</f>
        <v>142775.0</v>
      </c>
      <c r="T387" s="32" t="n">
        <f>107947</f>
        <v>107947.0</v>
      </c>
      <c r="U387" s="32" t="n">
        <f>25952</f>
        <v>25952.0</v>
      </c>
      <c r="V387" s="32" t="n">
        <f>15397440543</f>
        <v>1.5397440543E10</v>
      </c>
      <c r="W387" s="32" t="n">
        <f>3695818943</f>
        <v>3.695818943E9</v>
      </c>
      <c r="X387" s="36" t="n">
        <f>20</f>
        <v>20.0</v>
      </c>
    </row>
    <row r="388">
      <c r="A388" s="27" t="s">
        <v>42</v>
      </c>
      <c r="B388" s="27" t="s">
        <v>1210</v>
      </c>
      <c r="C388" s="27" t="s">
        <v>1211</v>
      </c>
      <c r="D388" s="27" t="s">
        <v>1212</v>
      </c>
      <c r="E388" s="28" t="s">
        <v>46</v>
      </c>
      <c r="F388" s="29" t="s">
        <v>46</v>
      </c>
      <c r="G388" s="30" t="s">
        <v>46</v>
      </c>
      <c r="H388" s="31"/>
      <c r="I388" s="31" t="s">
        <v>47</v>
      </c>
      <c r="J388" s="32" t="n">
        <v>1.0</v>
      </c>
      <c r="K388" s="33" t="n">
        <f>129600</f>
        <v>129600.0</v>
      </c>
      <c r="L388" s="34" t="s">
        <v>48</v>
      </c>
      <c r="M388" s="33" t="n">
        <f>137100</f>
        <v>137100.0</v>
      </c>
      <c r="N388" s="34" t="s">
        <v>195</v>
      </c>
      <c r="O388" s="33" t="n">
        <f>126300</f>
        <v>126300.0</v>
      </c>
      <c r="P388" s="34" t="s">
        <v>103</v>
      </c>
      <c r="Q388" s="33" t="n">
        <f>135800</f>
        <v>135800.0</v>
      </c>
      <c r="R388" s="34" t="s">
        <v>51</v>
      </c>
      <c r="S388" s="35" t="n">
        <f>131230</f>
        <v>131230.0</v>
      </c>
      <c r="T388" s="32" t="n">
        <f>228866</f>
        <v>228866.0</v>
      </c>
      <c r="U388" s="32" t="n">
        <f>48500</f>
        <v>48500.0</v>
      </c>
      <c r="V388" s="32" t="n">
        <f>30207436824</f>
        <v>3.0207436824E10</v>
      </c>
      <c r="W388" s="32" t="n">
        <f>6400450524</f>
        <v>6.400450524E9</v>
      </c>
      <c r="X388" s="36" t="n">
        <f>20</f>
        <v>20.0</v>
      </c>
    </row>
    <row r="389">
      <c r="A389" s="27" t="s">
        <v>42</v>
      </c>
      <c r="B389" s="27" t="s">
        <v>1213</v>
      </c>
      <c r="C389" s="27" t="s">
        <v>1214</v>
      </c>
      <c r="D389" s="27" t="s">
        <v>1215</v>
      </c>
      <c r="E389" s="28" t="s">
        <v>46</v>
      </c>
      <c r="F389" s="29" t="s">
        <v>46</v>
      </c>
      <c r="G389" s="30" t="s">
        <v>46</v>
      </c>
      <c r="H389" s="31"/>
      <c r="I389" s="31" t="s">
        <v>47</v>
      </c>
      <c r="J389" s="32" t="n">
        <v>1.0</v>
      </c>
      <c r="K389" s="33" t="n">
        <f>163400</f>
        <v>163400.0</v>
      </c>
      <c r="L389" s="34" t="s">
        <v>48</v>
      </c>
      <c r="M389" s="33" t="n">
        <f>170600</f>
        <v>170600.0</v>
      </c>
      <c r="N389" s="34" t="s">
        <v>61</v>
      </c>
      <c r="O389" s="33" t="n">
        <f>160700</f>
        <v>160700.0</v>
      </c>
      <c r="P389" s="34" t="s">
        <v>103</v>
      </c>
      <c r="Q389" s="33" t="n">
        <f>166100</f>
        <v>166100.0</v>
      </c>
      <c r="R389" s="34" t="s">
        <v>51</v>
      </c>
      <c r="S389" s="35" t="n">
        <f>166055</f>
        <v>166055.0</v>
      </c>
      <c r="T389" s="32" t="n">
        <f>198259</f>
        <v>198259.0</v>
      </c>
      <c r="U389" s="32" t="n">
        <f>67578</f>
        <v>67578.0</v>
      </c>
      <c r="V389" s="32" t="n">
        <f>32869846227</f>
        <v>3.2869846227E10</v>
      </c>
      <c r="W389" s="32" t="n">
        <f>11152134627</f>
        <v>1.1152134627E10</v>
      </c>
      <c r="X389" s="36" t="n">
        <f>20</f>
        <v>20.0</v>
      </c>
    </row>
    <row r="390">
      <c r="A390" s="27" t="s">
        <v>42</v>
      </c>
      <c r="B390" s="27" t="s">
        <v>1216</v>
      </c>
      <c r="C390" s="27" t="s">
        <v>1217</v>
      </c>
      <c r="D390" s="27" t="s">
        <v>1218</v>
      </c>
      <c r="E390" s="28" t="s">
        <v>46</v>
      </c>
      <c r="F390" s="29" t="s">
        <v>46</v>
      </c>
      <c r="G390" s="30" t="s">
        <v>46</v>
      </c>
      <c r="H390" s="31"/>
      <c r="I390" s="31" t="s">
        <v>47</v>
      </c>
      <c r="J390" s="32" t="n">
        <v>1.0</v>
      </c>
      <c r="K390" s="33" t="n">
        <f>135200</f>
        <v>135200.0</v>
      </c>
      <c r="L390" s="34" t="s">
        <v>48</v>
      </c>
      <c r="M390" s="33" t="n">
        <f>138200</f>
        <v>138200.0</v>
      </c>
      <c r="N390" s="34" t="s">
        <v>203</v>
      </c>
      <c r="O390" s="33" t="n">
        <f>131000</f>
        <v>131000.0</v>
      </c>
      <c r="P390" s="34" t="s">
        <v>62</v>
      </c>
      <c r="Q390" s="33" t="n">
        <f>134600</f>
        <v>134600.0</v>
      </c>
      <c r="R390" s="34" t="s">
        <v>51</v>
      </c>
      <c r="S390" s="35" t="n">
        <f>134995</f>
        <v>134995.0</v>
      </c>
      <c r="T390" s="32" t="n">
        <f>159944</f>
        <v>159944.0</v>
      </c>
      <c r="U390" s="32" t="n">
        <f>48946</f>
        <v>48946.0</v>
      </c>
      <c r="V390" s="32" t="n">
        <f>21573432635</f>
        <v>2.1573432635E10</v>
      </c>
      <c r="W390" s="32" t="n">
        <f>6607543235</f>
        <v>6.607543235E9</v>
      </c>
      <c r="X390" s="36" t="n">
        <f>20</f>
        <v>20.0</v>
      </c>
    </row>
    <row r="391">
      <c r="A391" s="27" t="s">
        <v>42</v>
      </c>
      <c r="B391" s="27" t="s">
        <v>1219</v>
      </c>
      <c r="C391" s="27" t="s">
        <v>1220</v>
      </c>
      <c r="D391" s="27" t="s">
        <v>1221</v>
      </c>
      <c r="E391" s="28" t="s">
        <v>46</v>
      </c>
      <c r="F391" s="29" t="s">
        <v>46</v>
      </c>
      <c r="G391" s="30" t="s">
        <v>46</v>
      </c>
      <c r="H391" s="31"/>
      <c r="I391" s="31" t="s">
        <v>47</v>
      </c>
      <c r="J391" s="32" t="n">
        <v>1.0</v>
      </c>
      <c r="K391" s="33" t="n">
        <f>137400</f>
        <v>137400.0</v>
      </c>
      <c r="L391" s="34" t="s">
        <v>48</v>
      </c>
      <c r="M391" s="33" t="n">
        <f>138000</f>
        <v>138000.0</v>
      </c>
      <c r="N391" s="34" t="s">
        <v>48</v>
      </c>
      <c r="O391" s="33" t="n">
        <f>131700</f>
        <v>131700.0</v>
      </c>
      <c r="P391" s="34" t="s">
        <v>103</v>
      </c>
      <c r="Q391" s="33" t="n">
        <f>136500</f>
        <v>136500.0</v>
      </c>
      <c r="R391" s="34" t="s">
        <v>51</v>
      </c>
      <c r="S391" s="35" t="n">
        <f>134890</f>
        <v>134890.0</v>
      </c>
      <c r="T391" s="32" t="n">
        <f>315238</f>
        <v>315238.0</v>
      </c>
      <c r="U391" s="32" t="n">
        <f>89890</f>
        <v>89890.0</v>
      </c>
      <c r="V391" s="32" t="n">
        <f>42540490624</f>
        <v>4.2540490624E10</v>
      </c>
      <c r="W391" s="32" t="n">
        <f>12133252524</f>
        <v>1.2133252524E10</v>
      </c>
      <c r="X391" s="36" t="n">
        <f>20</f>
        <v>20.0</v>
      </c>
    </row>
    <row r="392">
      <c r="A392" s="27" t="s">
        <v>42</v>
      </c>
      <c r="B392" s="27" t="s">
        <v>1222</v>
      </c>
      <c r="C392" s="27" t="s">
        <v>1223</v>
      </c>
      <c r="D392" s="27" t="s">
        <v>1224</v>
      </c>
      <c r="E392" s="28" t="s">
        <v>46</v>
      </c>
      <c r="F392" s="29" t="s">
        <v>46</v>
      </c>
      <c r="G392" s="30" t="s">
        <v>46</v>
      </c>
      <c r="H392" s="31"/>
      <c r="I392" s="31" t="s">
        <v>47</v>
      </c>
      <c r="J392" s="32" t="n">
        <v>1.0</v>
      </c>
      <c r="K392" s="33" t="n">
        <f>313500</f>
        <v>313500.0</v>
      </c>
      <c r="L392" s="34" t="s">
        <v>48</v>
      </c>
      <c r="M392" s="33" t="n">
        <f>333000</f>
        <v>333000.0</v>
      </c>
      <c r="N392" s="34" t="s">
        <v>398</v>
      </c>
      <c r="O392" s="33" t="n">
        <f>309500</f>
        <v>309500.0</v>
      </c>
      <c r="P392" s="34" t="s">
        <v>62</v>
      </c>
      <c r="Q392" s="33" t="n">
        <f>325000</f>
        <v>325000.0</v>
      </c>
      <c r="R392" s="34" t="s">
        <v>51</v>
      </c>
      <c r="S392" s="35" t="n">
        <f>321275</f>
        <v>321275.0</v>
      </c>
      <c r="T392" s="32" t="n">
        <f>61252</f>
        <v>61252.0</v>
      </c>
      <c r="U392" s="32" t="n">
        <f>20480</f>
        <v>20480.0</v>
      </c>
      <c r="V392" s="32" t="n">
        <f>19695043658</f>
        <v>1.9695043658E10</v>
      </c>
      <c r="W392" s="32" t="n">
        <f>6573804158</f>
        <v>6.573804158E9</v>
      </c>
      <c r="X392" s="36" t="n">
        <f>20</f>
        <v>20.0</v>
      </c>
    </row>
    <row r="393">
      <c r="A393" s="27" t="s">
        <v>42</v>
      </c>
      <c r="B393" s="27" t="s">
        <v>1225</v>
      </c>
      <c r="C393" s="27" t="s">
        <v>1226</v>
      </c>
      <c r="D393" s="27" t="s">
        <v>1227</v>
      </c>
      <c r="E393" s="28" t="s">
        <v>46</v>
      </c>
      <c r="F393" s="29" t="s">
        <v>46</v>
      </c>
      <c r="G393" s="30" t="s">
        <v>46</v>
      </c>
      <c r="H393" s="31"/>
      <c r="I393" s="31" t="s">
        <v>47</v>
      </c>
      <c r="J393" s="32" t="n">
        <v>1.0</v>
      </c>
      <c r="K393" s="33" t="n">
        <f>85500</f>
        <v>85500.0</v>
      </c>
      <c r="L393" s="34" t="s">
        <v>48</v>
      </c>
      <c r="M393" s="33" t="n">
        <f>87300</f>
        <v>87300.0</v>
      </c>
      <c r="N393" s="34" t="s">
        <v>74</v>
      </c>
      <c r="O393" s="33" t="n">
        <f>81300</f>
        <v>81300.0</v>
      </c>
      <c r="P393" s="34" t="s">
        <v>103</v>
      </c>
      <c r="Q393" s="33" t="n">
        <f>86400</f>
        <v>86400.0</v>
      </c>
      <c r="R393" s="34" t="s">
        <v>51</v>
      </c>
      <c r="S393" s="35" t="n">
        <f>84800</f>
        <v>84800.0</v>
      </c>
      <c r="T393" s="32" t="n">
        <f>505880</f>
        <v>505880.0</v>
      </c>
      <c r="U393" s="32" t="n">
        <f>145334</f>
        <v>145334.0</v>
      </c>
      <c r="V393" s="32" t="n">
        <f>42891164996</f>
        <v>4.2891164996E10</v>
      </c>
      <c r="W393" s="32" t="n">
        <f>12310725096</f>
        <v>1.2310725096E10</v>
      </c>
      <c r="X393" s="36" t="n">
        <f>20</f>
        <v>20.0</v>
      </c>
    </row>
    <row r="394">
      <c r="A394" s="27" t="s">
        <v>42</v>
      </c>
      <c r="B394" s="27" t="s">
        <v>1228</v>
      </c>
      <c r="C394" s="27" t="s">
        <v>1229</v>
      </c>
      <c r="D394" s="27" t="s">
        <v>1230</v>
      </c>
      <c r="E394" s="28" t="s">
        <v>46</v>
      </c>
      <c r="F394" s="29" t="s">
        <v>46</v>
      </c>
      <c r="G394" s="30" t="s">
        <v>46</v>
      </c>
      <c r="H394" s="31"/>
      <c r="I394" s="31" t="s">
        <v>47</v>
      </c>
      <c r="J394" s="32" t="n">
        <v>1.0</v>
      </c>
      <c r="K394" s="33" t="n">
        <f>278900</f>
        <v>278900.0</v>
      </c>
      <c r="L394" s="34" t="s">
        <v>48</v>
      </c>
      <c r="M394" s="33" t="n">
        <f>278900</f>
        <v>278900.0</v>
      </c>
      <c r="N394" s="34" t="s">
        <v>48</v>
      </c>
      <c r="O394" s="33" t="n">
        <f>267000</f>
        <v>267000.0</v>
      </c>
      <c r="P394" s="34" t="s">
        <v>51</v>
      </c>
      <c r="Q394" s="33" t="n">
        <f>269300</f>
        <v>269300.0</v>
      </c>
      <c r="R394" s="34" t="s">
        <v>51</v>
      </c>
      <c r="S394" s="35" t="n">
        <f>271900</f>
        <v>271900.0</v>
      </c>
      <c r="T394" s="32" t="n">
        <f>50019</f>
        <v>50019.0</v>
      </c>
      <c r="U394" s="32" t="n">
        <f>13987</f>
        <v>13987.0</v>
      </c>
      <c r="V394" s="32" t="n">
        <f>13604399695</f>
        <v>1.3604399695E10</v>
      </c>
      <c r="W394" s="32" t="n">
        <f>3802062295</f>
        <v>3.802062295E9</v>
      </c>
      <c r="X394" s="36" t="n">
        <f>20</f>
        <v>20.0</v>
      </c>
    </row>
    <row r="395">
      <c r="A395" s="27" t="s">
        <v>42</v>
      </c>
      <c r="B395" s="27" t="s">
        <v>1231</v>
      </c>
      <c r="C395" s="27" t="s">
        <v>1232</v>
      </c>
      <c r="D395" s="27" t="s">
        <v>1233</v>
      </c>
      <c r="E395" s="28" t="s">
        <v>46</v>
      </c>
      <c r="F395" s="29" t="s">
        <v>46</v>
      </c>
      <c r="G395" s="30" t="s">
        <v>46</v>
      </c>
      <c r="H395" s="31"/>
      <c r="I395" s="31" t="s">
        <v>47</v>
      </c>
      <c r="J395" s="32" t="n">
        <v>1.0</v>
      </c>
      <c r="K395" s="33" t="n">
        <f>1130</f>
        <v>1130.0</v>
      </c>
      <c r="L395" s="34" t="s">
        <v>48</v>
      </c>
      <c r="M395" s="33" t="n">
        <f>1183</f>
        <v>1183.0</v>
      </c>
      <c r="N395" s="34" t="s">
        <v>214</v>
      </c>
      <c r="O395" s="33" t="n">
        <f>1130</f>
        <v>1130.0</v>
      </c>
      <c r="P395" s="34" t="s">
        <v>48</v>
      </c>
      <c r="Q395" s="33" t="n">
        <f>1143</f>
        <v>1143.0</v>
      </c>
      <c r="R395" s="34" t="s">
        <v>51</v>
      </c>
      <c r="S395" s="35" t="n">
        <f>1156.45</f>
        <v>1156.45</v>
      </c>
      <c r="T395" s="32" t="n">
        <f>142364</f>
        <v>142364.0</v>
      </c>
      <c r="U395" s="32" t="str">
        <f>"－"</f>
        <v>－</v>
      </c>
      <c r="V395" s="32" t="n">
        <f>165103417</f>
        <v>1.65103417E8</v>
      </c>
      <c r="W395" s="32" t="str">
        <f>"－"</f>
        <v>－</v>
      </c>
      <c r="X395" s="36" t="n">
        <f>20</f>
        <v>20.0</v>
      </c>
    </row>
    <row r="396">
      <c r="A396" s="27" t="s">
        <v>42</v>
      </c>
      <c r="B396" s="27" t="s">
        <v>1234</v>
      </c>
      <c r="C396" s="27" t="s">
        <v>1235</v>
      </c>
      <c r="D396" s="27" t="s">
        <v>1236</v>
      </c>
      <c r="E396" s="28" t="s">
        <v>46</v>
      </c>
      <c r="F396" s="29" t="s">
        <v>46</v>
      </c>
      <c r="G396" s="30" t="s">
        <v>46</v>
      </c>
      <c r="H396" s="31"/>
      <c r="I396" s="31" t="s">
        <v>47</v>
      </c>
      <c r="J396" s="32" t="n">
        <v>1.0</v>
      </c>
      <c r="K396" s="33" t="n">
        <f>89600</f>
        <v>89600.0</v>
      </c>
      <c r="L396" s="34" t="s">
        <v>48</v>
      </c>
      <c r="M396" s="33" t="n">
        <f>90600</f>
        <v>90600.0</v>
      </c>
      <c r="N396" s="34" t="s">
        <v>214</v>
      </c>
      <c r="O396" s="33" t="n">
        <f>86900</f>
        <v>86900.0</v>
      </c>
      <c r="P396" s="34" t="s">
        <v>62</v>
      </c>
      <c r="Q396" s="33" t="n">
        <f>88800</f>
        <v>88800.0</v>
      </c>
      <c r="R396" s="34" t="s">
        <v>51</v>
      </c>
      <c r="S396" s="35" t="n">
        <f>89045</f>
        <v>89045.0</v>
      </c>
      <c r="T396" s="32" t="n">
        <f>55070</f>
        <v>55070.0</v>
      </c>
      <c r="U396" s="32" t="n">
        <f>8579</f>
        <v>8579.0</v>
      </c>
      <c r="V396" s="32" t="n">
        <f>4899018674</f>
        <v>4.899018674E9</v>
      </c>
      <c r="W396" s="32" t="n">
        <f>761967674</f>
        <v>7.61967674E8</v>
      </c>
      <c r="X396" s="36" t="n">
        <f>20</f>
        <v>20.0</v>
      </c>
    </row>
    <row r="397">
      <c r="A397" s="27" t="s">
        <v>42</v>
      </c>
      <c r="B397" s="27" t="s">
        <v>1237</v>
      </c>
      <c r="C397" s="27" t="s">
        <v>1238</v>
      </c>
      <c r="D397" s="27" t="s">
        <v>1239</v>
      </c>
      <c r="E397" s="28" t="s">
        <v>46</v>
      </c>
      <c r="F397" s="29" t="s">
        <v>46</v>
      </c>
      <c r="G397" s="30" t="s">
        <v>46</v>
      </c>
      <c r="H397" s="31"/>
      <c r="I397" s="31" t="s">
        <v>47</v>
      </c>
      <c r="J397" s="32" t="n">
        <v>1.0</v>
      </c>
      <c r="K397" s="33" t="n">
        <f>131800</f>
        <v>131800.0</v>
      </c>
      <c r="L397" s="34" t="s">
        <v>48</v>
      </c>
      <c r="M397" s="33" t="n">
        <f>134600</f>
        <v>134600.0</v>
      </c>
      <c r="N397" s="34" t="s">
        <v>214</v>
      </c>
      <c r="O397" s="33" t="n">
        <f>129200</f>
        <v>129200.0</v>
      </c>
      <c r="P397" s="34" t="s">
        <v>51</v>
      </c>
      <c r="Q397" s="33" t="n">
        <f>129700</f>
        <v>129700.0</v>
      </c>
      <c r="R397" s="34" t="s">
        <v>51</v>
      </c>
      <c r="S397" s="35" t="n">
        <f>131820</f>
        <v>131820.0</v>
      </c>
      <c r="T397" s="32" t="n">
        <f>112340</f>
        <v>112340.0</v>
      </c>
      <c r="U397" s="32" t="n">
        <f>21975</f>
        <v>21975.0</v>
      </c>
      <c r="V397" s="32" t="n">
        <f>14786128686</f>
        <v>1.4786128686E10</v>
      </c>
      <c r="W397" s="32" t="n">
        <f>2893863686</f>
        <v>2.893863686E9</v>
      </c>
      <c r="X397" s="36" t="n">
        <f>20</f>
        <v>20.0</v>
      </c>
    </row>
    <row r="398">
      <c r="A398" s="27" t="s">
        <v>42</v>
      </c>
      <c r="B398" s="27" t="s">
        <v>1240</v>
      </c>
      <c r="C398" s="27" t="s">
        <v>1241</v>
      </c>
      <c r="D398" s="27" t="s">
        <v>1242</v>
      </c>
      <c r="E398" s="28" t="s">
        <v>46</v>
      </c>
      <c r="F398" s="29" t="s">
        <v>46</v>
      </c>
      <c r="G398" s="30" t="s">
        <v>46</v>
      </c>
      <c r="H398" s="31"/>
      <c r="I398" s="31" t="s">
        <v>47</v>
      </c>
      <c r="J398" s="32" t="n">
        <v>1.0</v>
      </c>
      <c r="K398" s="33" t="n">
        <f>166000</f>
        <v>166000.0</v>
      </c>
      <c r="L398" s="34" t="s">
        <v>48</v>
      </c>
      <c r="M398" s="33" t="n">
        <f>170300</f>
        <v>170300.0</v>
      </c>
      <c r="N398" s="34" t="s">
        <v>49</v>
      </c>
      <c r="O398" s="33" t="n">
        <f>162300</f>
        <v>162300.0</v>
      </c>
      <c r="P398" s="34" t="s">
        <v>103</v>
      </c>
      <c r="Q398" s="33" t="n">
        <f>169500</f>
        <v>169500.0</v>
      </c>
      <c r="R398" s="34" t="s">
        <v>51</v>
      </c>
      <c r="S398" s="35" t="n">
        <f>166885</f>
        <v>166885.0</v>
      </c>
      <c r="T398" s="32" t="n">
        <f>70335</f>
        <v>70335.0</v>
      </c>
      <c r="U398" s="32" t="n">
        <f>17287</f>
        <v>17287.0</v>
      </c>
      <c r="V398" s="32" t="n">
        <f>11714664994</f>
        <v>1.1714664994E10</v>
      </c>
      <c r="W398" s="32" t="n">
        <f>2876004294</f>
        <v>2.876004294E9</v>
      </c>
      <c r="X398" s="36" t="n">
        <f>20</f>
        <v>20.0</v>
      </c>
    </row>
    <row r="399">
      <c r="A399" s="27" t="s">
        <v>42</v>
      </c>
      <c r="B399" s="27" t="s">
        <v>1243</v>
      </c>
      <c r="C399" s="27" t="s">
        <v>1244</v>
      </c>
      <c r="D399" s="27" t="s">
        <v>1245</v>
      </c>
      <c r="E399" s="28" t="s">
        <v>46</v>
      </c>
      <c r="F399" s="29" t="s">
        <v>46</v>
      </c>
      <c r="G399" s="30" t="s">
        <v>46</v>
      </c>
      <c r="H399" s="31"/>
      <c r="I399" s="31" t="s">
        <v>47</v>
      </c>
      <c r="J399" s="32" t="n">
        <v>1.0</v>
      </c>
      <c r="K399" s="33" t="n">
        <f>98300</f>
        <v>98300.0</v>
      </c>
      <c r="L399" s="34" t="s">
        <v>48</v>
      </c>
      <c r="M399" s="33" t="n">
        <f>100300</f>
        <v>100300.0</v>
      </c>
      <c r="N399" s="34" t="s">
        <v>203</v>
      </c>
      <c r="O399" s="33" t="n">
        <f>96100</f>
        <v>96100.0</v>
      </c>
      <c r="P399" s="34" t="s">
        <v>70</v>
      </c>
      <c r="Q399" s="33" t="n">
        <f>96800</f>
        <v>96800.0</v>
      </c>
      <c r="R399" s="34" t="s">
        <v>51</v>
      </c>
      <c r="S399" s="35" t="n">
        <f>98045</f>
        <v>98045.0</v>
      </c>
      <c r="T399" s="32" t="n">
        <f>150499</f>
        <v>150499.0</v>
      </c>
      <c r="U399" s="32" t="n">
        <f>41663</f>
        <v>41663.0</v>
      </c>
      <c r="V399" s="32" t="n">
        <f>14743471368</f>
        <v>1.4743471368E10</v>
      </c>
      <c r="W399" s="32" t="n">
        <f>4075498768</f>
        <v>4.075498768E9</v>
      </c>
      <c r="X399" s="36" t="n">
        <f>20</f>
        <v>20.0</v>
      </c>
    </row>
    <row r="400">
      <c r="A400" s="27" t="s">
        <v>42</v>
      </c>
      <c r="B400" s="27" t="s">
        <v>1246</v>
      </c>
      <c r="C400" s="27" t="s">
        <v>1247</v>
      </c>
      <c r="D400" s="27" t="s">
        <v>1248</v>
      </c>
      <c r="E400" s="28" t="s">
        <v>46</v>
      </c>
      <c r="F400" s="29" t="s">
        <v>46</v>
      </c>
      <c r="G400" s="30" t="s">
        <v>46</v>
      </c>
      <c r="H400" s="31"/>
      <c r="I400" s="31" t="s">
        <v>47</v>
      </c>
      <c r="J400" s="32" t="n">
        <v>1.0</v>
      </c>
      <c r="K400" s="33" t="n">
        <f>80900</f>
        <v>80900.0</v>
      </c>
      <c r="L400" s="34" t="s">
        <v>48</v>
      </c>
      <c r="M400" s="33" t="n">
        <f>81700</f>
        <v>81700.0</v>
      </c>
      <c r="N400" s="34" t="s">
        <v>99</v>
      </c>
      <c r="O400" s="33" t="n">
        <f>78300</f>
        <v>78300.0</v>
      </c>
      <c r="P400" s="34" t="s">
        <v>103</v>
      </c>
      <c r="Q400" s="33" t="n">
        <f>79600</f>
        <v>79600.0</v>
      </c>
      <c r="R400" s="34" t="s">
        <v>51</v>
      </c>
      <c r="S400" s="35" t="n">
        <f>80100</f>
        <v>80100.0</v>
      </c>
      <c r="T400" s="32" t="n">
        <f>308376</f>
        <v>308376.0</v>
      </c>
      <c r="U400" s="32" t="n">
        <f>88999</f>
        <v>88999.0</v>
      </c>
      <c r="V400" s="32" t="n">
        <f>24700022469</f>
        <v>2.4700022469E10</v>
      </c>
      <c r="W400" s="32" t="n">
        <f>7124234269</f>
        <v>7.124234269E9</v>
      </c>
      <c r="X400" s="36" t="n">
        <f>20</f>
        <v>20.0</v>
      </c>
    </row>
    <row r="401">
      <c r="A401" s="27" t="s">
        <v>42</v>
      </c>
      <c r="B401" s="27" t="s">
        <v>1249</v>
      </c>
      <c r="C401" s="27" t="s">
        <v>1250</v>
      </c>
      <c r="D401" s="27" t="s">
        <v>1251</v>
      </c>
      <c r="E401" s="28" t="s">
        <v>46</v>
      </c>
      <c r="F401" s="29" t="s">
        <v>46</v>
      </c>
      <c r="G401" s="30" t="s">
        <v>46</v>
      </c>
      <c r="H401" s="31"/>
      <c r="I401" s="31" t="s">
        <v>414</v>
      </c>
      <c r="J401" s="32" t="n">
        <v>1.0</v>
      </c>
      <c r="K401" s="33" t="n">
        <f>147100</f>
        <v>147100.0</v>
      </c>
      <c r="L401" s="34" t="s">
        <v>48</v>
      </c>
      <c r="M401" s="33" t="n">
        <f>150800</f>
        <v>150800.0</v>
      </c>
      <c r="N401" s="34" t="s">
        <v>49</v>
      </c>
      <c r="O401" s="33" t="n">
        <f>144200</f>
        <v>144200.0</v>
      </c>
      <c r="P401" s="34" t="s">
        <v>62</v>
      </c>
      <c r="Q401" s="33" t="n">
        <f>148600</f>
        <v>148600.0</v>
      </c>
      <c r="R401" s="34" t="s">
        <v>51</v>
      </c>
      <c r="S401" s="35" t="n">
        <f>147595</f>
        <v>147595.0</v>
      </c>
      <c r="T401" s="32" t="n">
        <f>19347</f>
        <v>19347.0</v>
      </c>
      <c r="U401" s="32" t="n">
        <f>2917</f>
        <v>2917.0</v>
      </c>
      <c r="V401" s="32" t="n">
        <f>2851432631</f>
        <v>2.851432631E9</v>
      </c>
      <c r="W401" s="32" t="n">
        <f>428000931</f>
        <v>4.28000931E8</v>
      </c>
      <c r="X401" s="36" t="n">
        <f>20</f>
        <v>20.0</v>
      </c>
    </row>
    <row r="402">
      <c r="A402" s="27" t="s">
        <v>42</v>
      </c>
      <c r="B402" s="27" t="s">
        <v>1252</v>
      </c>
      <c r="C402" s="27" t="s">
        <v>1253</v>
      </c>
      <c r="D402" s="27" t="s">
        <v>1254</v>
      </c>
      <c r="E402" s="28" t="s">
        <v>46</v>
      </c>
      <c r="F402" s="29" t="s">
        <v>46</v>
      </c>
      <c r="G402" s="30" t="s">
        <v>46</v>
      </c>
      <c r="H402" s="31"/>
      <c r="I402" s="31" t="s">
        <v>47</v>
      </c>
      <c r="J402" s="32" t="n">
        <v>1.0</v>
      </c>
      <c r="K402" s="33" t="n">
        <f>120100</f>
        <v>120100.0</v>
      </c>
      <c r="L402" s="34" t="s">
        <v>48</v>
      </c>
      <c r="M402" s="33" t="n">
        <f>120500</f>
        <v>120500.0</v>
      </c>
      <c r="N402" s="34" t="s">
        <v>48</v>
      </c>
      <c r="O402" s="33" t="n">
        <f>115700</f>
        <v>115700.0</v>
      </c>
      <c r="P402" s="34" t="s">
        <v>51</v>
      </c>
      <c r="Q402" s="33" t="n">
        <f>116200</f>
        <v>116200.0</v>
      </c>
      <c r="R402" s="34" t="s">
        <v>51</v>
      </c>
      <c r="S402" s="35" t="n">
        <f>118135</f>
        <v>118135.0</v>
      </c>
      <c r="T402" s="32" t="n">
        <f>19990</f>
        <v>19990.0</v>
      </c>
      <c r="U402" s="32" t="n">
        <f>3025</f>
        <v>3025.0</v>
      </c>
      <c r="V402" s="32" t="n">
        <f>2355429717</f>
        <v>2.355429717E9</v>
      </c>
      <c r="W402" s="32" t="n">
        <f>356712917</f>
        <v>3.56712917E8</v>
      </c>
      <c r="X402" s="36" t="n">
        <f>20</f>
        <v>20.0</v>
      </c>
    </row>
    <row r="403">
      <c r="A403" s="27" t="s">
        <v>42</v>
      </c>
      <c r="B403" s="27" t="s">
        <v>1255</v>
      </c>
      <c r="C403" s="27" t="s">
        <v>1256</v>
      </c>
      <c r="D403" s="27" t="s">
        <v>1257</v>
      </c>
      <c r="E403" s="28" t="s">
        <v>46</v>
      </c>
      <c r="F403" s="29" t="s">
        <v>46</v>
      </c>
      <c r="G403" s="30" t="s">
        <v>46</v>
      </c>
      <c r="H403" s="31"/>
      <c r="I403" s="31" t="s">
        <v>47</v>
      </c>
      <c r="J403" s="32" t="n">
        <v>1.0</v>
      </c>
      <c r="K403" s="33" t="n">
        <f>112100</f>
        <v>112100.0</v>
      </c>
      <c r="L403" s="34" t="s">
        <v>48</v>
      </c>
      <c r="M403" s="33" t="n">
        <f>116200</f>
        <v>116200.0</v>
      </c>
      <c r="N403" s="34" t="s">
        <v>49</v>
      </c>
      <c r="O403" s="33" t="n">
        <f>109700</f>
        <v>109700.0</v>
      </c>
      <c r="P403" s="34" t="s">
        <v>103</v>
      </c>
      <c r="Q403" s="33" t="n">
        <f>114800</f>
        <v>114800.0</v>
      </c>
      <c r="R403" s="34" t="s">
        <v>51</v>
      </c>
      <c r="S403" s="35" t="n">
        <f>113030</f>
        <v>113030.0</v>
      </c>
      <c r="T403" s="32" t="n">
        <f>33994</f>
        <v>33994.0</v>
      </c>
      <c r="U403" s="32" t="n">
        <f>4303</f>
        <v>4303.0</v>
      </c>
      <c r="V403" s="32" t="n">
        <f>3837727681</f>
        <v>3.837727681E9</v>
      </c>
      <c r="W403" s="32" t="n">
        <f>484942981</f>
        <v>4.84942981E8</v>
      </c>
      <c r="X403" s="36" t="n">
        <f>20</f>
        <v>20.0</v>
      </c>
    </row>
    <row r="404">
      <c r="A404" s="27" t="s">
        <v>42</v>
      </c>
      <c r="B404" s="27" t="s">
        <v>1258</v>
      </c>
      <c r="C404" s="27" t="s">
        <v>1259</v>
      </c>
      <c r="D404" s="27" t="s">
        <v>1260</v>
      </c>
      <c r="E404" s="28" t="s">
        <v>46</v>
      </c>
      <c r="F404" s="29" t="s">
        <v>46</v>
      </c>
      <c r="G404" s="30" t="s">
        <v>46</v>
      </c>
      <c r="H404" s="31"/>
      <c r="I404" s="31" t="s">
        <v>414</v>
      </c>
      <c r="J404" s="32" t="n">
        <v>1.0</v>
      </c>
      <c r="K404" s="33" t="n">
        <f>11605</f>
        <v>11605.0</v>
      </c>
      <c r="L404" s="34" t="s">
        <v>48</v>
      </c>
      <c r="M404" s="33" t="n">
        <f>12000</f>
        <v>12000.0</v>
      </c>
      <c r="N404" s="34" t="s">
        <v>199</v>
      </c>
      <c r="O404" s="33" t="n">
        <f>11520</f>
        <v>11520.0</v>
      </c>
      <c r="P404" s="34" t="s">
        <v>48</v>
      </c>
      <c r="Q404" s="33" t="n">
        <f>11850</f>
        <v>11850.0</v>
      </c>
      <c r="R404" s="34" t="s">
        <v>51</v>
      </c>
      <c r="S404" s="35" t="n">
        <f>11809</f>
        <v>11809.0</v>
      </c>
      <c r="T404" s="32" t="n">
        <f>37842</f>
        <v>37842.0</v>
      </c>
      <c r="U404" s="32" t="str">
        <f>"－"</f>
        <v>－</v>
      </c>
      <c r="V404" s="32" t="n">
        <f>447601840</f>
        <v>4.4760184E8</v>
      </c>
      <c r="W404" s="32" t="str">
        <f>"－"</f>
        <v>－</v>
      </c>
      <c r="X404" s="36" t="n">
        <f>20</f>
        <v>20.0</v>
      </c>
    </row>
    <row r="405">
      <c r="A405" s="27" t="s">
        <v>42</v>
      </c>
      <c r="B405" s="27" t="s">
        <v>1261</v>
      </c>
      <c r="C405" s="27" t="s">
        <v>1262</v>
      </c>
      <c r="D405" s="27" t="s">
        <v>1263</v>
      </c>
      <c r="E405" s="28" t="s">
        <v>46</v>
      </c>
      <c r="F405" s="29" t="s">
        <v>46</v>
      </c>
      <c r="G405" s="30" t="s">
        <v>46</v>
      </c>
      <c r="H405" s="31"/>
      <c r="I405" s="31" t="s">
        <v>47</v>
      </c>
      <c r="J405" s="32" t="n">
        <v>1.0</v>
      </c>
      <c r="K405" s="33" t="n">
        <f>161000</f>
        <v>161000.0</v>
      </c>
      <c r="L405" s="34" t="s">
        <v>48</v>
      </c>
      <c r="M405" s="33" t="n">
        <f>165300</f>
        <v>165300.0</v>
      </c>
      <c r="N405" s="34" t="s">
        <v>99</v>
      </c>
      <c r="O405" s="33" t="n">
        <f>157500</f>
        <v>157500.0</v>
      </c>
      <c r="P405" s="34" t="s">
        <v>62</v>
      </c>
      <c r="Q405" s="33" t="n">
        <f>160400</f>
        <v>160400.0</v>
      </c>
      <c r="R405" s="34" t="s">
        <v>51</v>
      </c>
      <c r="S405" s="35" t="n">
        <f>161690</f>
        <v>161690.0</v>
      </c>
      <c r="T405" s="32" t="n">
        <f>236127</f>
        <v>236127.0</v>
      </c>
      <c r="U405" s="32" t="n">
        <f>52099</f>
        <v>52099.0</v>
      </c>
      <c r="V405" s="32" t="n">
        <f>38156239511</f>
        <v>3.8156239511E10</v>
      </c>
      <c r="W405" s="32" t="n">
        <f>8399995211</f>
        <v>8.399995211E9</v>
      </c>
      <c r="X405" s="36" t="n">
        <f>20</f>
        <v>20.0</v>
      </c>
    </row>
    <row r="406">
      <c r="A406" s="27" t="s">
        <v>42</v>
      </c>
      <c r="B406" s="27" t="s">
        <v>1264</v>
      </c>
      <c r="C406" s="27" t="s">
        <v>1265</v>
      </c>
      <c r="D406" s="27" t="s">
        <v>1266</v>
      </c>
      <c r="E406" s="28" t="s">
        <v>46</v>
      </c>
      <c r="F406" s="29" t="s">
        <v>46</v>
      </c>
      <c r="G406" s="30" t="s">
        <v>46</v>
      </c>
      <c r="H406" s="31"/>
      <c r="I406" s="31" t="s">
        <v>414</v>
      </c>
      <c r="J406" s="32" t="n">
        <v>1.0</v>
      </c>
      <c r="K406" s="33" t="n">
        <f>141600</f>
        <v>141600.0</v>
      </c>
      <c r="L406" s="34" t="s">
        <v>48</v>
      </c>
      <c r="M406" s="33" t="n">
        <f>141700</f>
        <v>141700.0</v>
      </c>
      <c r="N406" s="34" t="s">
        <v>48</v>
      </c>
      <c r="O406" s="33" t="n">
        <f>127700</f>
        <v>127700.0</v>
      </c>
      <c r="P406" s="34" t="s">
        <v>51</v>
      </c>
      <c r="Q406" s="33" t="n">
        <f>128700</f>
        <v>128700.0</v>
      </c>
      <c r="R406" s="34" t="s">
        <v>51</v>
      </c>
      <c r="S406" s="35" t="n">
        <f>133745</f>
        <v>133745.0</v>
      </c>
      <c r="T406" s="32" t="n">
        <f>32226</f>
        <v>32226.0</v>
      </c>
      <c r="U406" s="32" t="n">
        <f>3099</f>
        <v>3099.0</v>
      </c>
      <c r="V406" s="32" t="n">
        <f>4312583175</f>
        <v>4.312583175E9</v>
      </c>
      <c r="W406" s="32" t="n">
        <f>415920875</f>
        <v>4.15920875E8</v>
      </c>
      <c r="X406" s="36" t="n">
        <f>20</f>
        <v>20.0</v>
      </c>
    </row>
    <row r="407">
      <c r="A407" s="27" t="s">
        <v>42</v>
      </c>
      <c r="B407" s="27" t="s">
        <v>1267</v>
      </c>
      <c r="C407" s="27" t="s">
        <v>1268</v>
      </c>
      <c r="D407" s="27" t="s">
        <v>1269</v>
      </c>
      <c r="E407" s="28" t="s">
        <v>46</v>
      </c>
      <c r="F407" s="29" t="s">
        <v>46</v>
      </c>
      <c r="G407" s="30" t="s">
        <v>46</v>
      </c>
      <c r="H407" s="31"/>
      <c r="I407" s="31" t="s">
        <v>47</v>
      </c>
      <c r="J407" s="32" t="n">
        <v>1.0</v>
      </c>
      <c r="K407" s="33" t="n">
        <f>142400</f>
        <v>142400.0</v>
      </c>
      <c r="L407" s="34" t="s">
        <v>48</v>
      </c>
      <c r="M407" s="33" t="n">
        <f>144900</f>
        <v>144900.0</v>
      </c>
      <c r="N407" s="34" t="s">
        <v>70</v>
      </c>
      <c r="O407" s="33" t="n">
        <f>140100</f>
        <v>140100.0</v>
      </c>
      <c r="P407" s="34" t="s">
        <v>103</v>
      </c>
      <c r="Q407" s="33" t="n">
        <f>143500</f>
        <v>143500.0</v>
      </c>
      <c r="R407" s="34" t="s">
        <v>51</v>
      </c>
      <c r="S407" s="35" t="n">
        <f>141970</f>
        <v>141970.0</v>
      </c>
      <c r="T407" s="32" t="n">
        <f>155543</f>
        <v>155543.0</v>
      </c>
      <c r="U407" s="32" t="n">
        <f>41927</f>
        <v>41927.0</v>
      </c>
      <c r="V407" s="32" t="n">
        <f>22046629988</f>
        <v>2.2046629988E10</v>
      </c>
      <c r="W407" s="32" t="n">
        <f>5936864888</f>
        <v>5.936864888E9</v>
      </c>
      <c r="X407" s="36" t="n">
        <f>20</f>
        <v>20.0</v>
      </c>
    </row>
    <row r="408">
      <c r="A408" s="27" t="s">
        <v>42</v>
      </c>
      <c r="B408" s="27" t="s">
        <v>1270</v>
      </c>
      <c r="C408" s="27" t="s">
        <v>1271</v>
      </c>
      <c r="D408" s="27" t="s">
        <v>1272</v>
      </c>
      <c r="E408" s="28" t="s">
        <v>46</v>
      </c>
      <c r="F408" s="29" t="s">
        <v>46</v>
      </c>
      <c r="G408" s="30" t="s">
        <v>46</v>
      </c>
      <c r="H408" s="31"/>
      <c r="I408" s="31" t="s">
        <v>47</v>
      </c>
      <c r="J408" s="32" t="n">
        <v>1.0</v>
      </c>
      <c r="K408" s="33" t="n">
        <f>61100</f>
        <v>61100.0</v>
      </c>
      <c r="L408" s="34" t="s">
        <v>48</v>
      </c>
      <c r="M408" s="33" t="n">
        <f>61600</f>
        <v>61600.0</v>
      </c>
      <c r="N408" s="34" t="s">
        <v>49</v>
      </c>
      <c r="O408" s="33" t="n">
        <f>59400</f>
        <v>59400.0</v>
      </c>
      <c r="P408" s="34" t="s">
        <v>62</v>
      </c>
      <c r="Q408" s="33" t="n">
        <f>60300</f>
        <v>60300.0</v>
      </c>
      <c r="R408" s="34" t="s">
        <v>51</v>
      </c>
      <c r="S408" s="35" t="n">
        <f>60640</f>
        <v>60640.0</v>
      </c>
      <c r="T408" s="32" t="n">
        <f>180091</f>
        <v>180091.0</v>
      </c>
      <c r="U408" s="32" t="n">
        <f>50180</f>
        <v>50180.0</v>
      </c>
      <c r="V408" s="32" t="n">
        <f>10914244526</f>
        <v>1.0914244526E10</v>
      </c>
      <c r="W408" s="32" t="n">
        <f>3037916726</f>
        <v>3.037916726E9</v>
      </c>
      <c r="X408" s="36" t="n">
        <f>20</f>
        <v>20.0</v>
      </c>
    </row>
    <row r="409">
      <c r="A409" s="27" t="s">
        <v>42</v>
      </c>
      <c r="B409" s="27" t="s">
        <v>1273</v>
      </c>
      <c r="C409" s="27" t="s">
        <v>1274</v>
      </c>
      <c r="D409" s="27" t="s">
        <v>1275</v>
      </c>
      <c r="E409" s="28" t="s">
        <v>46</v>
      </c>
      <c r="F409" s="29" t="s">
        <v>46</v>
      </c>
      <c r="G409" s="30" t="s">
        <v>46</v>
      </c>
      <c r="H409" s="31"/>
      <c r="I409" s="31" t="s">
        <v>47</v>
      </c>
      <c r="J409" s="32" t="n">
        <v>1.0</v>
      </c>
      <c r="K409" s="33" t="n">
        <f>2700</f>
        <v>2700.0</v>
      </c>
      <c r="L409" s="34" t="s">
        <v>48</v>
      </c>
      <c r="M409" s="33" t="n">
        <f>2981</f>
        <v>2981.0</v>
      </c>
      <c r="N409" s="34" t="s">
        <v>70</v>
      </c>
      <c r="O409" s="33" t="n">
        <f>2650</f>
        <v>2650.0</v>
      </c>
      <c r="P409" s="34" t="s">
        <v>50</v>
      </c>
      <c r="Q409" s="33" t="n">
        <f>2930</f>
        <v>2930.0</v>
      </c>
      <c r="R409" s="34" t="s">
        <v>51</v>
      </c>
      <c r="S409" s="35" t="n">
        <f>2829.95</f>
        <v>2829.95</v>
      </c>
      <c r="T409" s="32" t="n">
        <f>319092</f>
        <v>319092.0</v>
      </c>
      <c r="U409" s="32" t="str">
        <f>"－"</f>
        <v>－</v>
      </c>
      <c r="V409" s="32" t="n">
        <f>909318256</f>
        <v>9.09318256E8</v>
      </c>
      <c r="W409" s="32" t="str">
        <f>"－"</f>
        <v>－</v>
      </c>
      <c r="X409" s="36" t="n">
        <f>20</f>
        <v>20.0</v>
      </c>
    </row>
    <row r="410">
      <c r="A410" s="27" t="s">
        <v>42</v>
      </c>
      <c r="B410" s="27" t="s">
        <v>1276</v>
      </c>
      <c r="C410" s="27" t="s">
        <v>1277</v>
      </c>
      <c r="D410" s="27" t="s">
        <v>1278</v>
      </c>
      <c r="E410" s="28" t="s">
        <v>46</v>
      </c>
      <c r="F410" s="29" t="s">
        <v>46</v>
      </c>
      <c r="G410" s="30" t="s">
        <v>46</v>
      </c>
      <c r="H410" s="31"/>
      <c r="I410" s="31" t="s">
        <v>414</v>
      </c>
      <c r="J410" s="32" t="n">
        <v>1.0</v>
      </c>
      <c r="K410" s="33" t="n">
        <f>115500</f>
        <v>115500.0</v>
      </c>
      <c r="L410" s="34" t="s">
        <v>48</v>
      </c>
      <c r="M410" s="33" t="n">
        <f>115600</f>
        <v>115600.0</v>
      </c>
      <c r="N410" s="34" t="s">
        <v>48</v>
      </c>
      <c r="O410" s="33" t="n">
        <f>110500</f>
        <v>110500.0</v>
      </c>
      <c r="P410" s="34" t="s">
        <v>155</v>
      </c>
      <c r="Q410" s="33" t="n">
        <f>111600</f>
        <v>111600.0</v>
      </c>
      <c r="R410" s="34" t="s">
        <v>51</v>
      </c>
      <c r="S410" s="35" t="n">
        <f>112085</f>
        <v>112085.0</v>
      </c>
      <c r="T410" s="32" t="n">
        <f>16529</f>
        <v>16529.0</v>
      </c>
      <c r="U410" s="32" t="n">
        <f>2247</f>
        <v>2247.0</v>
      </c>
      <c r="V410" s="32" t="n">
        <f>1852414007</f>
        <v>1.852414007E9</v>
      </c>
      <c r="W410" s="32" t="n">
        <f>251911007</f>
        <v>2.51911007E8</v>
      </c>
      <c r="X410" s="36" t="n">
        <f>20</f>
        <v>20.0</v>
      </c>
    </row>
    <row r="411">
      <c r="A411" s="27" t="s">
        <v>42</v>
      </c>
      <c r="B411" s="27" t="s">
        <v>1279</v>
      </c>
      <c r="C411" s="27" t="s">
        <v>1280</v>
      </c>
      <c r="D411" s="27" t="s">
        <v>1281</v>
      </c>
      <c r="E411" s="28" t="s">
        <v>46</v>
      </c>
      <c r="F411" s="29" t="s">
        <v>46</v>
      </c>
      <c r="G411" s="30" t="s">
        <v>46</v>
      </c>
      <c r="H411" s="31"/>
      <c r="I411" s="31" t="s">
        <v>47</v>
      </c>
      <c r="J411" s="32" t="n">
        <v>1.0</v>
      </c>
      <c r="K411" s="33" t="n">
        <f>109600</f>
        <v>109600.0</v>
      </c>
      <c r="L411" s="34" t="s">
        <v>48</v>
      </c>
      <c r="M411" s="33" t="n">
        <f>110900</f>
        <v>110900.0</v>
      </c>
      <c r="N411" s="34" t="s">
        <v>48</v>
      </c>
      <c r="O411" s="33" t="n">
        <f>105700</f>
        <v>105700.0</v>
      </c>
      <c r="P411" s="34" t="s">
        <v>51</v>
      </c>
      <c r="Q411" s="33" t="n">
        <f>106300</f>
        <v>106300.0</v>
      </c>
      <c r="R411" s="34" t="s">
        <v>51</v>
      </c>
      <c r="S411" s="35" t="n">
        <f>108115</f>
        <v>108115.0</v>
      </c>
      <c r="T411" s="32" t="n">
        <f>369038</f>
        <v>369038.0</v>
      </c>
      <c r="U411" s="32" t="n">
        <f>75047</f>
        <v>75047.0</v>
      </c>
      <c r="V411" s="32" t="n">
        <f>39831150381</f>
        <v>3.9831150381E10</v>
      </c>
      <c r="W411" s="32" t="n">
        <f>8108946081</f>
        <v>8.108946081E9</v>
      </c>
      <c r="X411" s="36" t="n">
        <f>20</f>
        <v>20.0</v>
      </c>
    </row>
    <row r="412">
      <c r="A412" s="27" t="s">
        <v>42</v>
      </c>
      <c r="B412" s="27" t="s">
        <v>1282</v>
      </c>
      <c r="C412" s="27" t="s">
        <v>1283</v>
      </c>
      <c r="D412" s="27" t="s">
        <v>1284</v>
      </c>
      <c r="E412" s="28" t="s">
        <v>46</v>
      </c>
      <c r="F412" s="29" t="s">
        <v>46</v>
      </c>
      <c r="G412" s="30" t="s">
        <v>46</v>
      </c>
      <c r="H412" s="31"/>
      <c r="I412" s="31" t="s">
        <v>414</v>
      </c>
      <c r="J412" s="32" t="n">
        <v>1.0</v>
      </c>
      <c r="K412" s="33" t="n">
        <f>79700</f>
        <v>79700.0</v>
      </c>
      <c r="L412" s="34" t="s">
        <v>48</v>
      </c>
      <c r="M412" s="33" t="n">
        <f>80700</f>
        <v>80700.0</v>
      </c>
      <c r="N412" s="34" t="s">
        <v>203</v>
      </c>
      <c r="O412" s="33" t="n">
        <f>78300</f>
        <v>78300.0</v>
      </c>
      <c r="P412" s="34" t="s">
        <v>62</v>
      </c>
      <c r="Q412" s="33" t="n">
        <f>80000</f>
        <v>80000.0</v>
      </c>
      <c r="R412" s="34" t="s">
        <v>51</v>
      </c>
      <c r="S412" s="35" t="n">
        <f>79665</f>
        <v>79665.0</v>
      </c>
      <c r="T412" s="32" t="n">
        <f>22092</f>
        <v>22092.0</v>
      </c>
      <c r="U412" s="32" t="n">
        <f>3276</f>
        <v>3276.0</v>
      </c>
      <c r="V412" s="32" t="n">
        <f>1757837228</f>
        <v>1.757837228E9</v>
      </c>
      <c r="W412" s="32" t="n">
        <f>260727228</f>
        <v>2.60727228E8</v>
      </c>
      <c r="X412" s="36" t="n">
        <f>20</f>
        <v>20.0</v>
      </c>
    </row>
    <row r="413">
      <c r="A413" s="27" t="s">
        <v>42</v>
      </c>
      <c r="B413" s="27" t="s">
        <v>1285</v>
      </c>
      <c r="C413" s="27" t="s">
        <v>1286</v>
      </c>
      <c r="D413" s="27" t="s">
        <v>1287</v>
      </c>
      <c r="E413" s="28" t="s">
        <v>46</v>
      </c>
      <c r="F413" s="29" t="s">
        <v>46</v>
      </c>
      <c r="G413" s="30" t="s">
        <v>46</v>
      </c>
      <c r="H413" s="31"/>
      <c r="I413" s="31" t="s">
        <v>47</v>
      </c>
      <c r="J413" s="32" t="n">
        <v>1.0</v>
      </c>
      <c r="K413" s="33" t="n">
        <f>47950</f>
        <v>47950.0</v>
      </c>
      <c r="L413" s="34" t="s">
        <v>48</v>
      </c>
      <c r="M413" s="33" t="n">
        <f>48700</f>
        <v>48700.0</v>
      </c>
      <c r="N413" s="34" t="s">
        <v>49</v>
      </c>
      <c r="O413" s="33" t="n">
        <f>46850</f>
        <v>46850.0</v>
      </c>
      <c r="P413" s="34" t="s">
        <v>103</v>
      </c>
      <c r="Q413" s="33" t="n">
        <f>48550</f>
        <v>48550.0</v>
      </c>
      <c r="R413" s="34" t="s">
        <v>51</v>
      </c>
      <c r="S413" s="35" t="n">
        <f>48022.5</f>
        <v>48022.5</v>
      </c>
      <c r="T413" s="32" t="n">
        <f>108108</f>
        <v>108108.0</v>
      </c>
      <c r="U413" s="32" t="n">
        <f>18465</f>
        <v>18465.0</v>
      </c>
      <c r="V413" s="32" t="n">
        <f>5185688576</f>
        <v>5.185688576E9</v>
      </c>
      <c r="W413" s="32" t="n">
        <f>883583776</f>
        <v>8.83583776E8</v>
      </c>
      <c r="X413" s="36" t="n">
        <f>20</f>
        <v>20.0</v>
      </c>
    </row>
    <row r="414">
      <c r="A414" s="27" t="s">
        <v>42</v>
      </c>
      <c r="B414" s="27" t="s">
        <v>1288</v>
      </c>
      <c r="C414" s="27" t="s">
        <v>1289</v>
      </c>
      <c r="D414" s="27" t="s">
        <v>1290</v>
      </c>
      <c r="E414" s="28" t="s">
        <v>46</v>
      </c>
      <c r="F414" s="29" t="s">
        <v>46</v>
      </c>
      <c r="G414" s="30" t="s">
        <v>46</v>
      </c>
      <c r="H414" s="31"/>
      <c r="I414" s="31" t="s">
        <v>47</v>
      </c>
      <c r="J414" s="32" t="n">
        <v>1.0</v>
      </c>
      <c r="K414" s="33" t="n">
        <f>122300</f>
        <v>122300.0</v>
      </c>
      <c r="L414" s="34" t="s">
        <v>48</v>
      </c>
      <c r="M414" s="33" t="n">
        <f>123200</f>
        <v>123200.0</v>
      </c>
      <c r="N414" s="34" t="s">
        <v>99</v>
      </c>
      <c r="O414" s="33" t="n">
        <f>118600</f>
        <v>118600.0</v>
      </c>
      <c r="P414" s="34" t="s">
        <v>103</v>
      </c>
      <c r="Q414" s="33" t="n">
        <f>121700</f>
        <v>121700.0</v>
      </c>
      <c r="R414" s="34" t="s">
        <v>51</v>
      </c>
      <c r="S414" s="35" t="n">
        <f>121215</f>
        <v>121215.0</v>
      </c>
      <c r="T414" s="32" t="n">
        <f>113598</f>
        <v>113598.0</v>
      </c>
      <c r="U414" s="32" t="n">
        <f>30549</f>
        <v>30549.0</v>
      </c>
      <c r="V414" s="32" t="n">
        <f>13753800601</f>
        <v>1.3753800601E10</v>
      </c>
      <c r="W414" s="32" t="n">
        <f>3696141501</f>
        <v>3.696141501E9</v>
      </c>
      <c r="X414" s="36" t="n">
        <f>20</f>
        <v>20.0</v>
      </c>
    </row>
    <row r="415">
      <c r="A415" s="27" t="s">
        <v>42</v>
      </c>
      <c r="B415" s="27" t="s">
        <v>1291</v>
      </c>
      <c r="C415" s="27" t="s">
        <v>1292</v>
      </c>
      <c r="D415" s="27" t="s">
        <v>1293</v>
      </c>
      <c r="E415" s="28" t="s">
        <v>46</v>
      </c>
      <c r="F415" s="29" t="s">
        <v>46</v>
      </c>
      <c r="G415" s="30" t="s">
        <v>46</v>
      </c>
      <c r="H415" s="31"/>
      <c r="I415" s="31" t="s">
        <v>47</v>
      </c>
      <c r="J415" s="32" t="n">
        <v>1.0</v>
      </c>
      <c r="K415" s="33" t="n">
        <f>155100</f>
        <v>155100.0</v>
      </c>
      <c r="L415" s="34" t="s">
        <v>48</v>
      </c>
      <c r="M415" s="33" t="n">
        <f>156400</f>
        <v>156400.0</v>
      </c>
      <c r="N415" s="34" t="s">
        <v>48</v>
      </c>
      <c r="O415" s="33" t="n">
        <f>150500</f>
        <v>150500.0</v>
      </c>
      <c r="P415" s="34" t="s">
        <v>103</v>
      </c>
      <c r="Q415" s="33" t="n">
        <f>152100</f>
        <v>152100.0</v>
      </c>
      <c r="R415" s="34" t="s">
        <v>51</v>
      </c>
      <c r="S415" s="35" t="n">
        <f>152945</f>
        <v>152945.0</v>
      </c>
      <c r="T415" s="32" t="n">
        <f>59822</f>
        <v>59822.0</v>
      </c>
      <c r="U415" s="32" t="n">
        <f>13051</f>
        <v>13051.0</v>
      </c>
      <c r="V415" s="32" t="n">
        <f>9144215627</f>
        <v>9.144215627E9</v>
      </c>
      <c r="W415" s="32" t="n">
        <f>1998410927</f>
        <v>1.998410927E9</v>
      </c>
      <c r="X415" s="36" t="n">
        <f>20</f>
        <v>20.0</v>
      </c>
    </row>
    <row r="416">
      <c r="A416" s="27" t="s">
        <v>42</v>
      </c>
      <c r="B416" s="27" t="s">
        <v>1294</v>
      </c>
      <c r="C416" s="27" t="s">
        <v>1295</v>
      </c>
      <c r="D416" s="27" t="s">
        <v>1296</v>
      </c>
      <c r="E416" s="28" t="s">
        <v>46</v>
      </c>
      <c r="F416" s="29" t="s">
        <v>46</v>
      </c>
      <c r="G416" s="30" t="s">
        <v>46</v>
      </c>
      <c r="H416" s="31"/>
      <c r="I416" s="31" t="s">
        <v>414</v>
      </c>
      <c r="J416" s="32" t="n">
        <v>1.0</v>
      </c>
      <c r="K416" s="33" t="n">
        <f>118600</f>
        <v>118600.0</v>
      </c>
      <c r="L416" s="34" t="s">
        <v>48</v>
      </c>
      <c r="M416" s="33" t="n">
        <f>120900</f>
        <v>120900.0</v>
      </c>
      <c r="N416" s="34" t="s">
        <v>49</v>
      </c>
      <c r="O416" s="33" t="n">
        <f>117900</f>
        <v>117900.0</v>
      </c>
      <c r="P416" s="34" t="s">
        <v>62</v>
      </c>
      <c r="Q416" s="33" t="n">
        <f>120400</f>
        <v>120400.0</v>
      </c>
      <c r="R416" s="34" t="s">
        <v>51</v>
      </c>
      <c r="S416" s="35" t="n">
        <f>119605</f>
        <v>119605.0</v>
      </c>
      <c r="T416" s="32" t="n">
        <f>14817</f>
        <v>14817.0</v>
      </c>
      <c r="U416" s="32" t="n">
        <f>2254</f>
        <v>2254.0</v>
      </c>
      <c r="V416" s="32" t="n">
        <f>1771439562</f>
        <v>1.771439562E9</v>
      </c>
      <c r="W416" s="32" t="n">
        <f>269355462</f>
        <v>2.69355462E8</v>
      </c>
      <c r="X416" s="36" t="n">
        <f>20</f>
        <v>20.0</v>
      </c>
    </row>
    <row r="417">
      <c r="A417" s="27" t="s">
        <v>42</v>
      </c>
      <c r="B417" s="27" t="s">
        <v>1297</v>
      </c>
      <c r="C417" s="27" t="s">
        <v>1298</v>
      </c>
      <c r="D417" s="27" t="s">
        <v>1299</v>
      </c>
      <c r="E417" s="28" t="s">
        <v>46</v>
      </c>
      <c r="F417" s="29" t="s">
        <v>46</v>
      </c>
      <c r="G417" s="30" t="s">
        <v>46</v>
      </c>
      <c r="H417" s="31"/>
      <c r="I417" s="31" t="s">
        <v>47</v>
      </c>
      <c r="J417" s="32" t="n">
        <v>10.0</v>
      </c>
      <c r="K417" s="33" t="n">
        <f>222.9</f>
        <v>222.9</v>
      </c>
      <c r="L417" s="34" t="s">
        <v>48</v>
      </c>
      <c r="M417" s="33" t="n">
        <f>235</f>
        <v>235.0</v>
      </c>
      <c r="N417" s="34" t="s">
        <v>99</v>
      </c>
      <c r="O417" s="33" t="n">
        <f>222</f>
        <v>222.0</v>
      </c>
      <c r="P417" s="34" t="s">
        <v>48</v>
      </c>
      <c r="Q417" s="33" t="n">
        <f>226.7</f>
        <v>226.7</v>
      </c>
      <c r="R417" s="34" t="s">
        <v>51</v>
      </c>
      <c r="S417" s="35" t="n">
        <f>227.86</f>
        <v>227.86</v>
      </c>
      <c r="T417" s="32" t="n">
        <f>532600</f>
        <v>532600.0</v>
      </c>
      <c r="U417" s="32" t="n">
        <f>450</f>
        <v>450.0</v>
      </c>
      <c r="V417" s="32" t="n">
        <f>121157719</f>
        <v>1.21157719E8</v>
      </c>
      <c r="W417" s="32" t="n">
        <f>96765</f>
        <v>96765.0</v>
      </c>
      <c r="X417" s="36" t="n">
        <f>20</f>
        <v>20.0</v>
      </c>
    </row>
    <row r="418">
      <c r="A418" s="27" t="s">
        <v>42</v>
      </c>
      <c r="B418" s="27" t="s">
        <v>1300</v>
      </c>
      <c r="C418" s="27" t="s">
        <v>1301</v>
      </c>
      <c r="D418" s="27" t="s">
        <v>1302</v>
      </c>
      <c r="E418" s="28" t="s">
        <v>46</v>
      </c>
      <c r="F418" s="29" t="s">
        <v>46</v>
      </c>
      <c r="G418" s="30" t="s">
        <v>46</v>
      </c>
      <c r="H418" s="31"/>
      <c r="I418" s="31" t="s">
        <v>47</v>
      </c>
      <c r="J418" s="32" t="n">
        <v>1.0</v>
      </c>
      <c r="K418" s="33" t="n">
        <f>94000</f>
        <v>94000.0</v>
      </c>
      <c r="L418" s="34" t="s">
        <v>48</v>
      </c>
      <c r="M418" s="33" t="n">
        <f>95200</f>
        <v>95200.0</v>
      </c>
      <c r="N418" s="34" t="s">
        <v>398</v>
      </c>
      <c r="O418" s="33" t="n">
        <f>91000</f>
        <v>91000.0</v>
      </c>
      <c r="P418" s="34" t="s">
        <v>62</v>
      </c>
      <c r="Q418" s="33" t="n">
        <f>94100</f>
        <v>94100.0</v>
      </c>
      <c r="R418" s="34" t="s">
        <v>51</v>
      </c>
      <c r="S418" s="35" t="n">
        <f>93680</f>
        <v>93680.0</v>
      </c>
      <c r="T418" s="32" t="n">
        <f>122441</f>
        <v>122441.0</v>
      </c>
      <c r="U418" s="32" t="n">
        <f>18766</f>
        <v>18766.0</v>
      </c>
      <c r="V418" s="32" t="n">
        <f>11436006134</f>
        <v>1.1436006134E10</v>
      </c>
      <c r="W418" s="32" t="n">
        <f>1749348334</f>
        <v>1.749348334E9</v>
      </c>
      <c r="X418" s="36" t="n">
        <f>20</f>
        <v>20.0</v>
      </c>
    </row>
    <row r="419">
      <c r="A419" s="27" t="s">
        <v>42</v>
      </c>
      <c r="B419" s="27" t="s">
        <v>1303</v>
      </c>
      <c r="C419" s="27" t="s">
        <v>1304</v>
      </c>
      <c r="D419" s="27" t="s">
        <v>1305</v>
      </c>
      <c r="E419" s="28" t="s">
        <v>46</v>
      </c>
      <c r="F419" s="29" t="s">
        <v>46</v>
      </c>
      <c r="G419" s="30" t="s">
        <v>46</v>
      </c>
      <c r="H419" s="31"/>
      <c r="I419" s="31" t="s">
        <v>47</v>
      </c>
      <c r="J419" s="32" t="n">
        <v>10.0</v>
      </c>
      <c r="K419" s="33" t="n">
        <f>584</f>
        <v>584.0</v>
      </c>
      <c r="L419" s="34" t="s">
        <v>48</v>
      </c>
      <c r="M419" s="33" t="n">
        <f>628</f>
        <v>628.0</v>
      </c>
      <c r="N419" s="34" t="s">
        <v>203</v>
      </c>
      <c r="O419" s="33" t="n">
        <f>571.9</f>
        <v>571.9</v>
      </c>
      <c r="P419" s="34" t="s">
        <v>50</v>
      </c>
      <c r="Q419" s="33" t="n">
        <f>598.8</f>
        <v>598.8</v>
      </c>
      <c r="R419" s="34" t="s">
        <v>51</v>
      </c>
      <c r="S419" s="35" t="n">
        <f>592.53</f>
        <v>592.53</v>
      </c>
      <c r="T419" s="32" t="n">
        <f>303230</f>
        <v>303230.0</v>
      </c>
      <c r="U419" s="32" t="str">
        <f>"－"</f>
        <v>－</v>
      </c>
      <c r="V419" s="32" t="n">
        <f>181129087</f>
        <v>1.81129087E8</v>
      </c>
      <c r="W419" s="32" t="str">
        <f>"－"</f>
        <v>－</v>
      </c>
      <c r="X419" s="36" t="n">
        <f>20</f>
        <v>20.0</v>
      </c>
    </row>
    <row r="420">
      <c r="A420" s="27" t="s">
        <v>42</v>
      </c>
      <c r="B420" s="27" t="s">
        <v>1306</v>
      </c>
      <c r="C420" s="27" t="s">
        <v>1307</v>
      </c>
      <c r="D420" s="27" t="s">
        <v>1308</v>
      </c>
      <c r="E420" s="28" t="s">
        <v>46</v>
      </c>
      <c r="F420" s="29" t="s">
        <v>46</v>
      </c>
      <c r="G420" s="30" t="s">
        <v>46</v>
      </c>
      <c r="H420" s="31"/>
      <c r="I420" s="31" t="s">
        <v>47</v>
      </c>
      <c r="J420" s="32" t="n">
        <v>1.0</v>
      </c>
      <c r="K420" s="33" t="n">
        <f>2450</f>
        <v>2450.0</v>
      </c>
      <c r="L420" s="34" t="s">
        <v>48</v>
      </c>
      <c r="M420" s="33" t="n">
        <f>2571</f>
        <v>2571.0</v>
      </c>
      <c r="N420" s="34" t="s">
        <v>512</v>
      </c>
      <c r="O420" s="33" t="n">
        <f>2439</f>
        <v>2439.0</v>
      </c>
      <c r="P420" s="34" t="s">
        <v>48</v>
      </c>
      <c r="Q420" s="33" t="n">
        <f>2509</f>
        <v>2509.0</v>
      </c>
      <c r="R420" s="34" t="s">
        <v>51</v>
      </c>
      <c r="S420" s="35" t="n">
        <f>2510.55</f>
        <v>2510.55</v>
      </c>
      <c r="T420" s="32" t="n">
        <f>547050</f>
        <v>547050.0</v>
      </c>
      <c r="U420" s="32" t="n">
        <f>52841</f>
        <v>52841.0</v>
      </c>
      <c r="V420" s="32" t="n">
        <f>1368525215</f>
        <v>1.368525215E9</v>
      </c>
      <c r="W420" s="32" t="n">
        <f>132529274</f>
        <v>1.32529274E8</v>
      </c>
      <c r="X420" s="36" t="n">
        <f>20</f>
        <v>20.0</v>
      </c>
    </row>
    <row r="421">
      <c r="A421" s="27" t="s">
        <v>42</v>
      </c>
      <c r="B421" s="27" t="s">
        <v>1309</v>
      </c>
      <c r="C421" s="27" t="s">
        <v>1310</v>
      </c>
      <c r="D421" s="27" t="s">
        <v>1311</v>
      </c>
      <c r="E421" s="28" t="s">
        <v>46</v>
      </c>
      <c r="F421" s="29" t="s">
        <v>46</v>
      </c>
      <c r="G421" s="30" t="s">
        <v>46</v>
      </c>
      <c r="H421" s="31"/>
      <c r="I421" s="31" t="s">
        <v>47</v>
      </c>
      <c r="J421" s="32" t="n">
        <v>1.0</v>
      </c>
      <c r="K421" s="33" t="n">
        <f>1240</f>
        <v>1240.0</v>
      </c>
      <c r="L421" s="34" t="s">
        <v>48</v>
      </c>
      <c r="M421" s="33" t="n">
        <f>1300</f>
        <v>1300.0</v>
      </c>
      <c r="N421" s="34" t="s">
        <v>99</v>
      </c>
      <c r="O421" s="33" t="n">
        <f>1230</f>
        <v>1230.0</v>
      </c>
      <c r="P421" s="34" t="s">
        <v>48</v>
      </c>
      <c r="Q421" s="33" t="n">
        <f>1281</f>
        <v>1281.0</v>
      </c>
      <c r="R421" s="34" t="s">
        <v>51</v>
      </c>
      <c r="S421" s="35" t="n">
        <f>1265.4</f>
        <v>1265.4</v>
      </c>
      <c r="T421" s="32" t="n">
        <f>14850536</f>
        <v>1.4850536E7</v>
      </c>
      <c r="U421" s="32" t="n">
        <f>13130002</f>
        <v>1.3130002E7</v>
      </c>
      <c r="V421" s="32" t="n">
        <f>18990669433</f>
        <v>1.8990669433E10</v>
      </c>
      <c r="W421" s="32" t="n">
        <f>16799366565</f>
        <v>1.6799366565E10</v>
      </c>
      <c r="X421" s="36" t="n">
        <f>20</f>
        <v>20.0</v>
      </c>
    </row>
    <row r="422">
      <c r="A422" s="27" t="s">
        <v>42</v>
      </c>
      <c r="B422" s="27" t="s">
        <v>1312</v>
      </c>
      <c r="C422" s="27" t="s">
        <v>1313</v>
      </c>
      <c r="D422" s="27" t="s">
        <v>1314</v>
      </c>
      <c r="E422" s="28" t="s">
        <v>46</v>
      </c>
      <c r="F422" s="29" t="s">
        <v>46</v>
      </c>
      <c r="G422" s="30" t="s">
        <v>46</v>
      </c>
      <c r="H422" s="31"/>
      <c r="I422" s="31" t="s">
        <v>47</v>
      </c>
      <c r="J422" s="32" t="n">
        <v>10.0</v>
      </c>
      <c r="K422" s="33" t="n">
        <f>1140.5</f>
        <v>1140.5</v>
      </c>
      <c r="L422" s="34" t="s">
        <v>207</v>
      </c>
      <c r="M422" s="33" t="n">
        <f>1154.5</f>
        <v>1154.5</v>
      </c>
      <c r="N422" s="34" t="s">
        <v>74</v>
      </c>
      <c r="O422" s="33" t="n">
        <f>1119</f>
        <v>1119.0</v>
      </c>
      <c r="P422" s="34" t="s">
        <v>103</v>
      </c>
      <c r="Q422" s="33" t="n">
        <f>1144</f>
        <v>1144.0</v>
      </c>
      <c r="R422" s="34" t="s">
        <v>70</v>
      </c>
      <c r="S422" s="35" t="n">
        <f>1138.36</f>
        <v>1138.36</v>
      </c>
      <c r="T422" s="32" t="n">
        <f>890100</f>
        <v>890100.0</v>
      </c>
      <c r="U422" s="32" t="n">
        <f>886750</f>
        <v>886750.0</v>
      </c>
      <c r="V422" s="32" t="n">
        <f>1030170820</f>
        <v>1.03017082E9</v>
      </c>
      <c r="W422" s="32" t="n">
        <f>1026356955</f>
        <v>1.026356955E9</v>
      </c>
      <c r="X422" s="36" t="n">
        <f>14</f>
        <v>14.0</v>
      </c>
    </row>
    <row r="423">
      <c r="A423" s="27" t="s">
        <v>42</v>
      </c>
      <c r="B423" s="27" t="s">
        <v>1315</v>
      </c>
      <c r="C423" s="27" t="s">
        <v>1316</v>
      </c>
      <c r="D423" s="27" t="s">
        <v>1317</v>
      </c>
      <c r="E423" s="28" t="s">
        <v>46</v>
      </c>
      <c r="F423" s="29" t="s">
        <v>46</v>
      </c>
      <c r="G423" s="30" t="s">
        <v>46</v>
      </c>
      <c r="H423" s="31"/>
      <c r="I423" s="31" t="s">
        <v>47</v>
      </c>
      <c r="J423" s="32" t="n">
        <v>1.0</v>
      </c>
      <c r="K423" s="33" t="n">
        <f>2194</f>
        <v>2194.0</v>
      </c>
      <c r="L423" s="34" t="s">
        <v>48</v>
      </c>
      <c r="M423" s="33" t="n">
        <f>2210</f>
        <v>2210.0</v>
      </c>
      <c r="N423" s="34" t="s">
        <v>203</v>
      </c>
      <c r="O423" s="33" t="n">
        <f>2134</f>
        <v>2134.0</v>
      </c>
      <c r="P423" s="34" t="s">
        <v>62</v>
      </c>
      <c r="Q423" s="33" t="n">
        <f>2189</f>
        <v>2189.0</v>
      </c>
      <c r="R423" s="34" t="s">
        <v>51</v>
      </c>
      <c r="S423" s="35" t="n">
        <f>2175.8</f>
        <v>2175.8</v>
      </c>
      <c r="T423" s="32" t="n">
        <f>22086</f>
        <v>22086.0</v>
      </c>
      <c r="U423" s="32" t="n">
        <f>9174</f>
        <v>9174.0</v>
      </c>
      <c r="V423" s="32" t="n">
        <f>48080261</f>
        <v>4.8080261E7</v>
      </c>
      <c r="W423" s="32" t="n">
        <f>19999320</f>
        <v>1.999932E7</v>
      </c>
      <c r="X423" s="36" t="n">
        <f>20</f>
        <v>20.0</v>
      </c>
    </row>
    <row r="424">
      <c r="A424" s="27" t="s">
        <v>42</v>
      </c>
      <c r="B424" s="27" t="s">
        <v>1318</v>
      </c>
      <c r="C424" s="27" t="s">
        <v>1319</v>
      </c>
      <c r="D424" s="27" t="s">
        <v>1320</v>
      </c>
      <c r="E424" s="28" t="s">
        <v>46</v>
      </c>
      <c r="F424" s="29" t="s">
        <v>46</v>
      </c>
      <c r="G424" s="30" t="s">
        <v>46</v>
      </c>
      <c r="H424" s="31"/>
      <c r="I424" s="31" t="s">
        <v>47</v>
      </c>
      <c r="J424" s="32" t="n">
        <v>1.0</v>
      </c>
      <c r="K424" s="33" t="n">
        <f>2122</f>
        <v>2122.0</v>
      </c>
      <c r="L424" s="34" t="s">
        <v>48</v>
      </c>
      <c r="M424" s="33" t="n">
        <f>2137</f>
        <v>2137.0</v>
      </c>
      <c r="N424" s="34" t="s">
        <v>207</v>
      </c>
      <c r="O424" s="33" t="n">
        <f>2073</f>
        <v>2073.0</v>
      </c>
      <c r="P424" s="34" t="s">
        <v>99</v>
      </c>
      <c r="Q424" s="33" t="n">
        <f>2096</f>
        <v>2096.0</v>
      </c>
      <c r="R424" s="34" t="s">
        <v>51</v>
      </c>
      <c r="S424" s="35" t="n">
        <f>2103.7</f>
        <v>2103.7</v>
      </c>
      <c r="T424" s="32" t="n">
        <f>89888</f>
        <v>89888.0</v>
      </c>
      <c r="U424" s="32" t="str">
        <f>"－"</f>
        <v>－</v>
      </c>
      <c r="V424" s="32" t="n">
        <f>188983673</f>
        <v>1.88983673E8</v>
      </c>
      <c r="W424" s="32" t="str">
        <f>"－"</f>
        <v>－</v>
      </c>
      <c r="X424" s="36" t="n">
        <f>20</f>
        <v>20.0</v>
      </c>
    </row>
    <row r="425">
      <c r="A425" s="27" t="s">
        <v>42</v>
      </c>
      <c r="B425" s="27" t="s">
        <v>1321</v>
      </c>
      <c r="C425" s="27" t="s">
        <v>1322</v>
      </c>
      <c r="D425" s="27" t="s">
        <v>1323</v>
      </c>
      <c r="E425" s="28" t="s">
        <v>46</v>
      </c>
      <c r="F425" s="29" t="s">
        <v>46</v>
      </c>
      <c r="G425" s="30" t="s">
        <v>46</v>
      </c>
      <c r="H425" s="31"/>
      <c r="I425" s="31" t="s">
        <v>47</v>
      </c>
      <c r="J425" s="32" t="n">
        <v>1.0</v>
      </c>
      <c r="K425" s="33" t="n">
        <f>5063</f>
        <v>5063.0</v>
      </c>
      <c r="L425" s="34" t="s">
        <v>48</v>
      </c>
      <c r="M425" s="33" t="n">
        <f>5132</f>
        <v>5132.0</v>
      </c>
      <c r="N425" s="34" t="s">
        <v>203</v>
      </c>
      <c r="O425" s="33" t="n">
        <f>5049</f>
        <v>5049.0</v>
      </c>
      <c r="P425" s="34" t="s">
        <v>207</v>
      </c>
      <c r="Q425" s="33" t="n">
        <f>5096</f>
        <v>5096.0</v>
      </c>
      <c r="R425" s="34" t="s">
        <v>70</v>
      </c>
      <c r="S425" s="35" t="n">
        <f>5096.08</f>
        <v>5096.08</v>
      </c>
      <c r="T425" s="32" t="n">
        <f>385</f>
        <v>385.0</v>
      </c>
      <c r="U425" s="32" t="str">
        <f>"－"</f>
        <v>－</v>
      </c>
      <c r="V425" s="32" t="n">
        <f>1963259</f>
        <v>1963259.0</v>
      </c>
      <c r="W425" s="32" t="str">
        <f>"－"</f>
        <v>－</v>
      </c>
      <c r="X425" s="36" t="n">
        <f>13</f>
        <v>13.0</v>
      </c>
    </row>
    <row r="426">
      <c r="A426" s="27" t="s">
        <v>42</v>
      </c>
      <c r="B426" s="27" t="s">
        <v>1324</v>
      </c>
      <c r="C426" s="27" t="s">
        <v>1325</v>
      </c>
      <c r="D426" s="27" t="s">
        <v>1326</v>
      </c>
      <c r="E426" s="28" t="s">
        <v>46</v>
      </c>
      <c r="F426" s="29" t="s">
        <v>46</v>
      </c>
      <c r="G426" s="30" t="s">
        <v>46</v>
      </c>
      <c r="H426" s="31"/>
      <c r="I426" s="31" t="s">
        <v>47</v>
      </c>
      <c r="J426" s="32" t="n">
        <v>1.0</v>
      </c>
      <c r="K426" s="33" t="n">
        <f>1082</f>
        <v>1082.0</v>
      </c>
      <c r="L426" s="34" t="s">
        <v>48</v>
      </c>
      <c r="M426" s="33" t="n">
        <f>1150</f>
        <v>1150.0</v>
      </c>
      <c r="N426" s="34" t="s">
        <v>70</v>
      </c>
      <c r="O426" s="33" t="n">
        <f>1080</f>
        <v>1080.0</v>
      </c>
      <c r="P426" s="34" t="s">
        <v>103</v>
      </c>
      <c r="Q426" s="33" t="n">
        <f>1135</f>
        <v>1135.0</v>
      </c>
      <c r="R426" s="34" t="s">
        <v>51</v>
      </c>
      <c r="S426" s="35" t="n">
        <f>1110.45</f>
        <v>1110.45</v>
      </c>
      <c r="T426" s="32" t="n">
        <f>85360</f>
        <v>85360.0</v>
      </c>
      <c r="U426" s="32" t="str">
        <f>"－"</f>
        <v>－</v>
      </c>
      <c r="V426" s="32" t="n">
        <f>94007648</f>
        <v>9.4007648E7</v>
      </c>
      <c r="W426" s="32" t="str">
        <f>"－"</f>
        <v>－</v>
      </c>
      <c r="X426" s="36" t="n">
        <f>20</f>
        <v>20.0</v>
      </c>
    </row>
    <row r="427">
      <c r="A427" s="27" t="s">
        <v>42</v>
      </c>
      <c r="B427" s="27" t="s">
        <v>1327</v>
      </c>
      <c r="C427" s="27" t="s">
        <v>1328</v>
      </c>
      <c r="D427" s="27" t="s">
        <v>1329</v>
      </c>
      <c r="E427" s="28" t="s">
        <v>46</v>
      </c>
      <c r="F427" s="29" t="s">
        <v>46</v>
      </c>
      <c r="G427" s="30" t="s">
        <v>46</v>
      </c>
      <c r="H427" s="31"/>
      <c r="I427" s="31" t="s">
        <v>47</v>
      </c>
      <c r="J427" s="32" t="n">
        <v>1.0</v>
      </c>
      <c r="K427" s="33" t="n">
        <f>1144</f>
        <v>1144.0</v>
      </c>
      <c r="L427" s="34" t="s">
        <v>48</v>
      </c>
      <c r="M427" s="33" t="n">
        <f>1288</f>
        <v>1288.0</v>
      </c>
      <c r="N427" s="34" t="s">
        <v>195</v>
      </c>
      <c r="O427" s="33" t="n">
        <f>1106</f>
        <v>1106.0</v>
      </c>
      <c r="P427" s="34" t="s">
        <v>62</v>
      </c>
      <c r="Q427" s="33" t="n">
        <f>1279</f>
        <v>1279.0</v>
      </c>
      <c r="R427" s="34" t="s">
        <v>51</v>
      </c>
      <c r="S427" s="35" t="n">
        <f>1199.45</f>
        <v>1199.45</v>
      </c>
      <c r="T427" s="32" t="n">
        <f>2472392</f>
        <v>2472392.0</v>
      </c>
      <c r="U427" s="32" t="n">
        <f>10000</f>
        <v>10000.0</v>
      </c>
      <c r="V427" s="32" t="n">
        <f>2969788584</f>
        <v>2.969788584E9</v>
      </c>
      <c r="W427" s="32" t="n">
        <f>11680000</f>
        <v>1.168E7</v>
      </c>
      <c r="X427" s="36" t="n">
        <f>20</f>
        <v>20.0</v>
      </c>
    </row>
    <row r="428">
      <c r="A428" s="27" t="s">
        <v>42</v>
      </c>
      <c r="B428" s="27" t="s">
        <v>1330</v>
      </c>
      <c r="C428" s="27" t="s">
        <v>1331</v>
      </c>
      <c r="D428" s="27" t="s">
        <v>1332</v>
      </c>
      <c r="E428" s="28" t="s">
        <v>46</v>
      </c>
      <c r="F428" s="29" t="s">
        <v>46</v>
      </c>
      <c r="G428" s="30" t="s">
        <v>46</v>
      </c>
      <c r="H428" s="31"/>
      <c r="I428" s="31" t="s">
        <v>47</v>
      </c>
      <c r="J428" s="32" t="n">
        <v>1.0</v>
      </c>
      <c r="K428" s="33" t="n">
        <f>2053</f>
        <v>2053.0</v>
      </c>
      <c r="L428" s="34" t="s">
        <v>48</v>
      </c>
      <c r="M428" s="33" t="n">
        <f>2092</f>
        <v>2092.0</v>
      </c>
      <c r="N428" s="34" t="s">
        <v>49</v>
      </c>
      <c r="O428" s="33" t="n">
        <f>2046</f>
        <v>2046.0</v>
      </c>
      <c r="P428" s="34" t="s">
        <v>48</v>
      </c>
      <c r="Q428" s="33" t="n">
        <f>2074</f>
        <v>2074.0</v>
      </c>
      <c r="R428" s="34" t="s">
        <v>51</v>
      </c>
      <c r="S428" s="35" t="n">
        <f>2068.16</f>
        <v>2068.16</v>
      </c>
      <c r="T428" s="32" t="n">
        <f>1276820</f>
        <v>1276820.0</v>
      </c>
      <c r="U428" s="32" t="n">
        <f>1215000</f>
        <v>1215000.0</v>
      </c>
      <c r="V428" s="32" t="n">
        <f>2629064891</f>
        <v>2.629064891E9</v>
      </c>
      <c r="W428" s="32" t="n">
        <f>2500340173</f>
        <v>2.500340173E9</v>
      </c>
      <c r="X428" s="36" t="n">
        <f>19</f>
        <v>19.0</v>
      </c>
    </row>
    <row r="429">
      <c r="A429" s="27" t="s">
        <v>42</v>
      </c>
      <c r="B429" s="27" t="s">
        <v>1333</v>
      </c>
      <c r="C429" s="27" t="s">
        <v>1334</v>
      </c>
      <c r="D429" s="27" t="s">
        <v>1335</v>
      </c>
      <c r="E429" s="28" t="s">
        <v>46</v>
      </c>
      <c r="F429" s="29" t="s">
        <v>46</v>
      </c>
      <c r="G429" s="30" t="s">
        <v>46</v>
      </c>
      <c r="H429" s="31"/>
      <c r="I429" s="31" t="s">
        <v>47</v>
      </c>
      <c r="J429" s="32" t="n">
        <v>1.0</v>
      </c>
      <c r="K429" s="33" t="n">
        <f>2618</f>
        <v>2618.0</v>
      </c>
      <c r="L429" s="34" t="s">
        <v>48</v>
      </c>
      <c r="M429" s="33" t="n">
        <f>2618</f>
        <v>2618.0</v>
      </c>
      <c r="N429" s="34" t="s">
        <v>48</v>
      </c>
      <c r="O429" s="33" t="n">
        <f>2012</f>
        <v>2012.0</v>
      </c>
      <c r="P429" s="34" t="s">
        <v>50</v>
      </c>
      <c r="Q429" s="33" t="n">
        <f>2019</f>
        <v>2019.0</v>
      </c>
      <c r="R429" s="34" t="s">
        <v>51</v>
      </c>
      <c r="S429" s="35" t="n">
        <f>2021.3</f>
        <v>2021.3</v>
      </c>
      <c r="T429" s="32" t="n">
        <f>792834</f>
        <v>792834.0</v>
      </c>
      <c r="U429" s="32" t="n">
        <f>750000</f>
        <v>750000.0</v>
      </c>
      <c r="V429" s="32" t="n">
        <f>1601536079</f>
        <v>1.601536079E9</v>
      </c>
      <c r="W429" s="32" t="n">
        <f>1514700000</f>
        <v>1.5147E9</v>
      </c>
      <c r="X429" s="36" t="n">
        <f>20</f>
        <v>20.0</v>
      </c>
    </row>
    <row r="430">
      <c r="A430" s="27" t="s">
        <v>42</v>
      </c>
      <c r="B430" s="27" t="s">
        <v>1336</v>
      </c>
      <c r="C430" s="27" t="s">
        <v>1337</v>
      </c>
      <c r="D430" s="27" t="s">
        <v>1338</v>
      </c>
      <c r="E430" s="28" t="s">
        <v>46</v>
      </c>
      <c r="F430" s="29" t="s">
        <v>46</v>
      </c>
      <c r="G430" s="30" t="s">
        <v>46</v>
      </c>
      <c r="H430" s="31"/>
      <c r="I430" s="31" t="s">
        <v>47</v>
      </c>
      <c r="J430" s="32" t="n">
        <v>1.0</v>
      </c>
      <c r="K430" s="33" t="n">
        <f>2130</f>
        <v>2130.0</v>
      </c>
      <c r="L430" s="34" t="s">
        <v>48</v>
      </c>
      <c r="M430" s="33" t="n">
        <f>2400</f>
        <v>2400.0</v>
      </c>
      <c r="N430" s="34" t="s">
        <v>155</v>
      </c>
      <c r="O430" s="33" t="n">
        <f>2068</f>
        <v>2068.0</v>
      </c>
      <c r="P430" s="34" t="s">
        <v>155</v>
      </c>
      <c r="Q430" s="33" t="n">
        <f>2148</f>
        <v>2148.0</v>
      </c>
      <c r="R430" s="34" t="s">
        <v>51</v>
      </c>
      <c r="S430" s="35" t="n">
        <f>2131.7</f>
        <v>2131.7</v>
      </c>
      <c r="T430" s="32" t="n">
        <f>212376</f>
        <v>212376.0</v>
      </c>
      <c r="U430" s="32" t="str">
        <f>"－"</f>
        <v>－</v>
      </c>
      <c r="V430" s="32" t="n">
        <f>451842461</f>
        <v>4.51842461E8</v>
      </c>
      <c r="W430" s="32" t="str">
        <f>"－"</f>
        <v>－</v>
      </c>
      <c r="X430" s="36" t="n">
        <f>20</f>
        <v>20.0</v>
      </c>
    </row>
    <row r="431">
      <c r="A431" s="27" t="s">
        <v>42</v>
      </c>
      <c r="B431" s="27" t="s">
        <v>1339</v>
      </c>
      <c r="C431" s="27" t="s">
        <v>1340</v>
      </c>
      <c r="D431" s="27" t="s">
        <v>1341</v>
      </c>
      <c r="E431" s="28" t="s">
        <v>46</v>
      </c>
      <c r="F431" s="29" t="s">
        <v>46</v>
      </c>
      <c r="G431" s="30" t="s">
        <v>46</v>
      </c>
      <c r="H431" s="31"/>
      <c r="I431" s="31" t="s">
        <v>414</v>
      </c>
      <c r="J431" s="32" t="n">
        <v>10.0</v>
      </c>
      <c r="K431" s="33" t="n">
        <f>203</f>
        <v>203.0</v>
      </c>
      <c r="L431" s="34" t="s">
        <v>48</v>
      </c>
      <c r="M431" s="33" t="n">
        <f>214.7</f>
        <v>214.7</v>
      </c>
      <c r="N431" s="34" t="s">
        <v>70</v>
      </c>
      <c r="O431" s="33" t="n">
        <f>201.7</f>
        <v>201.7</v>
      </c>
      <c r="P431" s="34" t="s">
        <v>48</v>
      </c>
      <c r="Q431" s="33" t="n">
        <f>213</f>
        <v>213.0</v>
      </c>
      <c r="R431" s="34" t="s">
        <v>51</v>
      </c>
      <c r="S431" s="35" t="n">
        <f>208.83</f>
        <v>208.83</v>
      </c>
      <c r="T431" s="32" t="n">
        <f>4999190</f>
        <v>4999190.0</v>
      </c>
      <c r="U431" s="32" t="n">
        <f>201610</f>
        <v>201610.0</v>
      </c>
      <c r="V431" s="32" t="n">
        <f>1048594036</f>
        <v>1.048594036E9</v>
      </c>
      <c r="W431" s="32" t="n">
        <f>42880150</f>
        <v>4.288015E7</v>
      </c>
      <c r="X431" s="36" t="n">
        <f>20</f>
        <v>20.0</v>
      </c>
    </row>
    <row r="432">
      <c r="A432" s="27" t="s">
        <v>42</v>
      </c>
      <c r="B432" s="27" t="s">
        <v>1342</v>
      </c>
      <c r="C432" s="27" t="s">
        <v>1343</v>
      </c>
      <c r="D432" s="27" t="s">
        <v>1344</v>
      </c>
      <c r="E432" s="28" t="s">
        <v>46</v>
      </c>
      <c r="F432" s="29" t="s">
        <v>46</v>
      </c>
      <c r="G432" s="30" t="s">
        <v>46</v>
      </c>
      <c r="H432" s="31"/>
      <c r="I432" s="31" t="s">
        <v>414</v>
      </c>
      <c r="J432" s="32" t="n">
        <v>10.0</v>
      </c>
      <c r="K432" s="33" t="n">
        <f>533</f>
        <v>533.0</v>
      </c>
      <c r="L432" s="34" t="s">
        <v>48</v>
      </c>
      <c r="M432" s="33" t="n">
        <f>649.6</f>
        <v>649.6</v>
      </c>
      <c r="N432" s="34" t="s">
        <v>50</v>
      </c>
      <c r="O432" s="33" t="n">
        <f>533</f>
        <v>533.0</v>
      </c>
      <c r="P432" s="34" t="s">
        <v>48</v>
      </c>
      <c r="Q432" s="33" t="n">
        <f>559</f>
        <v>559.0</v>
      </c>
      <c r="R432" s="34" t="s">
        <v>51</v>
      </c>
      <c r="S432" s="35" t="n">
        <f>558.72</f>
        <v>558.72</v>
      </c>
      <c r="T432" s="32" t="n">
        <f>267700</f>
        <v>267700.0</v>
      </c>
      <c r="U432" s="32" t="str">
        <f>"－"</f>
        <v>－</v>
      </c>
      <c r="V432" s="32" t="n">
        <f>147945289</f>
        <v>1.47945289E8</v>
      </c>
      <c r="W432" s="32" t="str">
        <f>"－"</f>
        <v>－</v>
      </c>
      <c r="X432" s="36" t="n">
        <f>20</f>
        <v>20.0</v>
      </c>
    </row>
    <row r="433">
      <c r="A433" s="27" t="s">
        <v>42</v>
      </c>
      <c r="B433" s="27" t="s">
        <v>1345</v>
      </c>
      <c r="C433" s="27" t="s">
        <v>1346</v>
      </c>
      <c r="D433" s="27" t="s">
        <v>1347</v>
      </c>
      <c r="E433" s="28" t="s">
        <v>46</v>
      </c>
      <c r="F433" s="29" t="s">
        <v>46</v>
      </c>
      <c r="G433" s="30" t="s">
        <v>46</v>
      </c>
      <c r="H433" s="31"/>
      <c r="I433" s="31" t="s">
        <v>414</v>
      </c>
      <c r="J433" s="32" t="n">
        <v>10.0</v>
      </c>
      <c r="K433" s="33" t="n">
        <f>561</f>
        <v>561.0</v>
      </c>
      <c r="L433" s="34" t="s">
        <v>48</v>
      </c>
      <c r="M433" s="33" t="n">
        <f>625</f>
        <v>625.0</v>
      </c>
      <c r="N433" s="34" t="s">
        <v>70</v>
      </c>
      <c r="O433" s="33" t="n">
        <f>548.3</f>
        <v>548.3</v>
      </c>
      <c r="P433" s="34" t="s">
        <v>50</v>
      </c>
      <c r="Q433" s="33" t="n">
        <f>608.8</f>
        <v>608.8</v>
      </c>
      <c r="R433" s="34" t="s">
        <v>51</v>
      </c>
      <c r="S433" s="35" t="n">
        <f>579.53</f>
        <v>579.53</v>
      </c>
      <c r="T433" s="32" t="n">
        <f>1322920</f>
        <v>1322920.0</v>
      </c>
      <c r="U433" s="32" t="n">
        <f>897180</f>
        <v>897180.0</v>
      </c>
      <c r="V433" s="32" t="n">
        <f>746801781</f>
        <v>7.46801781E8</v>
      </c>
      <c r="W433" s="32" t="n">
        <f>499998414</f>
        <v>4.99998414E8</v>
      </c>
      <c r="X433" s="36" t="n">
        <f>20</f>
        <v>20.0</v>
      </c>
    </row>
    <row r="434">
      <c r="A434" s="27" t="s">
        <v>42</v>
      </c>
      <c r="B434" s="27" t="s">
        <v>1348</v>
      </c>
      <c r="C434" s="27" t="s">
        <v>1349</v>
      </c>
      <c r="D434" s="27" t="s">
        <v>1350</v>
      </c>
      <c r="E434" s="28" t="s">
        <v>46</v>
      </c>
      <c r="F434" s="29" t="s">
        <v>46</v>
      </c>
      <c r="G434" s="30" t="s">
        <v>46</v>
      </c>
      <c r="H434" s="31"/>
      <c r="I434" s="31" t="s">
        <v>414</v>
      </c>
      <c r="J434" s="32" t="n">
        <v>10.0</v>
      </c>
      <c r="K434" s="33" t="n">
        <f>527</f>
        <v>527.0</v>
      </c>
      <c r="L434" s="34" t="s">
        <v>48</v>
      </c>
      <c r="M434" s="33" t="n">
        <f>537.8</f>
        <v>537.8</v>
      </c>
      <c r="N434" s="34" t="s">
        <v>50</v>
      </c>
      <c r="O434" s="33" t="n">
        <f>513.9</f>
        <v>513.9</v>
      </c>
      <c r="P434" s="34" t="s">
        <v>62</v>
      </c>
      <c r="Q434" s="33" t="n">
        <f>519.9</f>
        <v>519.9</v>
      </c>
      <c r="R434" s="34" t="s">
        <v>51</v>
      </c>
      <c r="S434" s="35" t="n">
        <f>521.57</f>
        <v>521.57</v>
      </c>
      <c r="T434" s="32" t="n">
        <f>35210</f>
        <v>35210.0</v>
      </c>
      <c r="U434" s="32" t="str">
        <f>"－"</f>
        <v>－</v>
      </c>
      <c r="V434" s="32" t="n">
        <f>18327572</f>
        <v>1.8327572E7</v>
      </c>
      <c r="W434" s="32" t="str">
        <f>"－"</f>
        <v>－</v>
      </c>
      <c r="X434" s="36" t="n">
        <f>20</f>
        <v>20.0</v>
      </c>
    </row>
    <row r="435">
      <c r="A435" s="27" t="s">
        <v>42</v>
      </c>
      <c r="B435" s="27" t="s">
        <v>1351</v>
      </c>
      <c r="C435" s="27" t="s">
        <v>1352</v>
      </c>
      <c r="D435" s="27" t="s">
        <v>1353</v>
      </c>
      <c r="E435" s="28" t="s">
        <v>46</v>
      </c>
      <c r="F435" s="29" t="s">
        <v>46</v>
      </c>
      <c r="G435" s="30" t="s">
        <v>46</v>
      </c>
      <c r="H435" s="31"/>
      <c r="I435" s="31" t="s">
        <v>414</v>
      </c>
      <c r="J435" s="32" t="n">
        <v>1.0</v>
      </c>
      <c r="K435" s="33" t="n">
        <f>1665</f>
        <v>1665.0</v>
      </c>
      <c r="L435" s="34" t="s">
        <v>48</v>
      </c>
      <c r="M435" s="33" t="n">
        <f>1752</f>
        <v>1752.0</v>
      </c>
      <c r="N435" s="34" t="s">
        <v>70</v>
      </c>
      <c r="O435" s="33" t="n">
        <f>1657</f>
        <v>1657.0</v>
      </c>
      <c r="P435" s="34" t="s">
        <v>48</v>
      </c>
      <c r="Q435" s="33" t="n">
        <f>1725</f>
        <v>1725.0</v>
      </c>
      <c r="R435" s="34" t="s">
        <v>51</v>
      </c>
      <c r="S435" s="35" t="n">
        <f>1709.1</f>
        <v>1709.1</v>
      </c>
      <c r="T435" s="32" t="n">
        <f>1668759</f>
        <v>1668759.0</v>
      </c>
      <c r="U435" s="32" t="n">
        <f>446890</f>
        <v>446890.0</v>
      </c>
      <c r="V435" s="32" t="n">
        <f>2846565834</f>
        <v>2.846565834E9</v>
      </c>
      <c r="W435" s="32" t="n">
        <f>760630210</f>
        <v>7.6063021E8</v>
      </c>
      <c r="X435" s="36" t="n">
        <f>20</f>
        <v>20.0</v>
      </c>
    </row>
    <row r="436">
      <c r="A436" s="27" t="s">
        <v>42</v>
      </c>
      <c r="B436" s="27" t="s">
        <v>1354</v>
      </c>
      <c r="C436" s="27" t="s">
        <v>1355</v>
      </c>
      <c r="D436" s="27" t="s">
        <v>1356</v>
      </c>
      <c r="E436" s="28" t="s">
        <v>46</v>
      </c>
      <c r="F436" s="29" t="s">
        <v>46</v>
      </c>
      <c r="G436" s="30" t="s">
        <v>46</v>
      </c>
      <c r="H436" s="31"/>
      <c r="I436" s="31" t="s">
        <v>414</v>
      </c>
      <c r="J436" s="32" t="n">
        <v>1.0</v>
      </c>
      <c r="K436" s="33" t="n">
        <f>110700</f>
        <v>110700.0</v>
      </c>
      <c r="L436" s="34" t="s">
        <v>48</v>
      </c>
      <c r="M436" s="33" t="n">
        <f>112800</f>
        <v>112800.0</v>
      </c>
      <c r="N436" s="34" t="s">
        <v>48</v>
      </c>
      <c r="O436" s="33" t="n">
        <f>106400</f>
        <v>106400.0</v>
      </c>
      <c r="P436" s="34" t="s">
        <v>49</v>
      </c>
      <c r="Q436" s="33" t="n">
        <f>108100</f>
        <v>108100.0</v>
      </c>
      <c r="R436" s="34" t="s">
        <v>51</v>
      </c>
      <c r="S436" s="35" t="n">
        <f>108540</f>
        <v>108540.0</v>
      </c>
      <c r="T436" s="32" t="n">
        <f>170097</f>
        <v>170097.0</v>
      </c>
      <c r="U436" s="32" t="n">
        <f>44956</f>
        <v>44956.0</v>
      </c>
      <c r="V436" s="32" t="n">
        <f>18438065090</f>
        <v>1.843806509E10</v>
      </c>
      <c r="W436" s="32" t="n">
        <f>4858519890</f>
        <v>4.85851989E9</v>
      </c>
      <c r="X436" s="36" t="n">
        <f>20</f>
        <v>20.0</v>
      </c>
    </row>
    <row r="437">
      <c r="A437" s="27" t="s">
        <v>42</v>
      </c>
      <c r="B437" s="27" t="s">
        <v>1357</v>
      </c>
      <c r="C437" s="27" t="s">
        <v>1358</v>
      </c>
      <c r="D437" s="27" t="s">
        <v>1359</v>
      </c>
      <c r="E437" s="28" t="s">
        <v>46</v>
      </c>
      <c r="F437" s="29" t="s">
        <v>46</v>
      </c>
      <c r="G437" s="30" t="s">
        <v>46</v>
      </c>
      <c r="H437" s="31"/>
      <c r="I437" s="31" t="s">
        <v>414</v>
      </c>
      <c r="J437" s="32" t="n">
        <v>1.0</v>
      </c>
      <c r="K437" s="33" t="n">
        <f>1112</f>
        <v>1112.0</v>
      </c>
      <c r="L437" s="34" t="s">
        <v>48</v>
      </c>
      <c r="M437" s="33" t="n">
        <f>1333</f>
        <v>1333.0</v>
      </c>
      <c r="N437" s="34" t="s">
        <v>69</v>
      </c>
      <c r="O437" s="33" t="n">
        <f>1030</f>
        <v>1030.0</v>
      </c>
      <c r="P437" s="34" t="s">
        <v>62</v>
      </c>
      <c r="Q437" s="33" t="n">
        <f>1255</f>
        <v>1255.0</v>
      </c>
      <c r="R437" s="34" t="s">
        <v>51</v>
      </c>
      <c r="S437" s="35" t="n">
        <f>1165.45</f>
        <v>1165.45</v>
      </c>
      <c r="T437" s="32" t="n">
        <f>3665537</f>
        <v>3665537.0</v>
      </c>
      <c r="U437" s="32" t="str">
        <f>"－"</f>
        <v>－</v>
      </c>
      <c r="V437" s="32" t="n">
        <f>4304569831</f>
        <v>4.304569831E9</v>
      </c>
      <c r="W437" s="32" t="str">
        <f>"－"</f>
        <v>－</v>
      </c>
      <c r="X437" s="36" t="n">
        <f>20</f>
        <v>20.0</v>
      </c>
    </row>
    <row r="438">
      <c r="A438" s="27" t="s">
        <v>42</v>
      </c>
      <c r="B438" s="27" t="s">
        <v>1360</v>
      </c>
      <c r="C438" s="27" t="s">
        <v>1361</v>
      </c>
      <c r="D438" s="27" t="s">
        <v>1362</v>
      </c>
      <c r="E438" s="28" t="s">
        <v>1363</v>
      </c>
      <c r="F438" s="29" t="s">
        <v>1364</v>
      </c>
      <c r="G438" s="30" t="s">
        <v>1365</v>
      </c>
      <c r="H438" s="31"/>
      <c r="I438" s="31" t="s">
        <v>414</v>
      </c>
      <c r="J438" s="32" t="n">
        <v>10.0</v>
      </c>
      <c r="K438" s="33" t="n">
        <f>203</f>
        <v>203.0</v>
      </c>
      <c r="L438" s="34" t="s">
        <v>155</v>
      </c>
      <c r="M438" s="33" t="n">
        <f>227.7</f>
        <v>227.7</v>
      </c>
      <c r="N438" s="34" t="s">
        <v>214</v>
      </c>
      <c r="O438" s="33" t="n">
        <f>203</f>
        <v>203.0</v>
      </c>
      <c r="P438" s="34" t="s">
        <v>155</v>
      </c>
      <c r="Q438" s="33" t="n">
        <f>208.1</f>
        <v>208.1</v>
      </c>
      <c r="R438" s="34" t="s">
        <v>51</v>
      </c>
      <c r="S438" s="35" t="n">
        <f>210.95</f>
        <v>210.95</v>
      </c>
      <c r="T438" s="32" t="n">
        <f>25258970</f>
        <v>2.525897E7</v>
      </c>
      <c r="U438" s="32" t="n">
        <f>8004480</f>
        <v>8004480.0</v>
      </c>
      <c r="V438" s="32" t="n">
        <f>5251492238</f>
        <v>5.251492238E9</v>
      </c>
      <c r="W438" s="32" t="n">
        <f>1631214898</f>
        <v>1.631214898E9</v>
      </c>
      <c r="X438" s="36" t="n">
        <f>13</f>
        <v>13.0</v>
      </c>
    </row>
    <row r="439">
      <c r="A439" s="27" t="s">
        <v>42</v>
      </c>
      <c r="B439" s="27" t="s">
        <v>1366</v>
      </c>
      <c r="C439" s="27" t="s">
        <v>1367</v>
      </c>
      <c r="D439" s="27" t="s">
        <v>1368</v>
      </c>
      <c r="E439" s="28" t="s">
        <v>1363</v>
      </c>
      <c r="F439" s="29" t="s">
        <v>1364</v>
      </c>
      <c r="G439" s="30" t="s">
        <v>1369</v>
      </c>
      <c r="H439" s="31"/>
      <c r="I439" s="31" t="s">
        <v>414</v>
      </c>
      <c r="J439" s="32" t="n">
        <v>1.0</v>
      </c>
      <c r="K439" s="33" t="n">
        <f>2033</f>
        <v>2033.0</v>
      </c>
      <c r="L439" s="34" t="s">
        <v>69</v>
      </c>
      <c r="M439" s="33" t="n">
        <f>2630</f>
        <v>2630.0</v>
      </c>
      <c r="N439" s="34" t="s">
        <v>195</v>
      </c>
      <c r="O439" s="33" t="n">
        <f>1982</f>
        <v>1982.0</v>
      </c>
      <c r="P439" s="34" t="s">
        <v>70</v>
      </c>
      <c r="Q439" s="33" t="n">
        <f>1991</f>
        <v>1991.0</v>
      </c>
      <c r="R439" s="34" t="s">
        <v>51</v>
      </c>
      <c r="S439" s="35" t="n">
        <f>2102.38</f>
        <v>2102.38</v>
      </c>
      <c r="T439" s="32" t="n">
        <f>856662</f>
        <v>856662.0</v>
      </c>
      <c r="U439" s="32" t="n">
        <f>4</f>
        <v>4.0</v>
      </c>
      <c r="V439" s="32" t="n">
        <f>1843016081</f>
        <v>1.843016081E9</v>
      </c>
      <c r="W439" s="32" t="n">
        <f>8190</f>
        <v>8190.0</v>
      </c>
      <c r="X439" s="36" t="n">
        <f>8</f>
        <v>8.0</v>
      </c>
    </row>
    <row r="440">
      <c r="A440" s="27" t="s">
        <v>42</v>
      </c>
      <c r="B440" s="27" t="s">
        <v>1370</v>
      </c>
      <c r="C440" s="27" t="s">
        <v>1371</v>
      </c>
      <c r="D440" s="27" t="s">
        <v>1372</v>
      </c>
      <c r="E440" s="28" t="s">
        <v>1363</v>
      </c>
      <c r="F440" s="29" t="s">
        <v>1364</v>
      </c>
      <c r="G440" s="30" t="s">
        <v>1373</v>
      </c>
      <c r="H440" s="31"/>
      <c r="I440" s="31" t="s">
        <v>414</v>
      </c>
      <c r="J440" s="32" t="n">
        <v>1.0</v>
      </c>
      <c r="K440" s="33" t="n">
        <f>2025</f>
        <v>2025.0</v>
      </c>
      <c r="L440" s="34" t="s">
        <v>214</v>
      </c>
      <c r="M440" s="33" t="n">
        <f>2131</f>
        <v>2131.0</v>
      </c>
      <c r="N440" s="34" t="s">
        <v>61</v>
      </c>
      <c r="O440" s="33" t="n">
        <f>2020</f>
        <v>2020.0</v>
      </c>
      <c r="P440" s="34" t="s">
        <v>99</v>
      </c>
      <c r="Q440" s="33" t="n">
        <f>2052</f>
        <v>2052.0</v>
      </c>
      <c r="R440" s="34" t="s">
        <v>51</v>
      </c>
      <c r="S440" s="35" t="n">
        <f>2063.45</f>
        <v>2063.45</v>
      </c>
      <c r="T440" s="32" t="n">
        <f>279098</f>
        <v>279098.0</v>
      </c>
      <c r="U440" s="32" t="n">
        <f>50000</f>
        <v>50000.0</v>
      </c>
      <c r="V440" s="32" t="n">
        <f>572768858</f>
        <v>5.72768858E8</v>
      </c>
      <c r="W440" s="32" t="n">
        <f>100050000</f>
        <v>1.0005E8</v>
      </c>
      <c r="X440" s="36" t="n">
        <f>11</f>
        <v>11.0</v>
      </c>
    </row>
    <row r="441">
      <c r="A441" s="27" t="s">
        <v>42</v>
      </c>
      <c r="B441" s="27" t="s">
        <v>1374</v>
      </c>
      <c r="C441" s="27" t="s">
        <v>1375</v>
      </c>
      <c r="D441" s="27" t="s">
        <v>1376</v>
      </c>
      <c r="E441" s="28" t="s">
        <v>1363</v>
      </c>
      <c r="F441" s="29" t="s">
        <v>1364</v>
      </c>
      <c r="G441" s="30" t="s">
        <v>1377</v>
      </c>
      <c r="H441" s="31"/>
      <c r="I441" s="31" t="s">
        <v>414</v>
      </c>
      <c r="J441" s="32" t="n">
        <v>10.0</v>
      </c>
      <c r="K441" s="33" t="n">
        <f>301.7</f>
        <v>301.7</v>
      </c>
      <c r="L441" s="34" t="s">
        <v>49</v>
      </c>
      <c r="M441" s="33" t="n">
        <f>308.9</f>
        <v>308.9</v>
      </c>
      <c r="N441" s="34" t="s">
        <v>51</v>
      </c>
      <c r="O441" s="33" t="n">
        <f>300</f>
        <v>300.0</v>
      </c>
      <c r="P441" s="34" t="s">
        <v>70</v>
      </c>
      <c r="Q441" s="33" t="n">
        <f>307.8</f>
        <v>307.8</v>
      </c>
      <c r="R441" s="34" t="s">
        <v>51</v>
      </c>
      <c r="S441" s="35" t="n">
        <f>304.57</f>
        <v>304.57</v>
      </c>
      <c r="T441" s="32" t="n">
        <f>1769900</f>
        <v>1769900.0</v>
      </c>
      <c r="U441" s="32" t="str">
        <f>"－"</f>
        <v>－</v>
      </c>
      <c r="V441" s="32" t="n">
        <f>537892242</f>
        <v>5.37892242E8</v>
      </c>
      <c r="W441" s="32" t="str">
        <f>"－"</f>
        <v>－</v>
      </c>
      <c r="X441" s="36" t="n">
        <f>3</f>
        <v>3.0</v>
      </c>
    </row>
    <row r="442">
      <c r="A442" s="27" t="s">
        <v>42</v>
      </c>
      <c r="B442" s="27" t="s">
        <v>1378</v>
      </c>
      <c r="C442" s="27" t="s">
        <v>1379</v>
      </c>
      <c r="D442" s="27" t="s">
        <v>1380</v>
      </c>
      <c r="E442" s="28" t="s">
        <v>1363</v>
      </c>
      <c r="F442" s="29" t="s">
        <v>1364</v>
      </c>
      <c r="G442" s="30" t="s">
        <v>1377</v>
      </c>
      <c r="H442" s="31"/>
      <c r="I442" s="31" t="s">
        <v>414</v>
      </c>
      <c r="J442" s="32" t="n">
        <v>10.0</v>
      </c>
      <c r="K442" s="33" t="n">
        <f>301.3</f>
        <v>301.3</v>
      </c>
      <c r="L442" s="34" t="s">
        <v>49</v>
      </c>
      <c r="M442" s="33" t="n">
        <f>311.6</f>
        <v>311.6</v>
      </c>
      <c r="N442" s="34" t="s">
        <v>49</v>
      </c>
      <c r="O442" s="33" t="n">
        <f>301</f>
        <v>301.0</v>
      </c>
      <c r="P442" s="34" t="s">
        <v>49</v>
      </c>
      <c r="Q442" s="33" t="n">
        <f>307.3</f>
        <v>307.3</v>
      </c>
      <c r="R442" s="34" t="s">
        <v>51</v>
      </c>
      <c r="S442" s="35" t="n">
        <f>305.3</f>
        <v>305.3</v>
      </c>
      <c r="T442" s="32" t="n">
        <f>3796900</f>
        <v>3796900.0</v>
      </c>
      <c r="U442" s="32" t="n">
        <f>60</f>
        <v>60.0</v>
      </c>
      <c r="V442" s="32" t="n">
        <f>1159077069</f>
        <v>1.159077069E9</v>
      </c>
      <c r="W442" s="32" t="n">
        <f>18414</f>
        <v>18414.0</v>
      </c>
      <c r="X442" s="36" t="n">
        <f>3</f>
        <v>3.0</v>
      </c>
    </row>
    <row r="443">
      <c r="A443" s="27" t="s">
        <v>42</v>
      </c>
      <c r="B443" s="27" t="s">
        <v>1381</v>
      </c>
      <c r="C443" s="27" t="s">
        <v>1382</v>
      </c>
      <c r="D443" s="27" t="s">
        <v>1383</v>
      </c>
      <c r="E443" s="28" t="s">
        <v>46</v>
      </c>
      <c r="F443" s="29" t="s">
        <v>46</v>
      </c>
      <c r="G443" s="30" t="s">
        <v>46</v>
      </c>
      <c r="H443" s="31"/>
      <c r="I443" s="31" t="s">
        <v>47</v>
      </c>
      <c r="J443" s="32" t="n">
        <v>1.0</v>
      </c>
      <c r="K443" s="33" t="n">
        <f>142500</f>
        <v>142500.0</v>
      </c>
      <c r="L443" s="34" t="s">
        <v>48</v>
      </c>
      <c r="M443" s="33" t="n">
        <f>145000</f>
        <v>145000.0</v>
      </c>
      <c r="N443" s="34" t="s">
        <v>48</v>
      </c>
      <c r="O443" s="33" t="n">
        <f>139100</f>
        <v>139100.0</v>
      </c>
      <c r="P443" s="34" t="s">
        <v>51</v>
      </c>
      <c r="Q443" s="33" t="n">
        <f>139500</f>
        <v>139500.0</v>
      </c>
      <c r="R443" s="34" t="s">
        <v>51</v>
      </c>
      <c r="S443" s="35" t="n">
        <f>141870</f>
        <v>141870.0</v>
      </c>
      <c r="T443" s="32" t="n">
        <f>568762</f>
        <v>568762.0</v>
      </c>
      <c r="U443" s="32" t="n">
        <f>123539</f>
        <v>123539.0</v>
      </c>
      <c r="V443" s="32" t="n">
        <f>80626444521</f>
        <v>8.0626444521E10</v>
      </c>
      <c r="W443" s="32" t="n">
        <f>17519645921</f>
        <v>1.7519645921E10</v>
      </c>
      <c r="X443" s="36" t="n">
        <f>20</f>
        <v>20.0</v>
      </c>
    </row>
    <row r="444">
      <c r="A444" s="27" t="s">
        <v>42</v>
      </c>
      <c r="B444" s="27" t="s">
        <v>1384</v>
      </c>
      <c r="C444" s="27" t="s">
        <v>1385</v>
      </c>
      <c r="D444" s="27" t="s">
        <v>1386</v>
      </c>
      <c r="E444" s="28" t="s">
        <v>46</v>
      </c>
      <c r="F444" s="29" t="s">
        <v>46</v>
      </c>
      <c r="G444" s="30" t="s">
        <v>46</v>
      </c>
      <c r="H444" s="31"/>
      <c r="I444" s="31" t="s">
        <v>47</v>
      </c>
      <c r="J444" s="32" t="n">
        <v>1.0</v>
      </c>
      <c r="K444" s="33" t="n">
        <f>128200</f>
        <v>128200.0</v>
      </c>
      <c r="L444" s="34" t="s">
        <v>48</v>
      </c>
      <c r="M444" s="33" t="n">
        <f>131300</f>
        <v>131300.0</v>
      </c>
      <c r="N444" s="34" t="s">
        <v>203</v>
      </c>
      <c r="O444" s="33" t="n">
        <f>123200</f>
        <v>123200.0</v>
      </c>
      <c r="P444" s="34" t="s">
        <v>51</v>
      </c>
      <c r="Q444" s="33" t="n">
        <f>124500</f>
        <v>124500.0</v>
      </c>
      <c r="R444" s="34" t="s">
        <v>51</v>
      </c>
      <c r="S444" s="35" t="n">
        <f>128585</f>
        <v>128585.0</v>
      </c>
      <c r="T444" s="32" t="n">
        <f>438217</f>
        <v>438217.0</v>
      </c>
      <c r="U444" s="32" t="n">
        <f>95380</f>
        <v>95380.0</v>
      </c>
      <c r="V444" s="32" t="n">
        <f>56279596480</f>
        <v>5.627959648E10</v>
      </c>
      <c r="W444" s="32" t="n">
        <f>12247592080</f>
        <v>1.224759208E10</v>
      </c>
      <c r="X444" s="36" t="n">
        <f>20</f>
        <v>20.0</v>
      </c>
    </row>
    <row r="445">
      <c r="A445" s="27" t="s">
        <v>42</v>
      </c>
      <c r="B445" s="27" t="s">
        <v>1387</v>
      </c>
      <c r="C445" s="27" t="s">
        <v>1388</v>
      </c>
      <c r="D445" s="27" t="s">
        <v>1389</v>
      </c>
      <c r="E445" s="28" t="s">
        <v>46</v>
      </c>
      <c r="F445" s="29" t="s">
        <v>46</v>
      </c>
      <c r="G445" s="30" t="s">
        <v>46</v>
      </c>
      <c r="H445" s="31"/>
      <c r="I445" s="31" t="s">
        <v>47</v>
      </c>
      <c r="J445" s="32" t="n">
        <v>1.0</v>
      </c>
      <c r="K445" s="33" t="n">
        <f>112500</f>
        <v>112500.0</v>
      </c>
      <c r="L445" s="34" t="s">
        <v>48</v>
      </c>
      <c r="M445" s="33" t="n">
        <f>116600</f>
        <v>116600.0</v>
      </c>
      <c r="N445" s="34" t="s">
        <v>203</v>
      </c>
      <c r="O445" s="33" t="n">
        <f>111100</f>
        <v>111100.0</v>
      </c>
      <c r="P445" s="34" t="s">
        <v>62</v>
      </c>
      <c r="Q445" s="33" t="n">
        <f>113700</f>
        <v>113700.0</v>
      </c>
      <c r="R445" s="34" t="s">
        <v>51</v>
      </c>
      <c r="S445" s="35" t="n">
        <f>113710</f>
        <v>113710.0</v>
      </c>
      <c r="T445" s="32" t="n">
        <f>441793</f>
        <v>441793.0</v>
      </c>
      <c r="U445" s="32" t="n">
        <f>105134</f>
        <v>105134.0</v>
      </c>
      <c r="V445" s="32" t="n">
        <f>50118436378</f>
        <v>5.0118436378E10</v>
      </c>
      <c r="W445" s="32" t="n">
        <f>11907437278</f>
        <v>1.1907437278E10</v>
      </c>
      <c r="X445" s="36" t="n">
        <f>20</f>
        <v>20.0</v>
      </c>
    </row>
    <row r="446">
      <c r="A446" s="27" t="s">
        <v>42</v>
      </c>
      <c r="B446" s="27" t="s">
        <v>1390</v>
      </c>
      <c r="C446" s="27" t="s">
        <v>1391</v>
      </c>
      <c r="D446" s="27" t="s">
        <v>1392</v>
      </c>
      <c r="E446" s="28" t="s">
        <v>46</v>
      </c>
      <c r="F446" s="29" t="s">
        <v>46</v>
      </c>
      <c r="G446" s="30" t="s">
        <v>46</v>
      </c>
      <c r="H446" s="31"/>
      <c r="I446" s="31" t="s">
        <v>47</v>
      </c>
      <c r="J446" s="32" t="n">
        <v>1.0</v>
      </c>
      <c r="K446" s="33" t="n">
        <f>97700</f>
        <v>97700.0</v>
      </c>
      <c r="L446" s="34" t="s">
        <v>48</v>
      </c>
      <c r="M446" s="33" t="n">
        <f>103200</f>
        <v>103200.0</v>
      </c>
      <c r="N446" s="34" t="s">
        <v>99</v>
      </c>
      <c r="O446" s="33" t="n">
        <f>95000</f>
        <v>95000.0</v>
      </c>
      <c r="P446" s="34" t="s">
        <v>103</v>
      </c>
      <c r="Q446" s="33" t="n">
        <f>100200</f>
        <v>100200.0</v>
      </c>
      <c r="R446" s="34" t="s">
        <v>51</v>
      </c>
      <c r="S446" s="35" t="n">
        <f>99240</f>
        <v>99240.0</v>
      </c>
      <c r="T446" s="32" t="n">
        <f>401131</f>
        <v>401131.0</v>
      </c>
      <c r="U446" s="32" t="n">
        <f>92631</f>
        <v>92631.0</v>
      </c>
      <c r="V446" s="32" t="n">
        <f>39777551887</f>
        <v>3.9777551887E10</v>
      </c>
      <c r="W446" s="32" t="n">
        <f>9169371487</f>
        <v>9.169371487E9</v>
      </c>
      <c r="X446" s="36" t="n">
        <f>20</f>
        <v>20.0</v>
      </c>
    </row>
    <row r="447">
      <c r="A447" s="27" t="s">
        <v>42</v>
      </c>
      <c r="B447" s="27" t="s">
        <v>1393</v>
      </c>
      <c r="C447" s="27" t="s">
        <v>1394</v>
      </c>
      <c r="D447" s="27" t="s">
        <v>1395</v>
      </c>
      <c r="E447" s="28" t="s">
        <v>46</v>
      </c>
      <c r="F447" s="29" t="s">
        <v>46</v>
      </c>
      <c r="G447" s="30" t="s">
        <v>46</v>
      </c>
      <c r="H447" s="31"/>
      <c r="I447" s="31" t="s">
        <v>47</v>
      </c>
      <c r="J447" s="32" t="n">
        <v>1.0</v>
      </c>
      <c r="K447" s="33" t="n">
        <f>103700</f>
        <v>103700.0</v>
      </c>
      <c r="L447" s="34" t="s">
        <v>48</v>
      </c>
      <c r="M447" s="33" t="n">
        <f>106400</f>
        <v>106400.0</v>
      </c>
      <c r="N447" s="34" t="s">
        <v>99</v>
      </c>
      <c r="O447" s="33" t="n">
        <f>100900</f>
        <v>100900.0</v>
      </c>
      <c r="P447" s="34" t="s">
        <v>62</v>
      </c>
      <c r="Q447" s="33" t="n">
        <f>103100</f>
        <v>103100.0</v>
      </c>
      <c r="R447" s="34" t="s">
        <v>51</v>
      </c>
      <c r="S447" s="35" t="n">
        <f>103960</f>
        <v>103960.0</v>
      </c>
      <c r="T447" s="32" t="n">
        <f>216776</f>
        <v>216776.0</v>
      </c>
      <c r="U447" s="32" t="n">
        <f>52831</f>
        <v>52831.0</v>
      </c>
      <c r="V447" s="32" t="n">
        <f>22497762319</f>
        <v>2.2497762319E10</v>
      </c>
      <c r="W447" s="32" t="n">
        <f>5472431519</f>
        <v>5.472431519E9</v>
      </c>
      <c r="X447" s="36" t="n">
        <f>20</f>
        <v>20.0</v>
      </c>
    </row>
    <row r="448">
      <c r="A448" s="27" t="s">
        <v>42</v>
      </c>
      <c r="B448" s="27" t="s">
        <v>1396</v>
      </c>
      <c r="C448" s="27" t="s">
        <v>1397</v>
      </c>
      <c r="D448" s="27" t="s">
        <v>1398</v>
      </c>
      <c r="E448" s="28" t="s">
        <v>46</v>
      </c>
      <c r="F448" s="29" t="s">
        <v>46</v>
      </c>
      <c r="G448" s="30" t="s">
        <v>46</v>
      </c>
      <c r="H448" s="31"/>
      <c r="I448" s="31" t="s">
        <v>47</v>
      </c>
      <c r="J448" s="32" t="n">
        <v>1.0</v>
      </c>
      <c r="K448" s="33" t="n">
        <f>136000</f>
        <v>136000.0</v>
      </c>
      <c r="L448" s="34" t="s">
        <v>48</v>
      </c>
      <c r="M448" s="33" t="n">
        <f>138800</f>
        <v>138800.0</v>
      </c>
      <c r="N448" s="34" t="s">
        <v>70</v>
      </c>
      <c r="O448" s="33" t="n">
        <f>132800</f>
        <v>132800.0</v>
      </c>
      <c r="P448" s="34" t="s">
        <v>103</v>
      </c>
      <c r="Q448" s="33" t="n">
        <f>136000</f>
        <v>136000.0</v>
      </c>
      <c r="R448" s="34" t="s">
        <v>51</v>
      </c>
      <c r="S448" s="35" t="n">
        <f>136485</f>
        <v>136485.0</v>
      </c>
      <c r="T448" s="32" t="n">
        <f>72145</f>
        <v>72145.0</v>
      </c>
      <c r="U448" s="32" t="n">
        <f>14888</f>
        <v>14888.0</v>
      </c>
      <c r="V448" s="32" t="n">
        <f>9832632248</f>
        <v>9.832632248E9</v>
      </c>
      <c r="W448" s="32" t="n">
        <f>2022116648</f>
        <v>2.022116648E9</v>
      </c>
      <c r="X448" s="36" t="n">
        <f>20</f>
        <v>20.0</v>
      </c>
    </row>
    <row r="449">
      <c r="A449" s="27" t="s">
        <v>42</v>
      </c>
      <c r="B449" s="27" t="s">
        <v>1399</v>
      </c>
      <c r="C449" s="27" t="s">
        <v>1400</v>
      </c>
      <c r="D449" s="27" t="s">
        <v>1401</v>
      </c>
      <c r="E449" s="28" t="s">
        <v>46</v>
      </c>
      <c r="F449" s="29" t="s">
        <v>46</v>
      </c>
      <c r="G449" s="30" t="s">
        <v>46</v>
      </c>
      <c r="H449" s="31"/>
      <c r="I449" s="31" t="s">
        <v>47</v>
      </c>
      <c r="J449" s="32" t="n">
        <v>1.0</v>
      </c>
      <c r="K449" s="33" t="n">
        <f>201600</f>
        <v>201600.0</v>
      </c>
      <c r="L449" s="34" t="s">
        <v>48</v>
      </c>
      <c r="M449" s="33" t="n">
        <f>202200</f>
        <v>202200.0</v>
      </c>
      <c r="N449" s="34" t="s">
        <v>48</v>
      </c>
      <c r="O449" s="33" t="n">
        <f>194300</f>
        <v>194300.0</v>
      </c>
      <c r="P449" s="34" t="s">
        <v>103</v>
      </c>
      <c r="Q449" s="33" t="n">
        <f>200100</f>
        <v>200100.0</v>
      </c>
      <c r="R449" s="34" t="s">
        <v>51</v>
      </c>
      <c r="S449" s="35" t="n">
        <f>199240</f>
        <v>199240.0</v>
      </c>
      <c r="T449" s="32" t="n">
        <f>82034</f>
        <v>82034.0</v>
      </c>
      <c r="U449" s="32" t="n">
        <f>14649</f>
        <v>14649.0</v>
      </c>
      <c r="V449" s="32" t="n">
        <f>16302322605</f>
        <v>1.6302322605E10</v>
      </c>
      <c r="W449" s="32" t="n">
        <f>2906106905</f>
        <v>2.906106905E9</v>
      </c>
      <c r="X449" s="36" t="n">
        <f>20</f>
        <v>20.0</v>
      </c>
    </row>
    <row r="450">
      <c r="A450" s="27" t="s">
        <v>42</v>
      </c>
      <c r="B450" s="27" t="s">
        <v>1402</v>
      </c>
      <c r="C450" s="27" t="s">
        <v>1403</v>
      </c>
      <c r="D450" s="27" t="s">
        <v>1404</v>
      </c>
      <c r="E450" s="28" t="s">
        <v>46</v>
      </c>
      <c r="F450" s="29" t="s">
        <v>46</v>
      </c>
      <c r="G450" s="30" t="s">
        <v>46</v>
      </c>
      <c r="H450" s="31"/>
      <c r="I450" s="31" t="s">
        <v>47</v>
      </c>
      <c r="J450" s="32" t="n">
        <v>1.0</v>
      </c>
      <c r="K450" s="33" t="n">
        <f>148400</f>
        <v>148400.0</v>
      </c>
      <c r="L450" s="34" t="s">
        <v>48</v>
      </c>
      <c r="M450" s="33" t="n">
        <f>150000</f>
        <v>150000.0</v>
      </c>
      <c r="N450" s="34" t="s">
        <v>74</v>
      </c>
      <c r="O450" s="33" t="n">
        <f>141700</f>
        <v>141700.0</v>
      </c>
      <c r="P450" s="34" t="s">
        <v>70</v>
      </c>
      <c r="Q450" s="33" t="n">
        <f>143000</f>
        <v>143000.0</v>
      </c>
      <c r="R450" s="34" t="s">
        <v>51</v>
      </c>
      <c r="S450" s="35" t="n">
        <f>146890</f>
        <v>146890.0</v>
      </c>
      <c r="T450" s="32" t="n">
        <f>124191</f>
        <v>124191.0</v>
      </c>
      <c r="U450" s="32" t="n">
        <f>17224</f>
        <v>17224.0</v>
      </c>
      <c r="V450" s="32" t="n">
        <f>18237571872</f>
        <v>1.8237571872E10</v>
      </c>
      <c r="W450" s="32" t="n">
        <f>2529725872</f>
        <v>2.529725872E9</v>
      </c>
      <c r="X450" s="36" t="n">
        <f>20</f>
        <v>20.0</v>
      </c>
    </row>
    <row r="451">
      <c r="A451" s="27" t="s">
        <v>42</v>
      </c>
      <c r="B451" s="27" t="s">
        <v>1405</v>
      </c>
      <c r="C451" s="27" t="s">
        <v>1406</v>
      </c>
      <c r="D451" s="27" t="s">
        <v>1407</v>
      </c>
      <c r="E451" s="28" t="s">
        <v>46</v>
      </c>
      <c r="F451" s="29" t="s">
        <v>46</v>
      </c>
      <c r="G451" s="30" t="s">
        <v>46</v>
      </c>
      <c r="H451" s="31"/>
      <c r="I451" s="31" t="s">
        <v>47</v>
      </c>
      <c r="J451" s="32" t="n">
        <v>1.0</v>
      </c>
      <c r="K451" s="33" t="n">
        <f>177700</f>
        <v>177700.0</v>
      </c>
      <c r="L451" s="34" t="s">
        <v>48</v>
      </c>
      <c r="M451" s="33" t="n">
        <f>184100</f>
        <v>184100.0</v>
      </c>
      <c r="N451" s="34" t="s">
        <v>74</v>
      </c>
      <c r="O451" s="33" t="n">
        <f>174700</f>
        <v>174700.0</v>
      </c>
      <c r="P451" s="34" t="s">
        <v>103</v>
      </c>
      <c r="Q451" s="33" t="n">
        <f>179400</f>
        <v>179400.0</v>
      </c>
      <c r="R451" s="34" t="s">
        <v>51</v>
      </c>
      <c r="S451" s="35" t="n">
        <f>179190</f>
        <v>179190.0</v>
      </c>
      <c r="T451" s="32" t="n">
        <f>240145</f>
        <v>240145.0</v>
      </c>
      <c r="U451" s="32" t="n">
        <f>68008</f>
        <v>68008.0</v>
      </c>
      <c r="V451" s="32" t="n">
        <f>43079521391</f>
        <v>4.3079521391E10</v>
      </c>
      <c r="W451" s="32" t="n">
        <f>12184193391</f>
        <v>1.2184193391E10</v>
      </c>
      <c r="X451" s="36" t="n">
        <f>20</f>
        <v>20.0</v>
      </c>
    </row>
    <row r="452">
      <c r="A452" s="27" t="s">
        <v>42</v>
      </c>
      <c r="B452" s="27" t="s">
        <v>1408</v>
      </c>
      <c r="C452" s="27" t="s">
        <v>1409</v>
      </c>
      <c r="D452" s="27" t="s">
        <v>1410</v>
      </c>
      <c r="E452" s="28" t="s">
        <v>46</v>
      </c>
      <c r="F452" s="29" t="s">
        <v>46</v>
      </c>
      <c r="G452" s="30" t="s">
        <v>46</v>
      </c>
      <c r="H452" s="31"/>
      <c r="I452" s="31" t="s">
        <v>47</v>
      </c>
      <c r="J452" s="32" t="n">
        <v>1.0</v>
      </c>
      <c r="K452" s="33" t="n">
        <f>74700</f>
        <v>74700.0</v>
      </c>
      <c r="L452" s="34" t="s">
        <v>48</v>
      </c>
      <c r="M452" s="33" t="n">
        <f>76800</f>
        <v>76800.0</v>
      </c>
      <c r="N452" s="34" t="s">
        <v>70</v>
      </c>
      <c r="O452" s="33" t="n">
        <f>74200</f>
        <v>74200.0</v>
      </c>
      <c r="P452" s="34" t="s">
        <v>50</v>
      </c>
      <c r="Q452" s="33" t="n">
        <f>75800</f>
        <v>75800.0</v>
      </c>
      <c r="R452" s="34" t="s">
        <v>51</v>
      </c>
      <c r="S452" s="35" t="n">
        <f>75400</f>
        <v>75400.0</v>
      </c>
      <c r="T452" s="32" t="n">
        <f>225752</f>
        <v>225752.0</v>
      </c>
      <c r="U452" s="32" t="n">
        <f>63639</f>
        <v>63639.0</v>
      </c>
      <c r="V452" s="32" t="n">
        <f>17010320993</f>
        <v>1.7010320993E10</v>
      </c>
      <c r="W452" s="32" t="n">
        <f>4791376393</f>
        <v>4.791376393E9</v>
      </c>
      <c r="X452" s="36" t="n">
        <f>20</f>
        <v>20.0</v>
      </c>
    </row>
    <row r="453">
      <c r="A453" s="27" t="s">
        <v>42</v>
      </c>
      <c r="B453" s="27" t="s">
        <v>1411</v>
      </c>
      <c r="C453" s="27" t="s">
        <v>1412</v>
      </c>
      <c r="D453" s="27" t="s">
        <v>1413</v>
      </c>
      <c r="E453" s="28" t="s">
        <v>46</v>
      </c>
      <c r="F453" s="29" t="s">
        <v>46</v>
      </c>
      <c r="G453" s="30" t="s">
        <v>46</v>
      </c>
      <c r="H453" s="31"/>
      <c r="I453" s="31" t="s">
        <v>47</v>
      </c>
      <c r="J453" s="32" t="n">
        <v>1.0</v>
      </c>
      <c r="K453" s="33" t="n">
        <f>66900</f>
        <v>66900.0</v>
      </c>
      <c r="L453" s="34" t="s">
        <v>48</v>
      </c>
      <c r="M453" s="33" t="n">
        <f>68500</f>
        <v>68500.0</v>
      </c>
      <c r="N453" s="34" t="s">
        <v>70</v>
      </c>
      <c r="O453" s="33" t="n">
        <f>65200</f>
        <v>65200.0</v>
      </c>
      <c r="P453" s="34" t="s">
        <v>424</v>
      </c>
      <c r="Q453" s="33" t="n">
        <f>67400</f>
        <v>67400.0</v>
      </c>
      <c r="R453" s="34" t="s">
        <v>51</v>
      </c>
      <c r="S453" s="35" t="n">
        <f>66615</f>
        <v>66615.0</v>
      </c>
      <c r="T453" s="32" t="n">
        <f>880671</f>
        <v>880671.0</v>
      </c>
      <c r="U453" s="32" t="n">
        <f>225862</f>
        <v>225862.0</v>
      </c>
      <c r="V453" s="32" t="n">
        <f>58620824703</f>
        <v>5.8620824703E10</v>
      </c>
      <c r="W453" s="32" t="n">
        <f>15041642303</f>
        <v>1.5041642303E10</v>
      </c>
      <c r="X453" s="36" t="n">
        <f>20</f>
        <v>20.0</v>
      </c>
    </row>
    <row r="454">
      <c r="A454" s="27" t="s">
        <v>42</v>
      </c>
      <c r="B454" s="27" t="s">
        <v>1414</v>
      </c>
      <c r="C454" s="27" t="s">
        <v>1415</v>
      </c>
      <c r="D454" s="27" t="s">
        <v>1416</v>
      </c>
      <c r="E454" s="28" t="s">
        <v>46</v>
      </c>
      <c r="F454" s="29" t="s">
        <v>46</v>
      </c>
      <c r="G454" s="30" t="s">
        <v>46</v>
      </c>
      <c r="H454" s="31"/>
      <c r="I454" s="31" t="s">
        <v>47</v>
      </c>
      <c r="J454" s="32" t="n">
        <v>1.0</v>
      </c>
      <c r="K454" s="33" t="n">
        <f>87700</f>
        <v>87700.0</v>
      </c>
      <c r="L454" s="34" t="s">
        <v>48</v>
      </c>
      <c r="M454" s="33" t="n">
        <f>90900</f>
        <v>90900.0</v>
      </c>
      <c r="N454" s="34" t="s">
        <v>99</v>
      </c>
      <c r="O454" s="33" t="n">
        <f>86800</f>
        <v>86800.0</v>
      </c>
      <c r="P454" s="34" t="s">
        <v>103</v>
      </c>
      <c r="Q454" s="33" t="n">
        <f>89300</f>
        <v>89300.0</v>
      </c>
      <c r="R454" s="34" t="s">
        <v>51</v>
      </c>
      <c r="S454" s="35" t="n">
        <f>89195</f>
        <v>89195.0</v>
      </c>
      <c r="T454" s="32" t="n">
        <f>147077</f>
        <v>147077.0</v>
      </c>
      <c r="U454" s="32" t="n">
        <f>39896</f>
        <v>39896.0</v>
      </c>
      <c r="V454" s="32" t="n">
        <f>13097706937</f>
        <v>1.3097706937E10</v>
      </c>
      <c r="W454" s="32" t="n">
        <f>3544689837</f>
        <v>3.544689837E9</v>
      </c>
      <c r="X454" s="36" t="n">
        <f>20</f>
        <v>20.0</v>
      </c>
    </row>
    <row r="455">
      <c r="A455" s="27" t="s">
        <v>42</v>
      </c>
      <c r="B455" s="27" t="s">
        <v>1417</v>
      </c>
      <c r="C455" s="27" t="s">
        <v>1418</v>
      </c>
      <c r="D455" s="27" t="s">
        <v>1419</v>
      </c>
      <c r="E455" s="28" t="s">
        <v>46</v>
      </c>
      <c r="F455" s="29" t="s">
        <v>46</v>
      </c>
      <c r="G455" s="30" t="s">
        <v>46</v>
      </c>
      <c r="H455" s="31"/>
      <c r="I455" s="31" t="s">
        <v>47</v>
      </c>
      <c r="J455" s="32" t="n">
        <v>1.0</v>
      </c>
      <c r="K455" s="33" t="n">
        <f>150300</f>
        <v>150300.0</v>
      </c>
      <c r="L455" s="34" t="s">
        <v>48</v>
      </c>
      <c r="M455" s="33" t="n">
        <f>153000</f>
        <v>153000.0</v>
      </c>
      <c r="N455" s="34" t="s">
        <v>49</v>
      </c>
      <c r="O455" s="33" t="n">
        <f>146700</f>
        <v>146700.0</v>
      </c>
      <c r="P455" s="34" t="s">
        <v>62</v>
      </c>
      <c r="Q455" s="33" t="n">
        <f>151900</f>
        <v>151900.0</v>
      </c>
      <c r="R455" s="34" t="s">
        <v>51</v>
      </c>
      <c r="S455" s="35" t="n">
        <f>150585</f>
        <v>150585.0</v>
      </c>
      <c r="T455" s="32" t="n">
        <f>75172</f>
        <v>75172.0</v>
      </c>
      <c r="U455" s="32" t="n">
        <f>16324</f>
        <v>16324.0</v>
      </c>
      <c r="V455" s="32" t="n">
        <f>11301376628</f>
        <v>1.1301376628E10</v>
      </c>
      <c r="W455" s="32" t="n">
        <f>2450944228</f>
        <v>2.450944228E9</v>
      </c>
      <c r="X455" s="36" t="n">
        <f>20</f>
        <v>20.0</v>
      </c>
    </row>
    <row r="456">
      <c r="A456" s="27" t="s">
        <v>42</v>
      </c>
      <c r="B456" s="27" t="s">
        <v>1420</v>
      </c>
      <c r="C456" s="27" t="s">
        <v>1421</v>
      </c>
      <c r="D456" s="27" t="s">
        <v>1422</v>
      </c>
      <c r="E456" s="28" t="s">
        <v>46</v>
      </c>
      <c r="F456" s="29" t="s">
        <v>46</v>
      </c>
      <c r="G456" s="30" t="s">
        <v>46</v>
      </c>
      <c r="H456" s="31"/>
      <c r="I456" s="31" t="s">
        <v>47</v>
      </c>
      <c r="J456" s="32" t="n">
        <v>1.0</v>
      </c>
      <c r="K456" s="33" t="n">
        <f>97700</f>
        <v>97700.0</v>
      </c>
      <c r="L456" s="34" t="s">
        <v>48</v>
      </c>
      <c r="M456" s="33" t="n">
        <f>99600</f>
        <v>99600.0</v>
      </c>
      <c r="N456" s="34" t="s">
        <v>70</v>
      </c>
      <c r="O456" s="33" t="n">
        <f>94000</f>
        <v>94000.0</v>
      </c>
      <c r="P456" s="34" t="s">
        <v>103</v>
      </c>
      <c r="Q456" s="33" t="n">
        <f>97800</f>
        <v>97800.0</v>
      </c>
      <c r="R456" s="34" t="s">
        <v>51</v>
      </c>
      <c r="S456" s="35" t="n">
        <f>97105</f>
        <v>97105.0</v>
      </c>
      <c r="T456" s="32" t="n">
        <f>178695</f>
        <v>178695.0</v>
      </c>
      <c r="U456" s="32" t="n">
        <f>57902</f>
        <v>57902.0</v>
      </c>
      <c r="V456" s="32" t="n">
        <f>17348558760</f>
        <v>1.734855876E10</v>
      </c>
      <c r="W456" s="32" t="n">
        <f>5621239560</f>
        <v>5.62123956E9</v>
      </c>
      <c r="X456" s="36" t="n">
        <f>20</f>
        <v>20.0</v>
      </c>
    </row>
    <row r="457">
      <c r="A457" s="27" t="s">
        <v>42</v>
      </c>
      <c r="B457" s="27" t="s">
        <v>1423</v>
      </c>
      <c r="C457" s="27" t="s">
        <v>1424</v>
      </c>
      <c r="D457" s="27" t="s">
        <v>1425</v>
      </c>
      <c r="E457" s="28" t="s">
        <v>46</v>
      </c>
      <c r="F457" s="29" t="s">
        <v>46</v>
      </c>
      <c r="G457" s="30" t="s">
        <v>46</v>
      </c>
      <c r="H457" s="31"/>
      <c r="I457" s="31" t="s">
        <v>47</v>
      </c>
      <c r="J457" s="32" t="n">
        <v>1.0</v>
      </c>
      <c r="K457" s="33" t="n">
        <f>184600</f>
        <v>184600.0</v>
      </c>
      <c r="L457" s="34" t="s">
        <v>48</v>
      </c>
      <c r="M457" s="33" t="n">
        <f>190200</f>
        <v>190200.0</v>
      </c>
      <c r="N457" s="34" t="s">
        <v>49</v>
      </c>
      <c r="O457" s="33" t="n">
        <f>178100</f>
        <v>178100.0</v>
      </c>
      <c r="P457" s="34" t="s">
        <v>62</v>
      </c>
      <c r="Q457" s="33" t="n">
        <f>189300</f>
        <v>189300.0</v>
      </c>
      <c r="R457" s="34" t="s">
        <v>51</v>
      </c>
      <c r="S457" s="35" t="n">
        <f>184675</f>
        <v>184675.0</v>
      </c>
      <c r="T457" s="32" t="n">
        <f>59040</f>
        <v>59040.0</v>
      </c>
      <c r="U457" s="32" t="n">
        <f>11221</f>
        <v>11221.0</v>
      </c>
      <c r="V457" s="32" t="n">
        <f>10885799744</f>
        <v>1.0885799744E10</v>
      </c>
      <c r="W457" s="32" t="n">
        <f>2061128144</f>
        <v>2.061128144E9</v>
      </c>
      <c r="X457" s="36" t="n">
        <f>20</f>
        <v>20.0</v>
      </c>
    </row>
    <row r="458">
      <c r="A458" s="27" t="s">
        <v>42</v>
      </c>
      <c r="B458" s="27" t="s">
        <v>1426</v>
      </c>
      <c r="C458" s="27" t="s">
        <v>1427</v>
      </c>
      <c r="D458" s="27" t="s">
        <v>1428</v>
      </c>
      <c r="E458" s="28" t="s">
        <v>46</v>
      </c>
      <c r="F458" s="29" t="s">
        <v>46</v>
      </c>
      <c r="G458" s="30" t="s">
        <v>46</v>
      </c>
      <c r="H458" s="31"/>
      <c r="I458" s="31" t="s">
        <v>47</v>
      </c>
      <c r="J458" s="32" t="n">
        <v>1.0</v>
      </c>
      <c r="K458" s="33" t="n">
        <f>169200</f>
        <v>169200.0</v>
      </c>
      <c r="L458" s="34" t="s">
        <v>48</v>
      </c>
      <c r="M458" s="33" t="n">
        <f>171800</f>
        <v>171800.0</v>
      </c>
      <c r="N458" s="34" t="s">
        <v>203</v>
      </c>
      <c r="O458" s="33" t="n">
        <f>166900</f>
        <v>166900.0</v>
      </c>
      <c r="P458" s="34" t="s">
        <v>62</v>
      </c>
      <c r="Q458" s="33" t="n">
        <f>168500</f>
        <v>168500.0</v>
      </c>
      <c r="R458" s="34" t="s">
        <v>51</v>
      </c>
      <c r="S458" s="35" t="n">
        <f>169160</f>
        <v>169160.0</v>
      </c>
      <c r="T458" s="32" t="n">
        <f>251290</f>
        <v>251290.0</v>
      </c>
      <c r="U458" s="32" t="n">
        <f>77244</f>
        <v>77244.0</v>
      </c>
      <c r="V458" s="32" t="n">
        <f>42510274862</f>
        <v>4.2510274862E10</v>
      </c>
      <c r="W458" s="32" t="n">
        <f>13067510462</f>
        <v>1.3067510462E10</v>
      </c>
      <c r="X458" s="36" t="n">
        <f>20</f>
        <v>20.0</v>
      </c>
    </row>
    <row r="459">
      <c r="A459" s="27" t="s">
        <v>42</v>
      </c>
      <c r="B459" s="27" t="s">
        <v>1429</v>
      </c>
      <c r="C459" s="27" t="s">
        <v>1430</v>
      </c>
      <c r="D459" s="27" t="s">
        <v>1431</v>
      </c>
      <c r="E459" s="28" t="s">
        <v>46</v>
      </c>
      <c r="F459" s="29" t="s">
        <v>46</v>
      </c>
      <c r="G459" s="30" t="s">
        <v>46</v>
      </c>
      <c r="H459" s="31"/>
      <c r="I459" s="31" t="s">
        <v>47</v>
      </c>
      <c r="J459" s="32" t="n">
        <v>1.0</v>
      </c>
      <c r="K459" s="33" t="n">
        <f>96400</f>
        <v>96400.0</v>
      </c>
      <c r="L459" s="34" t="s">
        <v>48</v>
      </c>
      <c r="M459" s="33" t="n">
        <f>98600</f>
        <v>98600.0</v>
      </c>
      <c r="N459" s="34" t="s">
        <v>203</v>
      </c>
      <c r="O459" s="33" t="n">
        <f>94400</f>
        <v>94400.0</v>
      </c>
      <c r="P459" s="34" t="s">
        <v>70</v>
      </c>
      <c r="Q459" s="33" t="n">
        <f>94500</f>
        <v>94500.0</v>
      </c>
      <c r="R459" s="34" t="s">
        <v>51</v>
      </c>
      <c r="S459" s="35" t="n">
        <f>96405</f>
        <v>96405.0</v>
      </c>
      <c r="T459" s="32" t="n">
        <f>97429</f>
        <v>97429.0</v>
      </c>
      <c r="U459" s="32" t="n">
        <f>23473</f>
        <v>23473.0</v>
      </c>
      <c r="V459" s="32" t="n">
        <f>9383450102</f>
        <v>9.383450102E9</v>
      </c>
      <c r="W459" s="32" t="n">
        <f>2258742602</f>
        <v>2.258742602E9</v>
      </c>
      <c r="X459" s="36" t="n">
        <f>20</f>
        <v>20.0</v>
      </c>
    </row>
    <row r="460">
      <c r="A460" s="27" t="s">
        <v>42</v>
      </c>
      <c r="B460" s="27" t="s">
        <v>1432</v>
      </c>
      <c r="C460" s="27" t="s">
        <v>1433</v>
      </c>
      <c r="D460" s="27" t="s">
        <v>1434</v>
      </c>
      <c r="E460" s="28" t="s">
        <v>46</v>
      </c>
      <c r="F460" s="29" t="s">
        <v>46</v>
      </c>
      <c r="G460" s="30" t="s">
        <v>46</v>
      </c>
      <c r="H460" s="31"/>
      <c r="I460" s="31" t="s">
        <v>47</v>
      </c>
      <c r="J460" s="32" t="n">
        <v>1.0</v>
      </c>
      <c r="K460" s="33" t="n">
        <f>365000</f>
        <v>365000.0</v>
      </c>
      <c r="L460" s="34" t="s">
        <v>48</v>
      </c>
      <c r="M460" s="33" t="n">
        <f>377500</f>
        <v>377500.0</v>
      </c>
      <c r="N460" s="34" t="s">
        <v>99</v>
      </c>
      <c r="O460" s="33" t="n">
        <f>360000</f>
        <v>360000.0</v>
      </c>
      <c r="P460" s="34" t="s">
        <v>51</v>
      </c>
      <c r="Q460" s="33" t="n">
        <f>365000</f>
        <v>365000.0</v>
      </c>
      <c r="R460" s="34" t="s">
        <v>51</v>
      </c>
      <c r="S460" s="35" t="n">
        <f>368575</f>
        <v>368575.0</v>
      </c>
      <c r="T460" s="32" t="n">
        <f>50559</f>
        <v>50559.0</v>
      </c>
      <c r="U460" s="32" t="n">
        <f>15452</f>
        <v>15452.0</v>
      </c>
      <c r="V460" s="32" t="n">
        <f>18614068575</f>
        <v>1.8614068575E10</v>
      </c>
      <c r="W460" s="32" t="n">
        <f>5693365075</f>
        <v>5.693365075E9</v>
      </c>
      <c r="X460" s="36" t="n">
        <f>20</f>
        <v>20.0</v>
      </c>
    </row>
    <row r="461">
      <c r="A461" s="27" t="s">
        <v>42</v>
      </c>
      <c r="B461" s="27" t="s">
        <v>1435</v>
      </c>
      <c r="C461" s="27" t="s">
        <v>1436</v>
      </c>
      <c r="D461" s="27" t="s">
        <v>1437</v>
      </c>
      <c r="E461" s="28" t="s">
        <v>46</v>
      </c>
      <c r="F461" s="29" t="s">
        <v>46</v>
      </c>
      <c r="G461" s="30" t="s">
        <v>46</v>
      </c>
      <c r="H461" s="31"/>
      <c r="I461" s="31" t="s">
        <v>47</v>
      </c>
      <c r="J461" s="32" t="n">
        <v>1.0</v>
      </c>
      <c r="K461" s="33" t="n">
        <f>171500</f>
        <v>171500.0</v>
      </c>
      <c r="L461" s="34" t="s">
        <v>48</v>
      </c>
      <c r="M461" s="33" t="n">
        <f>173900</f>
        <v>173900.0</v>
      </c>
      <c r="N461" s="34" t="s">
        <v>49</v>
      </c>
      <c r="O461" s="33" t="n">
        <f>166700</f>
        <v>166700.0</v>
      </c>
      <c r="P461" s="34" t="s">
        <v>62</v>
      </c>
      <c r="Q461" s="33" t="n">
        <f>170600</f>
        <v>170600.0</v>
      </c>
      <c r="R461" s="34" t="s">
        <v>51</v>
      </c>
      <c r="S461" s="35" t="n">
        <f>170790</f>
        <v>170790.0</v>
      </c>
      <c r="T461" s="32" t="n">
        <f>36323</f>
        <v>36323.0</v>
      </c>
      <c r="U461" s="32" t="n">
        <f>5591</f>
        <v>5591.0</v>
      </c>
      <c r="V461" s="32" t="n">
        <f>6191197625</f>
        <v>6.191197625E9</v>
      </c>
      <c r="W461" s="32" t="n">
        <f>950964625</f>
        <v>9.50964625E8</v>
      </c>
      <c r="X461" s="36" t="n">
        <f>20</f>
        <v>20.0</v>
      </c>
    </row>
    <row r="462">
      <c r="A462" s="27" t="s">
        <v>42</v>
      </c>
      <c r="B462" s="27" t="s">
        <v>1438</v>
      </c>
      <c r="C462" s="27" t="s">
        <v>1439</v>
      </c>
      <c r="D462" s="27" t="s">
        <v>1440</v>
      </c>
      <c r="E462" s="28" t="s">
        <v>46</v>
      </c>
      <c r="F462" s="29" t="s">
        <v>46</v>
      </c>
      <c r="G462" s="30" t="s">
        <v>46</v>
      </c>
      <c r="H462" s="31"/>
      <c r="I462" s="31" t="s">
        <v>414</v>
      </c>
      <c r="J462" s="32" t="n">
        <v>1.0</v>
      </c>
      <c r="K462" s="33" t="n">
        <f>198700</f>
        <v>198700.0</v>
      </c>
      <c r="L462" s="34" t="s">
        <v>48</v>
      </c>
      <c r="M462" s="33" t="n">
        <f>208800</f>
        <v>208800.0</v>
      </c>
      <c r="N462" s="34" t="s">
        <v>51</v>
      </c>
      <c r="O462" s="33" t="n">
        <f>195500</f>
        <v>195500.0</v>
      </c>
      <c r="P462" s="34" t="s">
        <v>103</v>
      </c>
      <c r="Q462" s="33" t="n">
        <f>207300</f>
        <v>207300.0</v>
      </c>
      <c r="R462" s="34" t="s">
        <v>51</v>
      </c>
      <c r="S462" s="35" t="n">
        <f>200120</f>
        <v>200120.0</v>
      </c>
      <c r="T462" s="32" t="n">
        <f>13918</f>
        <v>13918.0</v>
      </c>
      <c r="U462" s="32" t="n">
        <f>2319</f>
        <v>2319.0</v>
      </c>
      <c r="V462" s="32" t="n">
        <f>2789226140</f>
        <v>2.78922614E9</v>
      </c>
      <c r="W462" s="32" t="n">
        <f>463263940</f>
        <v>4.6326394E8</v>
      </c>
      <c r="X462" s="36" t="n">
        <f>20</f>
        <v>20.0</v>
      </c>
    </row>
    <row r="463">
      <c r="A463" s="27" t="s">
        <v>42</v>
      </c>
      <c r="B463" s="27" t="s">
        <v>1441</v>
      </c>
      <c r="C463" s="27" t="s">
        <v>1442</v>
      </c>
      <c r="D463" s="27" t="s">
        <v>1443</v>
      </c>
      <c r="E463" s="28" t="s">
        <v>46</v>
      </c>
      <c r="F463" s="29" t="s">
        <v>46</v>
      </c>
      <c r="G463" s="30" t="s">
        <v>46</v>
      </c>
      <c r="H463" s="31"/>
      <c r="I463" s="31" t="s">
        <v>47</v>
      </c>
      <c r="J463" s="32" t="n">
        <v>1.0</v>
      </c>
      <c r="K463" s="33" t="n">
        <f>127000</f>
        <v>127000.0</v>
      </c>
      <c r="L463" s="34" t="s">
        <v>48</v>
      </c>
      <c r="M463" s="33" t="n">
        <f>129100</f>
        <v>129100.0</v>
      </c>
      <c r="N463" s="34" t="s">
        <v>203</v>
      </c>
      <c r="O463" s="33" t="n">
        <f>124500</f>
        <v>124500.0</v>
      </c>
      <c r="P463" s="34" t="s">
        <v>70</v>
      </c>
      <c r="Q463" s="33" t="n">
        <f>126000</f>
        <v>126000.0</v>
      </c>
      <c r="R463" s="34" t="s">
        <v>51</v>
      </c>
      <c r="S463" s="35" t="n">
        <f>126755</f>
        <v>126755.0</v>
      </c>
      <c r="T463" s="32" t="n">
        <f>266552</f>
        <v>266552.0</v>
      </c>
      <c r="U463" s="32" t="n">
        <f>58171</f>
        <v>58171.0</v>
      </c>
      <c r="V463" s="32" t="n">
        <f>33742495968</f>
        <v>3.3742495968E10</v>
      </c>
      <c r="W463" s="32" t="n">
        <f>7362648468</f>
        <v>7.362648468E9</v>
      </c>
      <c r="X463" s="36" t="n">
        <f>20</f>
        <v>20.0</v>
      </c>
    </row>
    <row r="464">
      <c r="A464" s="27" t="s">
        <v>42</v>
      </c>
      <c r="B464" s="27" t="s">
        <v>1444</v>
      </c>
      <c r="C464" s="27" t="s">
        <v>1445</v>
      </c>
      <c r="D464" s="27" t="s">
        <v>1446</v>
      </c>
      <c r="E464" s="28" t="s">
        <v>46</v>
      </c>
      <c r="F464" s="29" t="s">
        <v>46</v>
      </c>
      <c r="G464" s="30" t="s">
        <v>46</v>
      </c>
      <c r="H464" s="31"/>
      <c r="I464" s="31" t="s">
        <v>47</v>
      </c>
      <c r="J464" s="32" t="n">
        <v>1.0</v>
      </c>
      <c r="K464" s="33" t="n">
        <f>86000</f>
        <v>86000.0</v>
      </c>
      <c r="L464" s="34" t="s">
        <v>48</v>
      </c>
      <c r="M464" s="33" t="n">
        <f>89700</f>
        <v>89700.0</v>
      </c>
      <c r="N464" s="34" t="s">
        <v>70</v>
      </c>
      <c r="O464" s="33" t="n">
        <f>84100</f>
        <v>84100.0</v>
      </c>
      <c r="P464" s="34" t="s">
        <v>62</v>
      </c>
      <c r="Q464" s="33" t="n">
        <f>89200</f>
        <v>89200.0</v>
      </c>
      <c r="R464" s="34" t="s">
        <v>51</v>
      </c>
      <c r="S464" s="35" t="n">
        <f>87045</f>
        <v>87045.0</v>
      </c>
      <c r="T464" s="32" t="n">
        <f>463210</f>
        <v>463210.0</v>
      </c>
      <c r="U464" s="32" t="n">
        <f>124072</f>
        <v>124072.0</v>
      </c>
      <c r="V464" s="32" t="n">
        <f>40240209975</f>
        <v>4.0240209975E10</v>
      </c>
      <c r="W464" s="32" t="n">
        <f>10755973975</f>
        <v>1.0755973975E10</v>
      </c>
      <c r="X464" s="36" t="n">
        <f>20</f>
        <v>20.0</v>
      </c>
    </row>
    <row r="465">
      <c r="A465" s="27" t="s">
        <v>42</v>
      </c>
      <c r="B465" s="27" t="s">
        <v>1447</v>
      </c>
      <c r="C465" s="27" t="s">
        <v>1448</v>
      </c>
      <c r="D465" s="27" t="s">
        <v>1449</v>
      </c>
      <c r="E465" s="28" t="s">
        <v>46</v>
      </c>
      <c r="F465" s="29" t="s">
        <v>46</v>
      </c>
      <c r="G465" s="30" t="s">
        <v>46</v>
      </c>
      <c r="H465" s="31"/>
      <c r="I465" s="31" t="s">
        <v>47</v>
      </c>
      <c r="J465" s="32" t="n">
        <v>1.0</v>
      </c>
      <c r="K465" s="33" t="n">
        <f>108000</f>
        <v>108000.0</v>
      </c>
      <c r="L465" s="34" t="s">
        <v>48</v>
      </c>
      <c r="M465" s="33" t="n">
        <f>111800</f>
        <v>111800.0</v>
      </c>
      <c r="N465" s="34" t="s">
        <v>74</v>
      </c>
      <c r="O465" s="33" t="n">
        <f>105500</f>
        <v>105500.0</v>
      </c>
      <c r="P465" s="34" t="s">
        <v>62</v>
      </c>
      <c r="Q465" s="33" t="n">
        <f>107400</f>
        <v>107400.0</v>
      </c>
      <c r="R465" s="34" t="s">
        <v>51</v>
      </c>
      <c r="S465" s="35" t="n">
        <f>108635</f>
        <v>108635.0</v>
      </c>
      <c r="T465" s="32" t="n">
        <f>152450</f>
        <v>152450.0</v>
      </c>
      <c r="U465" s="32" t="n">
        <f>35250</f>
        <v>35250.0</v>
      </c>
      <c r="V465" s="32" t="n">
        <f>16566475918</f>
        <v>1.6566475918E10</v>
      </c>
      <c r="W465" s="32" t="n">
        <f>3825280118</f>
        <v>3.825280118E9</v>
      </c>
      <c r="X465" s="36" t="n">
        <f>20</f>
        <v>20.0</v>
      </c>
    </row>
    <row r="466">
      <c r="A466" s="27" t="s">
        <v>42</v>
      </c>
      <c r="B466" s="27" t="s">
        <v>1450</v>
      </c>
      <c r="C466" s="27" t="s">
        <v>1451</v>
      </c>
      <c r="D466" s="27" t="s">
        <v>1452</v>
      </c>
      <c r="E466" s="28" t="s">
        <v>46</v>
      </c>
      <c r="F466" s="29" t="s">
        <v>46</v>
      </c>
      <c r="G466" s="30" t="s">
        <v>46</v>
      </c>
      <c r="H466" s="31"/>
      <c r="I466" s="31" t="s">
        <v>47</v>
      </c>
      <c r="J466" s="32" t="n">
        <v>1.0</v>
      </c>
      <c r="K466" s="33" t="n">
        <f>146300</f>
        <v>146300.0</v>
      </c>
      <c r="L466" s="34" t="s">
        <v>48</v>
      </c>
      <c r="M466" s="33" t="n">
        <f>149100</f>
        <v>149100.0</v>
      </c>
      <c r="N466" s="34" t="s">
        <v>203</v>
      </c>
      <c r="O466" s="33" t="n">
        <f>143100</f>
        <v>143100.0</v>
      </c>
      <c r="P466" s="34" t="s">
        <v>103</v>
      </c>
      <c r="Q466" s="33" t="n">
        <f>145200</f>
        <v>145200.0</v>
      </c>
      <c r="R466" s="34" t="s">
        <v>51</v>
      </c>
      <c r="S466" s="35" t="n">
        <f>146270</f>
        <v>146270.0</v>
      </c>
      <c r="T466" s="32" t="n">
        <f>71290</f>
        <v>71290.0</v>
      </c>
      <c r="U466" s="32" t="n">
        <f>18454</f>
        <v>18454.0</v>
      </c>
      <c r="V466" s="32" t="n">
        <f>10406335200</f>
        <v>1.04063352E10</v>
      </c>
      <c r="W466" s="32" t="n">
        <f>2689235400</f>
        <v>2.6892354E9</v>
      </c>
      <c r="X466" s="36" t="n">
        <f>20</f>
        <v>20.0</v>
      </c>
    </row>
    <row r="467">
      <c r="A467" s="27" t="s">
        <v>42</v>
      </c>
      <c r="B467" s="27" t="s">
        <v>1453</v>
      </c>
      <c r="C467" s="27" t="s">
        <v>1454</v>
      </c>
      <c r="D467" s="27" t="s">
        <v>1455</v>
      </c>
      <c r="E467" s="28" t="s">
        <v>46</v>
      </c>
      <c r="F467" s="29" t="s">
        <v>46</v>
      </c>
      <c r="G467" s="30" t="s">
        <v>46</v>
      </c>
      <c r="H467" s="31"/>
      <c r="I467" s="31" t="s">
        <v>414</v>
      </c>
      <c r="J467" s="32" t="n">
        <v>1.0</v>
      </c>
      <c r="K467" s="33" t="n">
        <f>49400</f>
        <v>49400.0</v>
      </c>
      <c r="L467" s="34" t="s">
        <v>48</v>
      </c>
      <c r="M467" s="33" t="n">
        <f>49500</f>
        <v>49500.0</v>
      </c>
      <c r="N467" s="34" t="s">
        <v>512</v>
      </c>
      <c r="O467" s="33" t="n">
        <f>46400</f>
        <v>46400.0</v>
      </c>
      <c r="P467" s="34" t="s">
        <v>195</v>
      </c>
      <c r="Q467" s="33" t="n">
        <f>47700</f>
        <v>47700.0</v>
      </c>
      <c r="R467" s="34" t="s">
        <v>51</v>
      </c>
      <c r="S467" s="35" t="n">
        <f>48372.5</f>
        <v>48372.5</v>
      </c>
      <c r="T467" s="32" t="n">
        <f>4908</f>
        <v>4908.0</v>
      </c>
      <c r="U467" s="32" t="str">
        <f>"－"</f>
        <v>－</v>
      </c>
      <c r="V467" s="32" t="n">
        <f>235558450</f>
        <v>2.3555845E8</v>
      </c>
      <c r="W467" s="32" t="str">
        <f>"－"</f>
        <v>－</v>
      </c>
      <c r="X467" s="36" t="n">
        <f>20</f>
        <v>20.0</v>
      </c>
    </row>
    <row r="468">
      <c r="A468" s="27" t="s">
        <v>42</v>
      </c>
      <c r="B468" s="27" t="s">
        <v>1456</v>
      </c>
      <c r="C468" s="27" t="s">
        <v>1457</v>
      </c>
      <c r="D468" s="27" t="s">
        <v>1458</v>
      </c>
      <c r="E468" s="28" t="s">
        <v>46</v>
      </c>
      <c r="F468" s="29" t="s">
        <v>46</v>
      </c>
      <c r="G468" s="30" t="s">
        <v>46</v>
      </c>
      <c r="H468" s="31"/>
      <c r="I468" s="31" t="s">
        <v>414</v>
      </c>
      <c r="J468" s="32" t="n">
        <v>1.0</v>
      </c>
      <c r="K468" s="33" t="n">
        <f>87300</f>
        <v>87300.0</v>
      </c>
      <c r="L468" s="34" t="s">
        <v>48</v>
      </c>
      <c r="M468" s="33" t="n">
        <f>97400</f>
        <v>97400.0</v>
      </c>
      <c r="N468" s="34" t="s">
        <v>51</v>
      </c>
      <c r="O468" s="33" t="n">
        <f>86400</f>
        <v>86400.0</v>
      </c>
      <c r="P468" s="34" t="s">
        <v>50</v>
      </c>
      <c r="Q468" s="33" t="n">
        <f>97000</f>
        <v>97000.0</v>
      </c>
      <c r="R468" s="34" t="s">
        <v>51</v>
      </c>
      <c r="S468" s="35" t="n">
        <f>91080</f>
        <v>91080.0</v>
      </c>
      <c r="T468" s="32" t="n">
        <f>39069</f>
        <v>39069.0</v>
      </c>
      <c r="U468" s="32" t="n">
        <f>829</f>
        <v>829.0</v>
      </c>
      <c r="V468" s="32" t="n">
        <f>3553128202</f>
        <v>3.553128202E9</v>
      </c>
      <c r="W468" s="32" t="n">
        <f>78605702</f>
        <v>7.8605702E7</v>
      </c>
      <c r="X468" s="36" t="n">
        <f>20</f>
        <v>20.0</v>
      </c>
    </row>
    <row r="469">
      <c r="A469" s="27" t="s">
        <v>42</v>
      </c>
      <c r="B469" s="27" t="s">
        <v>1459</v>
      </c>
      <c r="C469" s="27" t="s">
        <v>1460</v>
      </c>
      <c r="D469" s="27" t="s">
        <v>1461</v>
      </c>
      <c r="E469" s="28" t="s">
        <v>46</v>
      </c>
      <c r="F469" s="29" t="s">
        <v>46</v>
      </c>
      <c r="G469" s="30" t="s">
        <v>46</v>
      </c>
      <c r="H469" s="31"/>
      <c r="I469" s="31" t="s">
        <v>414</v>
      </c>
      <c r="J469" s="32" t="n">
        <v>1.0</v>
      </c>
      <c r="K469" s="33" t="n">
        <f>49200</f>
        <v>49200.0</v>
      </c>
      <c r="L469" s="34" t="s">
        <v>48</v>
      </c>
      <c r="M469" s="33" t="n">
        <f>51600</f>
        <v>51600.0</v>
      </c>
      <c r="N469" s="34" t="s">
        <v>51</v>
      </c>
      <c r="O469" s="33" t="n">
        <f>49000</f>
        <v>49000.0</v>
      </c>
      <c r="P469" s="34" t="s">
        <v>203</v>
      </c>
      <c r="Q469" s="33" t="n">
        <f>51000</f>
        <v>51000.0</v>
      </c>
      <c r="R469" s="34" t="s">
        <v>51</v>
      </c>
      <c r="S469" s="35" t="n">
        <f>49750</f>
        <v>49750.0</v>
      </c>
      <c r="T469" s="32" t="n">
        <f>7480</f>
        <v>7480.0</v>
      </c>
      <c r="U469" s="32" t="n">
        <f>30</f>
        <v>30.0</v>
      </c>
      <c r="V469" s="32" t="n">
        <f>371990100</f>
        <v>3.719901E8</v>
      </c>
      <c r="W469" s="32" t="n">
        <f>1501400</f>
        <v>1501400.0</v>
      </c>
      <c r="X469" s="36" t="n">
        <f>20</f>
        <v>20.0</v>
      </c>
    </row>
    <row r="470">
      <c r="A470" s="27" t="s">
        <v>42</v>
      </c>
      <c r="B470" s="27" t="s">
        <v>1462</v>
      </c>
      <c r="C470" s="27" t="s">
        <v>1463</v>
      </c>
      <c r="D470" s="27" t="s">
        <v>1464</v>
      </c>
      <c r="E470" s="28" t="s">
        <v>46</v>
      </c>
      <c r="F470" s="29" t="s">
        <v>46</v>
      </c>
      <c r="G470" s="30" t="s">
        <v>46</v>
      </c>
      <c r="H470" s="31"/>
      <c r="I470" s="31" t="s">
        <v>47</v>
      </c>
      <c r="J470" s="32" t="n">
        <v>1.0</v>
      </c>
      <c r="K470" s="33" t="n">
        <f>53100</f>
        <v>53100.0</v>
      </c>
      <c r="L470" s="34" t="s">
        <v>48</v>
      </c>
      <c r="M470" s="33" t="n">
        <f>58300</f>
        <v>58300.0</v>
      </c>
      <c r="N470" s="34" t="s">
        <v>51</v>
      </c>
      <c r="O470" s="33" t="n">
        <f>52900</f>
        <v>52900.0</v>
      </c>
      <c r="P470" s="34" t="s">
        <v>48</v>
      </c>
      <c r="Q470" s="33" t="n">
        <f>57900</f>
        <v>57900.0</v>
      </c>
      <c r="R470" s="34" t="s">
        <v>51</v>
      </c>
      <c r="S470" s="35" t="n">
        <f>55180</f>
        <v>55180.0</v>
      </c>
      <c r="T470" s="32" t="n">
        <f>31595</f>
        <v>31595.0</v>
      </c>
      <c r="U470" s="32" t="n">
        <f>1408</f>
        <v>1408.0</v>
      </c>
      <c r="V470" s="32" t="n">
        <f>1749009390</f>
        <v>1.74900939E9</v>
      </c>
      <c r="W470" s="32" t="n">
        <f>79420290</f>
        <v>7.942029E7</v>
      </c>
      <c r="X470" s="36" t="n">
        <f>20</f>
        <v>20.0</v>
      </c>
    </row>
    <row r="471">
      <c r="A471" s="27" t="s">
        <v>42</v>
      </c>
      <c r="B471" s="27" t="s">
        <v>1465</v>
      </c>
      <c r="C471" s="27" t="s">
        <v>1466</v>
      </c>
      <c r="D471" s="27" t="s">
        <v>1467</v>
      </c>
      <c r="E471" s="28" t="s">
        <v>46</v>
      </c>
      <c r="F471" s="29" t="s">
        <v>46</v>
      </c>
      <c r="G471" s="30" t="s">
        <v>46</v>
      </c>
      <c r="H471" s="31"/>
      <c r="I471" s="31" t="s">
        <v>414</v>
      </c>
      <c r="J471" s="32" t="n">
        <v>1.0</v>
      </c>
      <c r="K471" s="33" t="n">
        <f>52000</f>
        <v>52000.0</v>
      </c>
      <c r="L471" s="34" t="s">
        <v>48</v>
      </c>
      <c r="M471" s="33" t="n">
        <f>56800</f>
        <v>56800.0</v>
      </c>
      <c r="N471" s="34" t="s">
        <v>51</v>
      </c>
      <c r="O471" s="33" t="n">
        <f>51800</f>
        <v>51800.0</v>
      </c>
      <c r="P471" s="34" t="s">
        <v>48</v>
      </c>
      <c r="Q471" s="33" t="n">
        <f>56600</f>
        <v>56600.0</v>
      </c>
      <c r="R471" s="34" t="s">
        <v>51</v>
      </c>
      <c r="S471" s="35" t="n">
        <f>53535</f>
        <v>53535.0</v>
      </c>
      <c r="T471" s="32" t="n">
        <f>30183</f>
        <v>30183.0</v>
      </c>
      <c r="U471" s="32" t="n">
        <f>1474</f>
        <v>1474.0</v>
      </c>
      <c r="V471" s="32" t="n">
        <f>1618239090</f>
        <v>1.61823909E9</v>
      </c>
      <c r="W471" s="32" t="n">
        <f>80313590</f>
        <v>8.031359E7</v>
      </c>
      <c r="X471" s="36" t="n">
        <f>20</f>
        <v>20.0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2" fitToHeight="0" orientation="landscape" r:id="rId1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2020-05-11T08:48:14Z</dcterms:modified>
</cp:coreProperties>
</file>